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1BF039DA-83FF-4967-A870-8555D3FA3C0E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187" i="24"/>
  <c r="C184" i="24"/>
  <c r="D156" i="24" l="1"/>
  <c r="C156" i="24"/>
  <c r="B156" i="24"/>
  <c r="CC83" i="24" l="1"/>
  <c r="CC60" i="24"/>
  <c r="CC61" i="24"/>
  <c r="CB64" i="24"/>
  <c r="BY60" i="24"/>
  <c r="BH66" i="24"/>
  <c r="AJ60" i="24"/>
  <c r="AC88" i="24"/>
  <c r="AC87" i="24"/>
  <c r="AB69" i="24"/>
  <c r="P94" i="24"/>
  <c r="P88" i="24"/>
  <c r="P60" i="24"/>
  <c r="E91" i="24"/>
  <c r="E88" i="24"/>
  <c r="E87" i="24"/>
  <c r="E60" i="24"/>
  <c r="D34" i="17" l="1"/>
  <c r="D33" i="17"/>
  <c r="D30" i="17"/>
  <c r="D29" i="17"/>
  <c r="C343" i="24"/>
  <c r="C254" i="24"/>
  <c r="C239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A69" i="24"/>
  <c r="Z69" i="24"/>
  <c r="Y69" i="24"/>
  <c r="X69" i="24"/>
  <c r="W69" i="24"/>
  <c r="V69" i="24"/>
  <c r="O20" i="3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I76" i="32" s="1"/>
  <c r="BK48" i="24"/>
  <c r="BK62" i="24" s="1"/>
  <c r="G268" i="32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H10" i="31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H17" i="31" l="1"/>
  <c r="H18" i="31"/>
  <c r="H71" i="31"/>
  <c r="C236" i="32"/>
  <c r="E236" i="32"/>
  <c r="H39" i="31"/>
  <c r="H8" i="31"/>
  <c r="H23" i="31"/>
  <c r="G236" i="32"/>
  <c r="H2" i="31"/>
  <c r="BX52" i="24"/>
  <c r="BX67" i="24" s="1"/>
  <c r="BX85" i="24" s="1"/>
  <c r="G76" i="32"/>
  <c r="G204" i="32"/>
  <c r="H66" i="31"/>
  <c r="H65" i="31"/>
  <c r="G332" i="32"/>
  <c r="H12" i="31"/>
  <c r="D44" i="32"/>
  <c r="H73" i="31"/>
  <c r="H62" i="31"/>
  <c r="H43" i="31"/>
  <c r="L52" i="24"/>
  <c r="L67" i="24" s="1"/>
  <c r="E49" i="32" s="1"/>
  <c r="X52" i="24"/>
  <c r="X67" i="24" s="1"/>
  <c r="X85" i="24" s="1"/>
  <c r="C689" i="24" s="1"/>
  <c r="AV52" i="24"/>
  <c r="AV67" i="24" s="1"/>
  <c r="M47" i="31" s="1"/>
  <c r="C44" i="32"/>
  <c r="E332" i="32"/>
  <c r="D204" i="32"/>
  <c r="H268" i="32"/>
  <c r="H22" i="31"/>
  <c r="F300" i="32"/>
  <c r="E12" i="32"/>
  <c r="H140" i="32"/>
  <c r="H37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B58" i="1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C53" i="25"/>
  <c r="BC68" i="25" s="1"/>
  <c r="BC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671" i="25" s="1"/>
  <c r="AU53" i="25"/>
  <c r="AU68" i="25" s="1"/>
  <c r="AU86" i="25" s="1"/>
  <c r="G53" i="25"/>
  <c r="G68" i="25" s="1"/>
  <c r="G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C709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A53" i="25"/>
  <c r="CA68" i="25" s="1"/>
  <c r="CA86" i="25" s="1"/>
  <c r="AE53" i="25"/>
  <c r="AE68" i="25" s="1"/>
  <c r="AE86" i="25" s="1"/>
  <c r="O53" i="25"/>
  <c r="O68" i="25" s="1"/>
  <c r="O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AM53" i="25"/>
  <c r="AM68" i="25" s="1"/>
  <c r="AM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K53" i="25"/>
  <c r="BK68" i="25" s="1"/>
  <c r="BK86" i="25" s="1"/>
  <c r="W53" i="25"/>
  <c r="W68" i="25" s="1"/>
  <c r="W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C690" i="25" s="1"/>
  <c r="P53" i="25"/>
  <c r="P68" i="25" s="1"/>
  <c r="P86" i="25" s="1"/>
  <c r="C682" i="25" s="1"/>
  <c r="H53" i="25"/>
  <c r="H68" i="25" s="1"/>
  <c r="H86" i="25" s="1"/>
  <c r="BS53" i="25"/>
  <c r="BS68" i="25" s="1"/>
  <c r="BS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C113" i="32" l="1"/>
  <c r="F337" i="32"/>
  <c r="E85" i="24"/>
  <c r="E21" i="32" s="1"/>
  <c r="M11" i="31"/>
  <c r="S85" i="24"/>
  <c r="C684" i="24" s="1"/>
  <c r="M23" i="31"/>
  <c r="L85" i="24"/>
  <c r="E53" i="32" s="1"/>
  <c r="F209" i="32"/>
  <c r="AV85" i="24"/>
  <c r="C60" i="15" s="1"/>
  <c r="E17" i="32"/>
  <c r="M61" i="31"/>
  <c r="C642" i="25"/>
  <c r="B85" i="15"/>
  <c r="C673" i="25"/>
  <c r="B19" i="15"/>
  <c r="C631" i="25"/>
  <c r="B65" i="15"/>
  <c r="C696" i="25"/>
  <c r="B42" i="15"/>
  <c r="F42" i="15" s="1"/>
  <c r="C640" i="25"/>
  <c r="B83" i="15"/>
  <c r="F83" i="15" s="1"/>
  <c r="C693" i="25"/>
  <c r="B39" i="15"/>
  <c r="B20" i="15"/>
  <c r="F20" i="15" s="1"/>
  <c r="C674" i="25"/>
  <c r="B27" i="15"/>
  <c r="H27" i="15" s="1"/>
  <c r="I27" i="15" s="1"/>
  <c r="C681" i="25"/>
  <c r="C713" i="25"/>
  <c r="B59" i="15"/>
  <c r="F59" i="15" s="1"/>
  <c r="C635" i="25"/>
  <c r="B73" i="15"/>
  <c r="C704" i="25"/>
  <c r="B50" i="15"/>
  <c r="F50" i="15" s="1"/>
  <c r="C638" i="25"/>
  <c r="B76" i="15"/>
  <c r="F76" i="15" s="1"/>
  <c r="C711" i="25"/>
  <c r="B57" i="15"/>
  <c r="F57" i="15" s="1"/>
  <c r="C701" i="25"/>
  <c r="B47" i="15"/>
  <c r="C694" i="25"/>
  <c r="B40" i="15"/>
  <c r="F40" i="15" s="1"/>
  <c r="C689" i="25"/>
  <c r="B35" i="15"/>
  <c r="F35" i="15" s="1"/>
  <c r="C615" i="25"/>
  <c r="D616" i="25" s="1"/>
  <c r="B69" i="15"/>
  <c r="F69" i="15" s="1"/>
  <c r="C700" i="25"/>
  <c r="B46" i="15"/>
  <c r="C697" i="25"/>
  <c r="B43" i="15"/>
  <c r="F43" i="15" s="1"/>
  <c r="C626" i="25"/>
  <c r="B63" i="15"/>
  <c r="F63" i="15" s="1"/>
  <c r="B48" i="15"/>
  <c r="F48" i="15" s="1"/>
  <c r="C702" i="25"/>
  <c r="C678" i="25"/>
  <c r="B24" i="15"/>
  <c r="B32" i="15"/>
  <c r="F32" i="15" s="1"/>
  <c r="C686" i="25"/>
  <c r="C698" i="25"/>
  <c r="B44" i="15"/>
  <c r="F44" i="15" s="1"/>
  <c r="C636" i="25"/>
  <c r="B75" i="15"/>
  <c r="F75" i="15" s="1"/>
  <c r="B77" i="15"/>
  <c r="F77" i="15" s="1"/>
  <c r="C639" i="25"/>
  <c r="B91" i="15"/>
  <c r="C648" i="25"/>
  <c r="C619" i="25"/>
  <c r="B71" i="15"/>
  <c r="H71" i="15" s="1"/>
  <c r="I71" i="15" s="1"/>
  <c r="B56" i="15"/>
  <c r="F56" i="15" s="1"/>
  <c r="C710" i="25"/>
  <c r="C679" i="25"/>
  <c r="B25" i="15"/>
  <c r="B89" i="15"/>
  <c r="C646" i="25"/>
  <c r="B66" i="15"/>
  <c r="C633" i="25"/>
  <c r="C643" i="25"/>
  <c r="B86" i="15"/>
  <c r="F86" i="15" s="1"/>
  <c r="B30" i="15"/>
  <c r="F30" i="15" s="1"/>
  <c r="C684" i="25"/>
  <c r="C632" i="25"/>
  <c r="B61" i="15"/>
  <c r="B52" i="15"/>
  <c r="F52" i="15" s="1"/>
  <c r="C706" i="25"/>
  <c r="B21" i="15"/>
  <c r="H21" i="15" s="1"/>
  <c r="I21" i="15" s="1"/>
  <c r="C675" i="25"/>
  <c r="B62" i="15"/>
  <c r="C617" i="25"/>
  <c r="B79" i="15"/>
  <c r="H79" i="15" s="1"/>
  <c r="I79" i="15" s="1"/>
  <c r="C628" i="25"/>
  <c r="C687" i="25"/>
  <c r="B33" i="15"/>
  <c r="F33" i="15" s="1"/>
  <c r="C634" i="25"/>
  <c r="B67" i="15"/>
  <c r="C618" i="25"/>
  <c r="B74" i="15"/>
  <c r="C676" i="25"/>
  <c r="B22" i="15"/>
  <c r="H22" i="15" s="1"/>
  <c r="I22" i="15" s="1"/>
  <c r="B34" i="15"/>
  <c r="F34" i="15" s="1"/>
  <c r="C688" i="25"/>
  <c r="B84" i="15"/>
  <c r="H84" i="15" s="1"/>
  <c r="I84" i="15" s="1"/>
  <c r="C641" i="25"/>
  <c r="C692" i="25"/>
  <c r="B38" i="15"/>
  <c r="C714" i="25"/>
  <c r="B60" i="15"/>
  <c r="C683" i="25"/>
  <c r="B29" i="15"/>
  <c r="F29" i="15" s="1"/>
  <c r="C621" i="25"/>
  <c r="B93" i="15"/>
  <c r="F93" i="15" s="1"/>
  <c r="B70" i="15"/>
  <c r="F70" i="15" s="1"/>
  <c r="C630" i="25"/>
  <c r="C677" i="25"/>
  <c r="B23" i="15"/>
  <c r="H23" i="15" s="1"/>
  <c r="I23" i="15" s="1"/>
  <c r="C644" i="25"/>
  <c r="B87" i="15"/>
  <c r="F87" i="15" s="1"/>
  <c r="B72" i="15"/>
  <c r="F72" i="15" s="1"/>
  <c r="C637" i="25"/>
  <c r="C695" i="25"/>
  <c r="B41" i="15"/>
  <c r="B18" i="15"/>
  <c r="H18" i="15" s="1"/>
  <c r="I18" i="15" s="1"/>
  <c r="C672" i="25"/>
  <c r="C627" i="25"/>
  <c r="B82" i="15"/>
  <c r="F82" i="15" s="1"/>
  <c r="C699" i="25"/>
  <c r="B45" i="15"/>
  <c r="F45" i="15" s="1"/>
  <c r="C645" i="25"/>
  <c r="B88" i="15"/>
  <c r="B53" i="15"/>
  <c r="F53" i="15" s="1"/>
  <c r="C707" i="25"/>
  <c r="C623" i="25"/>
  <c r="B92" i="15"/>
  <c r="F92" i="15" s="1"/>
  <c r="B68" i="15"/>
  <c r="C625" i="25"/>
  <c r="C691" i="25"/>
  <c r="B37" i="15"/>
  <c r="C705" i="25"/>
  <c r="B51" i="15"/>
  <c r="F51" i="15" s="1"/>
  <c r="B78" i="15"/>
  <c r="F78" i="15" s="1"/>
  <c r="C620" i="25"/>
  <c r="B31" i="15"/>
  <c r="F31" i="15" s="1"/>
  <c r="C685" i="25"/>
  <c r="C670" i="25"/>
  <c r="B16" i="15"/>
  <c r="C622" i="25"/>
  <c r="B80" i="15"/>
  <c r="B49" i="15"/>
  <c r="F49" i="15" s="1"/>
  <c r="C703" i="25"/>
  <c r="C680" i="25"/>
  <c r="B26" i="15"/>
  <c r="H26" i="15" s="1"/>
  <c r="I26" i="15" s="1"/>
  <c r="C647" i="25"/>
  <c r="B90" i="15"/>
  <c r="B17" i="15"/>
  <c r="F17" i="15" s="1"/>
  <c r="B36" i="15"/>
  <c r="F36" i="15" s="1"/>
  <c r="H36" i="15" s="1"/>
  <c r="I36" i="15" s="1"/>
  <c r="C712" i="25"/>
  <c r="C68" i="25"/>
  <c r="CE68" i="25" s="1"/>
  <c r="CE53" i="25"/>
  <c r="B28" i="15"/>
  <c r="F28" i="15" s="1"/>
  <c r="B55" i="15"/>
  <c r="F55" i="15" s="1"/>
  <c r="B64" i="15"/>
  <c r="B81" i="15"/>
  <c r="F81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A85" i="24"/>
  <c r="I341" i="32" s="1"/>
  <c r="M14" i="31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M6" i="31"/>
  <c r="G17" i="32"/>
  <c r="G85" i="24"/>
  <c r="F38" i="15"/>
  <c r="M54" i="31"/>
  <c r="F241" i="32"/>
  <c r="BC85" i="24"/>
  <c r="F74" i="15"/>
  <c r="M80" i="31"/>
  <c r="D369" i="32"/>
  <c r="CC85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H16" i="15"/>
  <c r="I16" i="15" s="1"/>
  <c r="F16" i="15"/>
  <c r="M59" i="31"/>
  <c r="D273" i="32"/>
  <c r="BH85" i="24"/>
  <c r="F46" i="15"/>
  <c r="H46" i="15"/>
  <c r="I46" i="15" s="1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F84" i="15"/>
  <c r="M19" i="31"/>
  <c r="F81" i="32"/>
  <c r="T85" i="24"/>
  <c r="M17" i="31"/>
  <c r="D81" i="32"/>
  <c r="R85" i="24"/>
  <c r="F22" i="15"/>
  <c r="M5" i="31"/>
  <c r="F17" i="32"/>
  <c r="F85" i="24"/>
  <c r="F47" i="15"/>
  <c r="H47" i="15"/>
  <c r="I47" i="15" s="1"/>
  <c r="M12" i="31"/>
  <c r="F49" i="32"/>
  <c r="M85" i="24"/>
  <c r="F39" i="15"/>
  <c r="C138" i="8"/>
  <c r="D417" i="24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M53" i="31"/>
  <c r="E241" i="32"/>
  <c r="BB85" i="24"/>
  <c r="F37" i="15"/>
  <c r="C67" i="24"/>
  <c r="CE52" i="24"/>
  <c r="M62" i="31"/>
  <c r="G273" i="32"/>
  <c r="BK85" i="24"/>
  <c r="F85" i="15"/>
  <c r="H85" i="15"/>
  <c r="I85" i="15" s="1"/>
  <c r="M50" i="31"/>
  <c r="I209" i="32"/>
  <c r="AY85" i="24"/>
  <c r="H94" i="15"/>
  <c r="I94" i="15" s="1"/>
  <c r="G94" i="15"/>
  <c r="F4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4" i="15"/>
  <c r="M72" i="31"/>
  <c r="C337" i="32"/>
  <c r="BU85" i="24"/>
  <c r="F89" i="15"/>
  <c r="F90" i="15"/>
  <c r="M51" i="31"/>
  <c r="C241" i="32"/>
  <c r="AZ85" i="24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F91" i="15"/>
  <c r="C92" i="15"/>
  <c r="G92" i="15" s="1"/>
  <c r="C373" i="32"/>
  <c r="C622" i="24"/>
  <c r="H20" i="15" l="1"/>
  <c r="I20" i="15" s="1"/>
  <c r="H53" i="15"/>
  <c r="I53" i="15" s="1"/>
  <c r="F18" i="15"/>
  <c r="F79" i="15"/>
  <c r="F213" i="32"/>
  <c r="C670" i="24"/>
  <c r="C17" i="15"/>
  <c r="G17" i="15" s="1"/>
  <c r="C74" i="15"/>
  <c r="G74" i="15" s="1"/>
  <c r="C677" i="24"/>
  <c r="C24" i="15"/>
  <c r="G24" i="15" s="1"/>
  <c r="C31" i="15"/>
  <c r="G31" i="15" s="1"/>
  <c r="E85" i="32"/>
  <c r="I117" i="32"/>
  <c r="C695" i="24"/>
  <c r="C713" i="24"/>
  <c r="H277" i="32"/>
  <c r="H51" i="15"/>
  <c r="I51" i="15" s="1"/>
  <c r="F80" i="15"/>
  <c r="H81" i="15"/>
  <c r="I81" i="15" s="1"/>
  <c r="C86" i="25"/>
  <c r="F23" i="15"/>
  <c r="H55" i="15"/>
  <c r="I55" i="15" s="1"/>
  <c r="H77" i="15"/>
  <c r="I77" i="15" s="1"/>
  <c r="H44" i="15"/>
  <c r="I44" i="15" s="1"/>
  <c r="H52" i="15"/>
  <c r="I52" i="15" s="1"/>
  <c r="F21" i="15"/>
  <c r="F71" i="15"/>
  <c r="H87" i="15"/>
  <c r="I87" i="15" s="1"/>
  <c r="H57" i="15"/>
  <c r="I57" i="15" s="1"/>
  <c r="C649" i="25"/>
  <c r="M717" i="25" s="1"/>
  <c r="H59" i="15"/>
  <c r="I59" i="15" s="1"/>
  <c r="H83" i="15"/>
  <c r="I83" i="15" s="1"/>
  <c r="F26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79" i="15" s="1"/>
  <c r="G245" i="32"/>
  <c r="C68" i="15"/>
  <c r="G68" i="15" s="1"/>
  <c r="C624" i="24"/>
  <c r="H17" i="15" l="1"/>
  <c r="I17" i="15" s="1"/>
  <c r="H74" i="15"/>
  <c r="I74" i="15" s="1"/>
  <c r="H24" i="15"/>
  <c r="H31" i="15"/>
  <c r="I31" i="15" s="1"/>
  <c r="G30" i="15"/>
  <c r="H30" i="15"/>
  <c r="I30" i="15" s="1"/>
  <c r="H69" i="15"/>
  <c r="I69" i="15" s="1"/>
  <c r="H72" i="15"/>
  <c r="I72" i="15" s="1"/>
  <c r="H80" i="15"/>
  <c r="I80" i="15" s="1"/>
  <c r="H40" i="15"/>
  <c r="I40" i="15" s="1"/>
  <c r="H91" i="15"/>
  <c r="I91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J715" i="24"/>
  <c r="K710" i="25"/>
  <c r="M710" i="25" s="1"/>
  <c r="K702" i="25"/>
  <c r="K694" i="25"/>
  <c r="M694" i="25" s="1"/>
  <c r="K686" i="25"/>
  <c r="M686" i="25" s="1"/>
  <c r="K707" i="25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M688" i="25" s="1"/>
  <c r="K680" i="25"/>
  <c r="M680" i="25" s="1"/>
  <c r="K709" i="25"/>
  <c r="K701" i="25"/>
  <c r="K693" i="25"/>
  <c r="K685" i="25"/>
  <c r="K717" i="25"/>
  <c r="K708" i="25"/>
  <c r="M708" i="25" s="1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M706" i="25" s="1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72" i="25" l="1"/>
  <c r="M685" i="25"/>
  <c r="M701" i="25"/>
  <c r="L712" i="24"/>
  <c r="M684" i="25"/>
  <c r="L690" i="24"/>
  <c r="M671" i="25"/>
  <c r="M681" i="25"/>
  <c r="M707" i="25"/>
  <c r="L709" i="24"/>
  <c r="L677" i="24"/>
  <c r="L678" i="24"/>
  <c r="L675" i="24"/>
  <c r="L705" i="24"/>
  <c r="L694" i="24"/>
  <c r="L676" i="24"/>
  <c r="L680" i="24"/>
  <c r="L689" i="24"/>
  <c r="L695" i="24"/>
  <c r="L697" i="24"/>
  <c r="L701" i="24"/>
  <c r="L698" i="24"/>
  <c r="L681" i="24"/>
  <c r="L706" i="24"/>
  <c r="L682" i="24"/>
  <c r="L683" i="24"/>
  <c r="L696" i="24"/>
  <c r="L670" i="24"/>
  <c r="L686" i="24"/>
  <c r="L687" i="24"/>
  <c r="L669" i="24"/>
  <c r="L704" i="24"/>
  <c r="L668" i="24"/>
  <c r="L684" i="24"/>
  <c r="L702" i="24"/>
  <c r="L699" i="24"/>
  <c r="L707" i="24"/>
  <c r="L672" i="24"/>
  <c r="L679" i="24"/>
  <c r="L685" i="24"/>
  <c r="L703" i="24"/>
  <c r="L673" i="24"/>
  <c r="L691" i="24"/>
  <c r="L671" i="24"/>
  <c r="L674" i="24"/>
  <c r="L693" i="24"/>
  <c r="L710" i="24"/>
  <c r="L692" i="24"/>
  <c r="L711" i="24"/>
  <c r="L688" i="24"/>
  <c r="L716" i="24"/>
  <c r="L700" i="24"/>
  <c r="M689" i="25"/>
  <c r="M693" i="25"/>
  <c r="M714" i="25"/>
  <c r="M67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<sst xmlns="http://schemas.openxmlformats.org/spreadsheetml/2006/main" count="5780" uniqueCount="1389">
  <si>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</si>
  <si>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</si>
  <si>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</si>
  <si>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</si>
  <si>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</si>
  <si>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</si>
  <si>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</si>
  <si>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</si>
  <si>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</si>
  <si>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</si>
  <si>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</si>
  <si>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</si>
  <si>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</si>
  <si>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</si>
  <si>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</si>
  <si>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</si>
  <si>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</si>
  <si>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</si>
  <si>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</si>
  <si>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</si>
  <si>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</si>
  <si>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</si>
  <si>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</si>
  <si>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</si>
  <si>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</si>
  <si>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</si>
  <si>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</si>
  <si>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</si>
  <si>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</si>
  <si>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</si>
  <si>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</si>
  <si>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</si>
  <si>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</si>
  <si>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</si>
  <si>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</si>
  <si>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</si>
  <si>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</si>
  <si>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</si>
  <si>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</si>
  <si>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</si>
  <si>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</si>
  <si>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</si>
  <si>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</si>
  <si>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</si>
  <si>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</si>
  <si>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</si>
  <si>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</si>
  <si>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</si>
  <si>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</si>
  <si>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</si>
  <si>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</si>
  <si>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</si>
  <si>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</si>
  <si>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</si>
  <si>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</si>
  <si>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</si>
  <si>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</si>
  <si>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</si>
  <si>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</si>
  <si>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</si>
  <si>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</si>
  <si>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</si>
  <si>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</si>
  <si>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</si>
  <si>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</si>
  <si>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</si>
  <si>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</si>
  <si>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</si>
  <si>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</si>
  <si>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</si>
  <si>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</si>
  <si>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</si>
  <si>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</si>
  <si>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</si>
  <si>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</si>
  <si>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</si>
  <si>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</si>
  <si>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</si>
  <si>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</si>
  <si>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</si>
  <si>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</si>
  <si>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</si>
  <si>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</si>
  <si>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</si>
  <si>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</si>
  <si>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</si>
  <si>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</si>
  <si>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</si>
  <si>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</si>
  <si>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</si>
  <si>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</si>
  <si>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</si>
  <si>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</si>
  <si>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</si>
  <si>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</si>
  <si>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</si>
  <si>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</si>
  <si>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</si>
  <si>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</si>
  <si>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</si>
  <si>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</si>
  <si>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</si>
  <si>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</si>
  <si>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</si>
  <si>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</si>
  <si>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</si>
  <si>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</si>
  <si>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</si>
  <si>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</si>
  <si>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</si>
  <si>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</si>
  <si>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</si>
  <si>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</si>
  <si>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</si>
  <si>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</si>
  <si>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</si>
  <si>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</si>
  <si>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</si>
  <si>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</si>
  <si>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</si>
  <si>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</si>
  <si>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</si>
  <si>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</si>
  <si>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</si>
  <si>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</si>
  <si>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</si>
  <si>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</si>
  <si>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</si>
  <si>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</si>
  <si>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</si>
  <si>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</si>
  <si>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</si>
  <si>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</si>
  <si>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</si>
  <si>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</si>
  <si>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</si>
  <si>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</si>
  <si>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</si>
  <si>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</si>
  <si>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</si>
  <si>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</si>
  <si>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</si>
  <si>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</si>
  <si>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</si>
  <si>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</si>
  <si>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</si>
  <si>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</si>
  <si>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</si>
  <si>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</si>
  <si>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</si>
  <si>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</si>
  <si>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</si>
  <si>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</si>
  <si>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</si>
  <si>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</si>
  <si>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</si>
  <si>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</si>
  <si>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</si>
  <si>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</si>
  <si>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</si>
  <si>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</si>
  <si>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</si>
  <si>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</si>
  <si>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</si>
  <si>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</si>
  <si>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</si>
  <si>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</si>
  <si>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</si>
  <si>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</si>
  <si>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</si>
  <si>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</si>
  <si>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</si>
  <si>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</si>
  <si>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</si>
  <si>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</si>
  <si>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</si>
  <si>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</si>
  <si>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</si>
  <si>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</si>
  <si>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</si>
  <si>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</si>
  <si>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</si>
  <si>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</si>
  <si>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</si>
  <si>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</si>
  <si>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</si>
  <si>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</si>
  <si>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</si>
  <si>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</si>
  <si>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</si>
  <si>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</si>
  <si>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</si>
  <si>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</si>
  <si>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</si>
  <si>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</si>
  <si>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</si>
  <si>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</si>
  <si>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</si>
  <si>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</si>
  <si>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</si>
  <si>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</si>
  <si>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</si>
  <si>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</si>
  <si>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</si>
  <si>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</si>
  <si>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</si>
  <si>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</si>
  <si>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</si>
  <si>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</si>
  <si>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</si>
  <si>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</si>
  <si>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</si>
  <si>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</si>
  <si>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</si>
  <si>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</si>
  <si>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</si>
  <si>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</si>
  <si>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</si>
  <si>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</si>
  <si>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</si>
  <si>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</si>
  <si>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</si>
  <si>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</si>
  <si>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</si>
  <si>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</si>
  <si>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</si>
  <si>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</si>
  <si>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</si>
  <si>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</si>
  <si>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</si>
  <si>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</si>
  <si>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</si>
  <si>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</si>
  <si>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</si>
  <si>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</si>
  <si>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</si>
  <si>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</si>
  <si>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</si>
  <si>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</si>
  <si>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</si>
  <si>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</si>
  <si>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</si>
  <si>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</si>
  <si>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</si>
  <si>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</si>
  <si>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</si>
  <si>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</si>
  <si>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</si>
  <si>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</si>
  <si>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</si>
  <si>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</si>
  <si>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</si>
  <si>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</si>
  <si>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</si>
  <si>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</si>
  <si>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</si>
  <si>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</si>
  <si>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</si>
  <si>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</si>
  <si>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</si>
  <si>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</si>
  <si>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</si>
  <si>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</si>
  <si>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</si>
  <si>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</si>
  <si>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</si>
  <si>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</si>
  <si>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</si>
  <si>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</si>
  <si>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</si>
  <si>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</si>
  <si>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</si>
  <si>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</si>
  <si>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</si>
  <si>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</si>
  <si>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</si>
  <si>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</si>
  <si>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</si>
  <si>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</si>
  <si>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</si>
  <si>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</si>
  <si>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</si>
  <si>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</si>
  <si>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</si>
  <si>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</si>
  <si>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</si>
  <si>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</si>
  <si>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</si>
  <si>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</si>
  <si>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</si>
  <si>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</si>
  <si>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</si>
  <si>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</si>
  <si>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</si>
  <si>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</si>
  <si>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</si>
  <si>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</si>
  <si>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</si>
  <si>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</si>
  <si>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</si>
  <si>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</si>
  <si>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</si>
  <si>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</si>
  <si>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</si>
  <si>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</si>
  <si>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</si>
  <si>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</si>
  <si>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</si>
  <si>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</si>
  <si>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</si>
  <si>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</si>
  <si>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</si>
  <si>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</si>
  <si>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</si>
  <si>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</si>
  <si>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</si>
  <si>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</si>
  <si>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</si>
  <si>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</si>
  <si>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</si>
  <si>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</si>
  <si>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</si>
  <si>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</si>
  <si>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</si>
  <si>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</si>
  <si>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</si>
  <si>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</si>
  <si>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</si>
  <si>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</si>
  <si>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</si>
  <si>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</si>
  <si>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</si>
  <si>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</si>
  <si>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</si>
  <si>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</si>
  <si>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</si>
  <si>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</si>
  <si>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</si>
  <si>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</si>
  <si>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</si>
  <si>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</si>
  <si>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</si>
  <si>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</si>
  <si>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</si>
  <si>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</si>
  <si>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</si>
  <si>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</si>
  <si>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</si>
  <si>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</si>
  <si>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</si>
  <si>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</si>
  <si>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</si>
  <si>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</si>
  <si>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</si>
  <si>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</si>
  <si>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</si>
  <si>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</si>
  <si>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</si>
  <si>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</si>
  <si>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</si>
  <si>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</si>
  <si>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</si>
  <si>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</si>
  <si>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</si>
  <si>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</si>
  <si>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</si>
  <si>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</si>
  <si>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</si>
  <si>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</si>
  <si>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</si>
  <si>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</si>
  <si>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</si>
  <si>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</si>
  <si>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</si>
  <si>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</si>
  <si>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</si>
  <si>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</si>
  <si>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</si>
  <si>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</si>
  <si>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</si>
  <si>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</si>
  <si>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</si>
  <si>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</si>
  <si>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</si>
  <si>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</si>
  <si>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</si>
  <si>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</si>
  <si>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</si>
  <si>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</si>
  <si>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</si>
  <si>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</si>
  <si>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</si>
  <si>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</si>
  <si>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</si>
  <si>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</si>
  <si>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</si>
  <si>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</si>
  <si>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</si>
  <si>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</si>
  <si>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</si>
  <si>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</si>
  <si>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</si>
  <si>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</si>
  <si>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</si>
  <si>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</si>
  <si>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</si>
  <si>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</si>
  <si>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</si>
  <si>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</si>
  <si>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</si>
  <si>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</si>
  <si>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</si>
  <si>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</si>
  <si>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</si>
  <si>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</si>
  <si>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</si>
  <si>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</si>
  <si>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</si>
  <si>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</si>
  <si>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</si>
  <si>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</si>
  <si>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</si>
  <si>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</si>
  <si>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</si>
  <si>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</si>
  <si>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</si>
  <si>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</si>
  <si>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</si>
  <si>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</si>
  <si>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</si>
  <si>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</si>
  <si>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</si>
  <si>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</si>
  <si>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</si>
  <si>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</si>
  <si>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</si>
  <si>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</si>
  <si>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</si>
  <si>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</si>
  <si>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</si>
  <si>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</si>
  <si>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</si>
  <si>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</si>
  <si>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</si>
  <si>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</si>
  <si>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</si>
  <si>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</si>
  <si>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</si>
  <si>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</si>
  <si>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</si>
  <si>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</si>
  <si>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</si>
  <si>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</si>
  <si>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</si>
  <si>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</si>
  <si>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</si>
  <si>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</si>
  <si>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</si>
  <si>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</si>
  <si>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</si>
  <si>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</si>
  <si>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</si>
  <si>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</si>
  <si>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</si>
  <si>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</si>
  <si>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</si>
  <si>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</si>
  <si>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</si>
  <si>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</si>
  <si>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</si>
  <si>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</si>
  <si>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</si>
  <si>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</si>
  <si>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</si>
  <si>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</si>
  <si>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</si>
  <si>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</si>
  <si>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</si>
  <si>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</si>
  <si>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</si>
  <si>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</si>
  <si>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</si>
  <si>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</si>
  <si>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</si>
  <si>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</si>
  <si>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</si>
  <si>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</si>
  <si>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</si>
  <si>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</si>
  <si>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</si>
  <si>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</si>
  <si>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</si>
  <si>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</si>
  <si>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</si>
  <si>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</si>
  <si>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</si>
  <si>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</si>
  <si>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</si>
  <si>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</si>
  <si>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</si>
  <si>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</si>
  <si>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</si>
  <si>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</si>
  <si>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</si>
  <si>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</si>
  <si>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</si>
  <si>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</si>
  <si>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</si>
  <si>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</si>
  <si>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</si>
  <si>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</si>
  <si>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</si>
  <si>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</si>
  <si>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</si>
  <si>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</si>
  <si>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</si>
  <si>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</si>
  <si>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</si>
  <si>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</si>
  <si>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</si>
  <si>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</si>
  <si>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</si>
  <si>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</si>
  <si>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</si>
  <si>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</si>
  <si>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</si>
  <si>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</si>
  <si>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</si>
  <si>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</si>
  <si>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</si>
  <si>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</si>
  <si>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</si>
  <si>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</si>
  <si>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</si>
  <si>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</si>
  <si>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</si>
  <si>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</si>
  <si>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</si>
  <si>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</si>
  <si>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</si>
  <si>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</si>
  <si>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</si>
  <si>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</si>
  <si>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</si>
  <si>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</si>
  <si>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</si>
  <si>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</si>
  <si>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</si>
  <si>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</si>
  <si>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</si>
  <si>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</si>
  <si>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</si>
  <si>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</si>
  <si>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</si>
  <si>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</si>
  <si>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</si>
  <si>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</si>
  <si>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</si>
  <si>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</si>
  <si>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</si>
  <si>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</si>
  <si>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</si>
  <si>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</si>
  <si>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</si>
  <si>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</si>
  <si>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</si>
  <si>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</si>
  <si>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</si>
  <si>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</si>
  <si>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</si>
  <si>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</si>
  <si>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</si>
  <si>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</si>
  <si>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</si>
  <si>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</si>
  <si>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</si>
  <si>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</si>
  <si>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</si>
  <si>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</si>
  <si>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</si>
  <si>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</si>
  <si>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</si>
  <si>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</si>
  <si>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</si>
  <si>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</si>
  <si>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</si>
  <si>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</si>
  <si>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</si>
  <si>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</si>
  <si>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</si>
  <si>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</si>
  <si>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</si>
  <si>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</si>
  <si>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</si>
  <si>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</si>
  <si>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</si>
  <si>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</si>
  <si>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</si>
  <si>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</si>
  <si>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</si>
  <si>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</si>
  <si>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</si>
  <si>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</si>
  <si>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</si>
  <si>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</si>
  <si>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</si>
  <si>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</si>
  <si>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</si>
  <si>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</si>
  <si>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</si>
  <si>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</si>
  <si>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</si>
  <si>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</si>
  <si>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</si>
  <si>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</si>
  <si>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</si>
  <si>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</si>
  <si>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</si>
  <si>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</si>
  <si>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</si>
  <si>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</si>
  <si>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</si>
  <si>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</si>
  <si>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</si>
  <si>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</si>
  <si>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</si>
  <si>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</si>
  <si>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</si>
  <si>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</si>
  <si>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</si>
  <si>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</si>
  <si>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</si>
  <si>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</si>
  <si>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</si>
  <si>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</si>
  <si>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</si>
  <si>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</si>
  <si>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</si>
  <si>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</si>
  <si>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</si>
  <si>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</si>
  <si>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</si>
  <si>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</si>
  <si>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</si>
  <si>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</si>
  <si>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</si>
  <si>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</si>
  <si>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</si>
  <si>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</si>
  <si>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</si>
  <si>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</si>
  <si>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</si>
  <si>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</si>
  <si>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</si>
  <si>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</si>
  <si>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</si>
  <si>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</si>
  <si>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</si>
  <si>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</si>
  <si>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</si>
  <si>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</si>
  <si>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</si>
  <si>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</si>
  <si>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</si>
  <si>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</si>
  <si>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</si>
  <si>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</si>
  <si>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</si>
  <si>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</si>
  <si>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</si>
  <si>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</si>
  <si>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</si>
  <si>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</si>
  <si>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</si>
  <si>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</si>
  <si>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</si>
  <si>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</si>
  <si>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</si>
  <si>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</si>
  <si>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</si>
  <si>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</si>
  <si>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</si>
  <si>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</si>
  <si>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</si>
  <si>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</si>
  <si>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</si>
  <si>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</si>
  <si>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</si>
  <si>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</si>
  <si>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</si>
  <si>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</si>
  <si>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</si>
  <si>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</si>
  <si>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</si>
  <si>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</si>
  <si>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</si>
  <si>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</si>
  <si>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</si>
  <si>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</si>
  <si>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</si>
  <si>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</si>
  <si>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</si>
  <si>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</si>
  <si>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</si>
  <si>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</si>
  <si>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</si>
  <si>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</si>
  <si>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</si>
  <si>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</si>
  <si>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</si>
  <si>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</si>
  <si>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</si>
  <si>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</si>
  <si>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</si>
  <si>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</si>
  <si>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</si>
  <si>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</si>
  <si>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</si>
  <si>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</si>
  <si>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</si>
  <si>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</si>
  <si>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</si>
  <si>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</si>
  <si>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</si>
  <si>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</si>
  <si>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</si>
  <si>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</si>
  <si>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</si>
  <si>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</si>
  <si>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</si>
  <si>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</si>
  <si>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</si>
  <si>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</si>
  <si>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</si>
  <si>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</si>
  <si>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</si>
  <si>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</si>
  <si>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</si>
  <si>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</si>
  <si>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</si>
  <si>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</si>
  <si>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</si>
  <si>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</si>
  <si>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</si>
  <si>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</si>
  <si>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</si>
  <si>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</si>
  <si>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</si>
  <si>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</si>
  <si>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</si>
  <si>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</si>
  <si>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</si>
  <si>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</si>
  <si>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</si>
  <si>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</si>
  <si>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</si>
  <si>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</si>
  <si>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</si>
  <si>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</si>
  <si>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</si>
  <si>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</si>
  <si>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</si>
  <si>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</si>
  <si>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</si>
  <si>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</si>
  <si>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</si>
  <si>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</si>
  <si>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</si>
  <si>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</si>
  <si>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</si>
  <si>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</si>
  <si>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</si>
  <si>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</si>
  <si>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</si>
  <si>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</si>
  <si>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</si>
  <si>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</si>
  <si>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</si>
  <si>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</si>
  <si>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</si>
  <si>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</si>
  <si>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</si>
  <si>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</si>
  <si>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</si>
  <si>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</si>
  <si>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</si>
  <si>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</si>
  <si>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</si>
  <si>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</si>
  <si>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</si>
  <si>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</si>
  <si>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</si>
  <si>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</si>
  <si>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</si>
  <si>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</si>
  <si>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</si>
  <si>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</si>
  <si>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</si>
  <si>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</si>
  <si>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</si>
  <si>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</si>
  <si>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</si>
  <si>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</si>
  <si>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</si>
  <si>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</si>
  <si>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</si>
  <si>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</si>
  <si>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</si>
  <si>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</si>
  <si>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</si>
  <si>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</si>
  <si>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</si>
  <si>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</si>
  <si>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</si>
  <si>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</si>
  <si>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</si>
  <si>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</si>
  <si>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</si>
  <si>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</si>
  <si>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</si>
  <si>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</si>
  <si>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</si>
  <si>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</si>
  <si>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</si>
  <si>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</si>
  <si>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</si>
  <si>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</si>
  <si>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</si>
  <si>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</si>
  <si>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</si>
  <si>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</si>
  <si>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</si>
  <si>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</si>
  <si>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</si>
  <si>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</si>
  <si>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</si>
  <si>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</si>
  <si>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</si>
  <si>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</si>
  <si>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</si>
  <si>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</si>
  <si>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</si>
  <si>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</si>
  <si>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</si>
  <si>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</si>
  <si>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</si>
  <si>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</si>
  <si>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</si>
  <si>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</si>
  <si>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</si>
  <si>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</si>
  <si>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</si>
  <si>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</si>
  <si>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</si>
  <si>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</si>
  <si>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</si>
  <si>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</si>
  <si>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</si>
  <si>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</si>
  <si>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</si>
  <si>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</si>
  <si>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</si>
  <si>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</si>
  <si>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</si>
  <si>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</si>
  <si>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</si>
  <si>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</si>
  <si>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</si>
  <si>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</si>
  <si>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</si>
  <si>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</si>
  <si>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</si>
  <si>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</si>
  <si>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</si>
  <si>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</si>
  <si>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</si>
  <si>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</si>
  <si>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</si>
  <si>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</si>
  <si>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</si>
  <si>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</si>
  <si>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</si>
  <si>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</si>
  <si>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</si>
  <si>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</si>
  <si>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</si>
  <si>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</si>
  <si>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</si>
  <si>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</si>
  <si>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</si>
  <si>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</si>
  <si>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</si>
  <si>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</si>
  <si>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</si>
  <si>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</si>
  <si>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</si>
  <si>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</si>
  <si>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</si>
  <si>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</si>
  <si>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</si>
  <si>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</si>
  <si>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</si>
  <si>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</si>
  <si>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</si>
  <si>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</si>
  <si>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</si>
  <si>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</si>
  <si>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</si>
  <si>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</si>
  <si>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</si>
  <si>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</si>
  <si>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</si>
  <si>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</si>
  <si>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</si>
  <si>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</si>
  <si>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</si>
  <si>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</si>
  <si>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</si>
  <si>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</si>
  <si>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</si>
  <si>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</si>
  <si>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</si>
  <si>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</si>
  <si>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</si>
  <si>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</si>
  <si>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</si>
  <si>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</si>
  <si>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</si>
  <si>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</si>
  <si>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</si>
  <si>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</si>
  <si>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</si>
  <si>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</si>
  <si>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</si>
  <si>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</si>
  <si>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</si>
  <si>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</si>
  <si>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</si>
  <si>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</si>
  <si>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</si>
  <si>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</si>
  <si>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</si>
  <si>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</si>
  <si>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</si>
  <si>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</si>
  <si>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</si>
  <si>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</si>
  <si>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</si>
  <si>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</si>
  <si>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</si>
  <si>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</si>
  <si>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</si>
  <si>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</si>
  <si>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</si>
  <si>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</si>
  <si>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</si>
  <si>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</si>
  <si>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</si>
  <si>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</si>
  <si>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</si>
  <si>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</si>
  <si>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</si>
  <si>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</si>
  <si>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</si>
  <si>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</si>
  <si>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</si>
  <si>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</si>
  <si>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</si>
  <si>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</si>
  <si>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</si>
  <si>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</si>
  <si>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</si>
  <si>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</si>
  <si>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</si>
  <si>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</si>
  <si>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</si>
  <si>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</si>
  <si>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</si>
  <si>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</si>
  <si>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</si>
  <si>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</si>
  <si>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</si>
  <si>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</si>
  <si>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</si>
  <si>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</si>
  <si>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</si>
  <si>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</si>
  <si>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</si>
  <si>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</si>
  <si>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</si>
  <si>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</si>
  <si>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</si>
  <si>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</si>
  <si>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</si>
  <si>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</si>
  <si>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</si>
  <si>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</si>
  <si>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</si>
  <si>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</si>
  <si>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</si>
  <si>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</si>
  <si>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</si>
  <si>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</si>
  <si>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</si>
  <si>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</si>
  <si>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</si>
  <si>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</si>
  <si>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</si>
  <si>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</si>
  <si>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</si>
  <si>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</si>
  <si>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</si>
  <si>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</si>
  <si>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</si>
  <si>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</si>
  <si>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</si>
  <si>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</si>
  <si>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</si>
  <si>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</si>
  <si>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</si>
  <si>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</si>
  <si>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</si>
  <si>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</si>
  <si>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</si>
  <si>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</si>
  <si>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</si>
  <si>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</si>
  <si>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</si>
  <si>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</si>
  <si>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</si>
  <si>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</si>
  <si>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</si>
  <si>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</si>
  <si>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</si>
  <si>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</si>
  <si>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</si>
  <si>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</si>
  <si>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</si>
  <si>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</si>
  <si>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</si>
  <si>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</si>
  <si>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</si>
  <si>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</si>
  <si>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</si>
  <si>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</si>
  <si>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</si>
  <si>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</si>
  <si>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</si>
  <si>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</si>
  <si>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</si>
  <si>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</si>
  <si>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</si>
  <si>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</si>
  <si>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</si>
  <si>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</si>
  <si>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</si>
  <si>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</si>
  <si>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</si>
  <si>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</si>
  <si>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</si>
  <si>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</si>
  <si>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</si>
  <si>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</si>
  <si>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</si>
  <si>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</si>
  <si>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</si>
  <si>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</si>
  <si>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</si>
  <si>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</si>
  <si>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</si>
  <si>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</si>
  <si>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</si>
  <si>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</si>
  <si>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</si>
  <si>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</si>
  <si>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</si>
  <si>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</si>
  <si>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</si>
  <si>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</si>
  <si>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</si>
  <si>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</si>
  <si>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</si>
  <si>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</si>
  <si>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</si>
  <si>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</si>
  <si>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</si>
  <si>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</si>
  <si>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</si>
  <si>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</si>
  <si>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</si>
  <si>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</si>
  <si>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</si>
  <si>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</si>
  <si>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</si>
  <si>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</si>
  <si>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</si>
  <si>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</si>
  <si>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</si>
  <si>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</si>
  <si>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</si>
  <si>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</si>
  <si>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</si>
  <si>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</si>
  <si>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</si>
  <si>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</si>
  <si>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</si>
  <si>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</si>
  <si>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</si>
  <si>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</si>
  <si>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</si>
  <si>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</si>
  <si>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</si>
  <si>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</si>
  <si>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</si>
  <si>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</si>
  <si>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</si>
  <si>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</si>
  <si>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</si>
  <si>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</si>
  <si>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</si>
  <si>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</si>
  <si>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</si>
  <si>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</si>
  <si>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</si>
  <si>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</si>
  <si>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</si>
  <si>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</si>
  <si>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</si>
  <si>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</si>
  <si>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</si>
  <si>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</si>
  <si>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</si>
  <si>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</si>
  <si>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</si>
  <si>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</si>
  <si>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</si>
  <si>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</si>
  <si>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</si>
  <si>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</si>
  <si>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</si>
  <si>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</si>
  <si>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</si>
  <si>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</si>
  <si>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</si>
  <si>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</si>
  <si>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</si>
  <si>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</si>
  <si>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</si>
  <si>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</si>
  <si>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</si>
  <si>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</si>
  <si>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</si>
  <si>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</si>
  <si>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</si>
  <si>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</si>
  <si>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</si>
  <si>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</si>
  <si>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</si>
  <si>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</si>
  <si>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</si>
  <si>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</si>
  <si>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</si>
  <si>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</si>
  <si>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</si>
  <si>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</si>
  <si>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</si>
  <si>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</si>
  <si>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</si>
  <si>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</si>
  <si>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</si>
  <si>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</si>
  <si>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</si>
  <si>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</si>
  <si>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</si>
  <si>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</si>
  <si>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</si>
  <si>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</si>
  <si>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</si>
  <si>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</si>
  <si>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</si>
  <si>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</si>
  <si>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</si>
  <si>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</si>
  <si>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</si>
  <si>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</si>
  <si>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</si>
  <si>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</si>
  <si>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</si>
  <si>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</si>
  <si>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</si>
  <si>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</si>
  <si>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</si>
  <si>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</si>
  <si>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</si>
  <si>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</si>
  <si>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</si>
  <si>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</si>
  <si>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</si>
  <si>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</si>
  <si>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</si>
  <si>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</si>
  <si>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</si>
  <si>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</si>
  <si>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</si>
  <si>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</si>
  <si>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</si>
  <si>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</si>
  <si>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</si>
  <si>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</si>
  <si>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</si>
  <si>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</si>
  <si>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</si>
  <si>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</si>
  <si>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</si>
  <si>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</si>
  <si>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</si>
  <si>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</si>
  <si>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</si>
  <si>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</si>
  <si>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</si>
  <si>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</si>
  <si>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</si>
  <si>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</si>
  <si>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</si>
  <si>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</si>
  <si>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</si>
  <si>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</si>
  <si>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</si>
  <si>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</si>
  <si>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</si>
  <si>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</si>
  <si>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</si>
  <si>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</si>
  <si>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</si>
  <si>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</si>
  <si>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</si>
  <si>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</si>
  <si>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</si>
  <si>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</si>
  <si>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</si>
  <si>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</si>
  <si>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</si>
  <si>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</si>
  <si>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</si>
  <si>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</si>
  <si>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</si>
  <si>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</si>
  <si>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</si>
  <si>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</si>
  <si>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</si>
  <si>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</si>
  <si>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</si>
  <si>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</si>
  <si>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</si>
  <si>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</si>
  <si>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</si>
  <si>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</si>
  <si>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</si>
  <si>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</si>
  <si>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</si>
  <si>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</si>
  <si>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</si>
  <si>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</si>
  <si>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</si>
  <si>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</si>
  <si>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</si>
  <si>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</si>
  <si>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</si>
  <si>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</si>
  <si>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</si>
  <si>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</si>
  <si>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</si>
  <si>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</si>
  <si>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</si>
  <si>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</si>
  <si>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</si>
  <si>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</si>
  <si>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</si>
  <si>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</si>
  <si>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</si>
  <si>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</si>
  <si>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</si>
  <si>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</si>
  <si>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</si>
  <si>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</si>
  <si>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</si>
  <si>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</si>
  <si>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</si>
  <si>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</si>
  <si>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</si>
  <si>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</si>
  <si>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</si>
  <si>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</si>
  <si>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</si>
  <si>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</si>
  <si>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</si>
  <si>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</si>
  <si>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</si>
  <si>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</si>
  <si>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</si>
  <si>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</si>
  <si>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</si>
  <si>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</si>
  <si>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</si>
  <si>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</si>
  <si>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</si>
  <si>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</si>
  <si>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</si>
  <si>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</si>
  <si>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</si>
  <si>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</si>
  <si>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</si>
  <si>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</si>
  <si>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</si>
  <si>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</si>
  <si>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</si>
  <si>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</si>
  <si>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</si>
  <si>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</si>
  <si>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</si>
  <si>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</si>
  <si>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</si>
  <si>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</si>
  <si>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</si>
  <si>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</si>
  <si>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</si>
  <si>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</si>
  <si>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</si>
  <si>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</si>
  <si>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</si>
  <si>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</si>
  <si>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</si>
  <si>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</si>
  <si>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</si>
  <si>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</si>
  <si>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</si>
  <si>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</si>
  <si>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</si>
  <si>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</si>
  <si>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</si>
  <si>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</si>
  <si>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</si>
  <si>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</si>
  <si>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</si>
  <si>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</si>
  <si>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</si>
  <si>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</si>
  <si>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</si>
  <si>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</si>
  <si>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</si>
  <si>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</si>
  <si>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</si>
  <si>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</si>
  <si>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</si>
  <si>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</si>
  <si>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</si>
  <si>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</si>
  <si>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</si>
  <si>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</si>
  <si>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</si>
  <si>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</si>
  <si>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</si>
  <si>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</si>
  <si>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096</t>
  </si>
  <si>
    <t>Skyline Health</t>
  </si>
  <si>
    <t>PO Box 99</t>
  </si>
  <si>
    <t>White Salmon</t>
  </si>
  <si>
    <t>WA</t>
  </si>
  <si>
    <t>Klickitat</t>
  </si>
  <si>
    <t>Robb Kimmes</t>
  </si>
  <si>
    <t>Brenda Schneider</t>
  </si>
  <si>
    <t>Julieit Pouillon</t>
  </si>
  <si>
    <t>509-493-1101</t>
  </si>
  <si>
    <t>509-493-4607</t>
  </si>
  <si>
    <t>12/31/2022</t>
  </si>
  <si>
    <t>Les Dewey</t>
  </si>
  <si>
    <t>brendaschneider@skylinehospital.org</t>
  </si>
  <si>
    <t>Robb Kimmes, CEO</t>
  </si>
  <si>
    <t>Les Dewey, Board Chair</t>
  </si>
  <si>
    <t>X</t>
  </si>
  <si>
    <t>travel &amp; education</t>
  </si>
  <si>
    <t>grant subrecipient pass thru</t>
  </si>
  <si>
    <t>uniform allowance</t>
  </si>
  <si>
    <t>dues &amp; subscriptions</t>
  </si>
  <si>
    <t>340B expenses</t>
  </si>
  <si>
    <t>other</t>
  </si>
  <si>
    <t>RN and C.N.A staffing shortages limited the acute and swing patients we could accept.</t>
  </si>
  <si>
    <t>https://mft.wa.gov</t>
  </si>
  <si>
    <t>Submit report via hospitals Managed File Transfer account: https://mft.wa.gov/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</si>
</sst>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3" fillId="0" borderId="1" xfId="1" quotePrefix="1" applyNumberFormat="1" applyFont="1" applyBorder="1" applyProtection="1"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https://m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endaschneider@skylinehospital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31" sqref="A31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1350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1329</v>
      </c>
    </row>
    <row r="6" spans="1:3" x14ac:dyDescent="0.35">
      <c r="A6" s="12" t="s">
        <v>4</v>
      </c>
    </row>
    <row r="7" spans="1:3" x14ac:dyDescent="0.35">
      <c r="A7" s="12" t="s">
        <v>1351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1352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1353</v>
      </c>
    </row>
    <row r="18" spans="1:10" ht="14.5" customHeight="1" x14ac:dyDescent="0.35">
      <c r="A18" s="18" t="s">
        <v>1354</v>
      </c>
    </row>
    <row r="19" spans="1:10" ht="14.5" customHeight="1" x14ac:dyDescent="0.35">
      <c r="A19" s="18" t="s">
        <v>1355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1356</v>
      </c>
      <c r="E23" s="71"/>
      <c r="F23" s="71"/>
      <c r="G23" s="71"/>
      <c r="I23" s="71"/>
      <c r="J23" s="71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3" t="s">
        <v>1387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1341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1360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1342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1361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333" t="s">
        <v>1388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2697474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535326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10691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186317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130320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143687</v>
      </c>
      <c r="Z48" s="32">
        <f t="shared" si="0"/>
        <v>0</v>
      </c>
      <c r="AA48" s="32">
        <f t="shared" si="0"/>
        <v>0</v>
      </c>
      <c r="AB48" s="32">
        <f t="shared" si="0"/>
        <v>71853</v>
      </c>
      <c r="AC48" s="32">
        <f t="shared" si="0"/>
        <v>41134</v>
      </c>
      <c r="AD48" s="32">
        <f t="shared" si="0"/>
        <v>0</v>
      </c>
      <c r="AE48" s="32">
        <f t="shared" si="0"/>
        <v>235120</v>
      </c>
      <c r="AF48" s="32">
        <f t="shared" si="0"/>
        <v>0</v>
      </c>
      <c r="AG48" s="32">
        <f t="shared" si="0"/>
        <v>156487</v>
      </c>
      <c r="AH48" s="32">
        <f t="shared" si="0"/>
        <v>0</v>
      </c>
      <c r="AI48" s="32">
        <f t="shared" si="0"/>
        <v>0</v>
      </c>
      <c r="AJ48" s="32">
        <f t="shared" si="0"/>
        <v>298901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56992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35010</v>
      </c>
      <c r="BE48" s="32">
        <f t="shared" si="0"/>
        <v>80142</v>
      </c>
      <c r="BF48" s="32">
        <f t="shared" si="0"/>
        <v>83031</v>
      </c>
      <c r="BG48" s="32">
        <f t="shared" si="0"/>
        <v>0</v>
      </c>
      <c r="BH48" s="32">
        <f t="shared" si="0"/>
        <v>111713</v>
      </c>
      <c r="BI48" s="32">
        <f t="shared" si="0"/>
        <v>0</v>
      </c>
      <c r="BJ48" s="32">
        <f t="shared" si="0"/>
        <v>82217</v>
      </c>
      <c r="BK48" s="32">
        <f t="shared" si="0"/>
        <v>73260</v>
      </c>
      <c r="BL48" s="32">
        <f t="shared" si="0"/>
        <v>0</v>
      </c>
      <c r="BM48" s="32">
        <f t="shared" si="0"/>
        <v>0</v>
      </c>
      <c r="BN48" s="32">
        <f t="shared" si="0"/>
        <v>64426</v>
      </c>
      <c r="BO48" s="32">
        <f t="shared" si="0"/>
        <v>0</v>
      </c>
      <c r="BP48" s="32">
        <f t="shared" ref="BP48:CD48" si="1">IF($B$48,(ROUND((($B$48/$CE$61)*BP61),0)))</f>
        <v>25247</v>
      </c>
      <c r="BQ48" s="32">
        <f t="shared" si="1"/>
        <v>0</v>
      </c>
      <c r="BR48" s="32">
        <f t="shared" si="1"/>
        <v>41161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22916</v>
      </c>
      <c r="BW48" s="32">
        <f t="shared" si="1"/>
        <v>0</v>
      </c>
      <c r="BX48" s="32">
        <f t="shared" si="1"/>
        <v>34878</v>
      </c>
      <c r="BY48" s="32">
        <f t="shared" si="1"/>
        <v>108058</v>
      </c>
      <c r="BZ48" s="32">
        <f t="shared" si="1"/>
        <v>0</v>
      </c>
      <c r="CA48" s="32">
        <f t="shared" si="1"/>
        <v>3595</v>
      </c>
      <c r="CB48" s="32">
        <f t="shared" si="1"/>
        <v>17959</v>
      </c>
      <c r="CC48" s="32">
        <f t="shared" si="1"/>
        <v>47031</v>
      </c>
      <c r="CD48" s="32">
        <f t="shared" si="1"/>
        <v>0</v>
      </c>
      <c r="CE48" s="32">
        <f>SUM(C48:CD48)</f>
        <v>2697472</v>
      </c>
    </row>
    <row r="49" spans="1:83" x14ac:dyDescent="0.35">
      <c r="A49" s="20" t="s">
        <v>218</v>
      </c>
      <c r="B49" s="32">
        <f>B47+B48</f>
        <v>2697474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1450623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222969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84231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25223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107380</v>
      </c>
      <c r="Z52" s="32">
        <f t="shared" si="2"/>
        <v>0</v>
      </c>
      <c r="AA52" s="32">
        <f t="shared" si="2"/>
        <v>0</v>
      </c>
      <c r="AB52" s="32">
        <f t="shared" si="2"/>
        <v>12667</v>
      </c>
      <c r="AC52" s="32">
        <f t="shared" si="2"/>
        <v>7702</v>
      </c>
      <c r="AD52" s="32">
        <f t="shared" si="2"/>
        <v>0</v>
      </c>
      <c r="AE52" s="32">
        <f t="shared" si="2"/>
        <v>71940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117994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0</v>
      </c>
      <c r="BA52" s="32">
        <f t="shared" si="2"/>
        <v>3443</v>
      </c>
      <c r="BB52" s="32">
        <f t="shared" si="2"/>
        <v>0</v>
      </c>
      <c r="BC52" s="32">
        <f t="shared" si="2"/>
        <v>0</v>
      </c>
      <c r="BD52" s="32">
        <f t="shared" si="2"/>
        <v>35837</v>
      </c>
      <c r="BE52" s="32">
        <f t="shared" si="2"/>
        <v>140547</v>
      </c>
      <c r="BF52" s="32">
        <f t="shared" si="2"/>
        <v>17345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441238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22465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1310981</v>
      </c>
    </row>
    <row r="53" spans="1:83" x14ac:dyDescent="0.35">
      <c r="A53" s="20" t="s">
        <v>218</v>
      </c>
      <c r="B53" s="32">
        <f>B51+B52</f>
        <v>1450623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709</v>
      </c>
      <c r="F59" s="24"/>
      <c r="G59" s="24"/>
      <c r="H59" s="24"/>
      <c r="I59" s="24"/>
      <c r="J59" s="24"/>
      <c r="K59" s="24"/>
      <c r="L59" s="24">
        <v>1003</v>
      </c>
      <c r="M59" s="24"/>
      <c r="N59" s="24"/>
      <c r="O59" s="24"/>
      <c r="P59" s="30">
        <v>619</v>
      </c>
      <c r="Q59" s="30"/>
      <c r="R59" s="30"/>
      <c r="S59" s="314"/>
      <c r="T59" s="314"/>
      <c r="U59" s="31">
        <v>31024</v>
      </c>
      <c r="V59" s="30"/>
      <c r="W59" s="30"/>
      <c r="X59" s="30"/>
      <c r="Y59" s="30">
        <v>8923</v>
      </c>
      <c r="Z59" s="30"/>
      <c r="AA59" s="30"/>
      <c r="AB59" s="314"/>
      <c r="AC59" s="30">
        <v>1061</v>
      </c>
      <c r="AD59" s="30"/>
      <c r="AE59" s="30">
        <v>8031</v>
      </c>
      <c r="AF59" s="30"/>
      <c r="AG59" s="30">
        <v>4204</v>
      </c>
      <c r="AH59" s="30"/>
      <c r="AI59" s="30"/>
      <c r="AJ59" s="30">
        <v>4562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>
        <v>5470</v>
      </c>
      <c r="AZ59" s="30"/>
      <c r="BA59" s="314"/>
      <c r="BB59" s="314"/>
      <c r="BC59" s="314"/>
      <c r="BD59" s="314"/>
      <c r="BE59" s="30">
        <v>65736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>
        <f>14.53+3.1</f>
        <v>17.63</v>
      </c>
      <c r="F60" s="315"/>
      <c r="G60" s="315"/>
      <c r="H60" s="315"/>
      <c r="I60" s="315"/>
      <c r="J60" s="315"/>
      <c r="K60" s="315"/>
      <c r="L60" s="315">
        <v>0.77</v>
      </c>
      <c r="M60" s="315"/>
      <c r="N60" s="315"/>
      <c r="O60" s="315"/>
      <c r="P60" s="316">
        <f>6.11+0.23</f>
        <v>6.3400000000000007</v>
      </c>
      <c r="Q60" s="316"/>
      <c r="R60" s="316"/>
      <c r="S60" s="317"/>
      <c r="T60" s="317"/>
      <c r="U60" s="318">
        <v>6.2</v>
      </c>
      <c r="V60" s="316"/>
      <c r="W60" s="316"/>
      <c r="X60" s="316"/>
      <c r="Y60" s="316">
        <v>6.11</v>
      </c>
      <c r="Z60" s="316"/>
      <c r="AA60" s="316"/>
      <c r="AB60" s="317">
        <v>2.38</v>
      </c>
      <c r="AC60" s="316">
        <v>1.6</v>
      </c>
      <c r="AD60" s="316"/>
      <c r="AE60" s="316">
        <v>9.61</v>
      </c>
      <c r="AF60" s="316"/>
      <c r="AG60" s="316">
        <v>6.12</v>
      </c>
      <c r="AH60" s="316"/>
      <c r="AI60" s="316"/>
      <c r="AJ60" s="316">
        <f>11.55+0.61</f>
        <v>12.16</v>
      </c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7"/>
      <c r="AW60" s="317"/>
      <c r="AX60" s="317"/>
      <c r="AY60" s="316">
        <v>4.46</v>
      </c>
      <c r="AZ60" s="316"/>
      <c r="BA60" s="317"/>
      <c r="BB60" s="317"/>
      <c r="BC60" s="317"/>
      <c r="BD60" s="317">
        <v>2</v>
      </c>
      <c r="BE60" s="316">
        <v>3.79</v>
      </c>
      <c r="BF60" s="317">
        <v>7.42</v>
      </c>
      <c r="BG60" s="317"/>
      <c r="BH60" s="317">
        <v>4.0999999999999996</v>
      </c>
      <c r="BI60" s="317"/>
      <c r="BJ60" s="317">
        <v>2.62</v>
      </c>
      <c r="BK60" s="317">
        <v>5.96</v>
      </c>
      <c r="BL60" s="317"/>
      <c r="BM60" s="317"/>
      <c r="BN60" s="317">
        <v>1.07</v>
      </c>
      <c r="BO60" s="317"/>
      <c r="BP60" s="317">
        <v>0.98</v>
      </c>
      <c r="BQ60" s="317"/>
      <c r="BR60" s="317">
        <v>1.57</v>
      </c>
      <c r="BS60" s="317"/>
      <c r="BT60" s="317"/>
      <c r="BU60" s="317"/>
      <c r="BV60" s="317">
        <v>1.97</v>
      </c>
      <c r="BW60" s="317"/>
      <c r="BX60" s="317">
        <v>1.23</v>
      </c>
      <c r="BY60" s="317">
        <f>1.84+1.02</f>
        <v>2.8600000000000003</v>
      </c>
      <c r="BZ60" s="317"/>
      <c r="CA60" s="317">
        <v>0.12</v>
      </c>
      <c r="CB60" s="317">
        <v>1</v>
      </c>
      <c r="CC60" s="317">
        <f>0.63+0.97+0.25</f>
        <v>1.85</v>
      </c>
      <c r="CD60" s="247" t="s">
        <v>233</v>
      </c>
      <c r="CE60" s="268">
        <f t="shared" ref="CE60:CE68" si="4">SUM(C60:CD60)</f>
        <v>111.91999999999999</v>
      </c>
    </row>
    <row r="61" spans="1:83" x14ac:dyDescent="0.35">
      <c r="A61" s="39" t="s">
        <v>248</v>
      </c>
      <c r="B61" s="20"/>
      <c r="C61" s="24"/>
      <c r="D61" s="24"/>
      <c r="E61" s="24">
        <v>1887090</v>
      </c>
      <c r="F61" s="24"/>
      <c r="G61" s="24"/>
      <c r="H61" s="24"/>
      <c r="I61" s="24"/>
      <c r="J61" s="24"/>
      <c r="K61" s="24"/>
      <c r="L61" s="24">
        <v>37686</v>
      </c>
      <c r="M61" s="24"/>
      <c r="N61" s="24"/>
      <c r="O61" s="24"/>
      <c r="P61" s="30">
        <v>656791</v>
      </c>
      <c r="Q61" s="30"/>
      <c r="R61" s="30"/>
      <c r="S61" s="319"/>
      <c r="T61" s="319"/>
      <c r="U61" s="31">
        <v>459395</v>
      </c>
      <c r="V61" s="30"/>
      <c r="W61" s="30"/>
      <c r="X61" s="30"/>
      <c r="Y61" s="30">
        <v>506515</v>
      </c>
      <c r="Z61" s="30"/>
      <c r="AA61" s="30"/>
      <c r="AB61" s="320">
        <v>253291</v>
      </c>
      <c r="AC61" s="30">
        <v>145003</v>
      </c>
      <c r="AD61" s="30"/>
      <c r="AE61" s="30">
        <v>828828</v>
      </c>
      <c r="AF61" s="30"/>
      <c r="AG61" s="30">
        <v>551637</v>
      </c>
      <c r="AH61" s="30"/>
      <c r="AI61" s="30"/>
      <c r="AJ61" s="30">
        <v>1053663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9"/>
      <c r="AW61" s="319"/>
      <c r="AX61" s="319"/>
      <c r="AY61" s="30">
        <v>200905</v>
      </c>
      <c r="AZ61" s="30"/>
      <c r="BA61" s="319"/>
      <c r="BB61" s="319"/>
      <c r="BC61" s="319"/>
      <c r="BD61" s="319">
        <v>123414</v>
      </c>
      <c r="BE61" s="30">
        <v>282510</v>
      </c>
      <c r="BF61" s="319">
        <v>292696</v>
      </c>
      <c r="BG61" s="319"/>
      <c r="BH61" s="319">
        <v>393800</v>
      </c>
      <c r="BI61" s="319"/>
      <c r="BJ61" s="319">
        <v>289826</v>
      </c>
      <c r="BK61" s="319">
        <v>258250</v>
      </c>
      <c r="BL61" s="319"/>
      <c r="BM61" s="319"/>
      <c r="BN61" s="319">
        <v>227108</v>
      </c>
      <c r="BO61" s="319"/>
      <c r="BP61" s="319">
        <v>89000</v>
      </c>
      <c r="BQ61" s="319"/>
      <c r="BR61" s="319">
        <v>145096</v>
      </c>
      <c r="BS61" s="319"/>
      <c r="BT61" s="319"/>
      <c r="BU61" s="319"/>
      <c r="BV61" s="319">
        <v>80780</v>
      </c>
      <c r="BW61" s="319"/>
      <c r="BX61" s="319">
        <v>122949</v>
      </c>
      <c r="BY61" s="319">
        <v>380918</v>
      </c>
      <c r="BZ61" s="319"/>
      <c r="CA61" s="319">
        <v>12672</v>
      </c>
      <c r="CB61" s="319">
        <v>63306</v>
      </c>
      <c r="CC61" s="319">
        <f>39997+108308+17486</f>
        <v>165791</v>
      </c>
      <c r="CD61" s="29" t="s">
        <v>233</v>
      </c>
      <c r="CE61" s="32">
        <f t="shared" si="4"/>
        <v>9508920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535326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10691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186317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130320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143687</v>
      </c>
      <c r="Z62" s="32">
        <f t="shared" si="5"/>
        <v>0</v>
      </c>
      <c r="AA62" s="32">
        <f t="shared" si="5"/>
        <v>0</v>
      </c>
      <c r="AB62" s="32">
        <f t="shared" si="5"/>
        <v>71853</v>
      </c>
      <c r="AC62" s="32">
        <f t="shared" si="5"/>
        <v>41134</v>
      </c>
      <c r="AD62" s="32">
        <f t="shared" si="5"/>
        <v>0</v>
      </c>
      <c r="AE62" s="32">
        <f t="shared" si="5"/>
        <v>235120</v>
      </c>
      <c r="AF62" s="32">
        <f t="shared" si="5"/>
        <v>0</v>
      </c>
      <c r="AG62" s="32">
        <f t="shared" si="5"/>
        <v>156487</v>
      </c>
      <c r="AH62" s="32">
        <f t="shared" si="5"/>
        <v>0</v>
      </c>
      <c r="AI62" s="32">
        <f t="shared" si="5"/>
        <v>0</v>
      </c>
      <c r="AJ62" s="32">
        <f t="shared" si="5"/>
        <v>298901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56992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35010</v>
      </c>
      <c r="BE62" s="32">
        <f t="shared" si="5"/>
        <v>80142</v>
      </c>
      <c r="BF62" s="32">
        <f t="shared" si="5"/>
        <v>83031</v>
      </c>
      <c r="BG62" s="32">
        <f t="shared" si="5"/>
        <v>0</v>
      </c>
      <c r="BH62" s="32">
        <f t="shared" si="5"/>
        <v>111713</v>
      </c>
      <c r="BI62" s="32">
        <f t="shared" si="5"/>
        <v>0</v>
      </c>
      <c r="BJ62" s="32">
        <f t="shared" si="5"/>
        <v>82217</v>
      </c>
      <c r="BK62" s="32">
        <f t="shared" si="5"/>
        <v>73260</v>
      </c>
      <c r="BL62" s="32">
        <f t="shared" si="5"/>
        <v>0</v>
      </c>
      <c r="BM62" s="32">
        <f t="shared" si="5"/>
        <v>0</v>
      </c>
      <c r="BN62" s="32">
        <f t="shared" si="5"/>
        <v>64426</v>
      </c>
      <c r="BO62" s="32">
        <f t="shared" si="5"/>
        <v>0</v>
      </c>
      <c r="BP62" s="32">
        <f t="shared" ref="BP62:CC62" si="6">ROUND(BP47+BP48,0)</f>
        <v>25247</v>
      </c>
      <c r="BQ62" s="32">
        <f t="shared" si="6"/>
        <v>0</v>
      </c>
      <c r="BR62" s="32">
        <f t="shared" si="6"/>
        <v>41161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22916</v>
      </c>
      <c r="BW62" s="32">
        <f t="shared" si="6"/>
        <v>0</v>
      </c>
      <c r="BX62" s="32">
        <f t="shared" si="6"/>
        <v>34878</v>
      </c>
      <c r="BY62" s="32">
        <f t="shared" si="6"/>
        <v>108058</v>
      </c>
      <c r="BZ62" s="32">
        <f t="shared" si="6"/>
        <v>0</v>
      </c>
      <c r="CA62" s="32">
        <f t="shared" si="6"/>
        <v>3595</v>
      </c>
      <c r="CB62" s="32">
        <f t="shared" si="6"/>
        <v>17959</v>
      </c>
      <c r="CC62" s="32">
        <f t="shared" si="6"/>
        <v>47031</v>
      </c>
      <c r="CD62" s="29" t="s">
        <v>233</v>
      </c>
      <c r="CE62" s="32">
        <f t="shared" si="4"/>
        <v>2697472</v>
      </c>
    </row>
    <row r="63" spans="1:83" x14ac:dyDescent="0.35">
      <c r="A63" s="39" t="s">
        <v>249</v>
      </c>
      <c r="B63" s="20"/>
      <c r="C63" s="24"/>
      <c r="D63" s="24"/>
      <c r="E63" s="24">
        <v>1635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>
        <v>391463</v>
      </c>
      <c r="S63" s="319"/>
      <c r="T63" s="319"/>
      <c r="U63" s="31">
        <v>11504</v>
      </c>
      <c r="V63" s="30"/>
      <c r="W63" s="30"/>
      <c r="X63" s="30"/>
      <c r="Y63" s="30">
        <v>267868</v>
      </c>
      <c r="Z63" s="30"/>
      <c r="AA63" s="30"/>
      <c r="AB63" s="320"/>
      <c r="AC63" s="30">
        <v>-697</v>
      </c>
      <c r="AD63" s="30"/>
      <c r="AE63" s="30"/>
      <c r="AF63" s="30"/>
      <c r="AG63" s="30">
        <v>1299295</v>
      </c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1971068</v>
      </c>
    </row>
    <row r="64" spans="1:83" x14ac:dyDescent="0.35">
      <c r="A64" s="39" t="s">
        <v>250</v>
      </c>
      <c r="B64" s="20"/>
      <c r="C64" s="24"/>
      <c r="D64" s="24"/>
      <c r="E64" s="24">
        <v>56763</v>
      </c>
      <c r="F64" s="24"/>
      <c r="G64" s="24"/>
      <c r="H64" s="24"/>
      <c r="I64" s="24"/>
      <c r="J64" s="24"/>
      <c r="K64" s="24"/>
      <c r="L64" s="24">
        <v>240</v>
      </c>
      <c r="M64" s="24"/>
      <c r="N64" s="24"/>
      <c r="O64" s="24"/>
      <c r="P64" s="30">
        <v>145674</v>
      </c>
      <c r="Q64" s="30"/>
      <c r="R64" s="30">
        <v>3711</v>
      </c>
      <c r="S64" s="319">
        <v>292314</v>
      </c>
      <c r="T64" s="319"/>
      <c r="U64" s="31">
        <v>329590</v>
      </c>
      <c r="V64" s="30"/>
      <c r="W64" s="30"/>
      <c r="X64" s="30"/>
      <c r="Y64" s="30">
        <v>86825</v>
      </c>
      <c r="Z64" s="30"/>
      <c r="AA64" s="30"/>
      <c r="AB64" s="320">
        <v>515979</v>
      </c>
      <c r="AC64" s="30"/>
      <c r="AD64" s="30"/>
      <c r="AE64" s="30">
        <v>12198</v>
      </c>
      <c r="AF64" s="30"/>
      <c r="AG64" s="30">
        <v>45943</v>
      </c>
      <c r="AH64" s="30"/>
      <c r="AI64" s="30"/>
      <c r="AJ64" s="30">
        <v>124054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9"/>
      <c r="AW64" s="319"/>
      <c r="AX64" s="319"/>
      <c r="AY64" s="30">
        <v>131045</v>
      </c>
      <c r="AZ64" s="30"/>
      <c r="BA64" s="319">
        <v>13465</v>
      </c>
      <c r="BB64" s="319"/>
      <c r="BC64" s="319"/>
      <c r="BD64" s="319">
        <v>803</v>
      </c>
      <c r="BE64" s="30">
        <v>44955</v>
      </c>
      <c r="BF64" s="319">
        <v>31217</v>
      </c>
      <c r="BG64" s="319"/>
      <c r="BH64" s="319">
        <v>41780</v>
      </c>
      <c r="BI64" s="319"/>
      <c r="BJ64" s="319">
        <v>470</v>
      </c>
      <c r="BK64" s="319">
        <v>13064</v>
      </c>
      <c r="BL64" s="319"/>
      <c r="BM64" s="319"/>
      <c r="BN64" s="319">
        <v>2622</v>
      </c>
      <c r="BO64" s="319"/>
      <c r="BP64" s="319">
        <v>8389</v>
      </c>
      <c r="BQ64" s="319"/>
      <c r="BR64" s="319">
        <v>1458</v>
      </c>
      <c r="BS64" s="319"/>
      <c r="BT64" s="319"/>
      <c r="BU64" s="319"/>
      <c r="BV64" s="319">
        <v>4076</v>
      </c>
      <c r="BW64" s="319"/>
      <c r="BX64" s="319"/>
      <c r="BY64" s="319">
        <v>3388</v>
      </c>
      <c r="BZ64" s="319"/>
      <c r="CA64" s="319"/>
      <c r="CB64" s="319">
        <f>2693+31</f>
        <v>2724</v>
      </c>
      <c r="CC64" s="319">
        <v>-24135</v>
      </c>
      <c r="CD64" s="29" t="s">
        <v>233</v>
      </c>
      <c r="CE64" s="32">
        <f t="shared" si="4"/>
        <v>1888612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>
        <v>6657</v>
      </c>
      <c r="Z65" s="30"/>
      <c r="AA65" s="30"/>
      <c r="AB65" s="320"/>
      <c r="AC65" s="30"/>
      <c r="AD65" s="30"/>
      <c r="AE65" s="30">
        <v>3554</v>
      </c>
      <c r="AF65" s="30"/>
      <c r="AG65" s="30"/>
      <c r="AH65" s="30"/>
      <c r="AI65" s="30"/>
      <c r="AJ65" s="30">
        <v>5539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>
        <v>239854</v>
      </c>
      <c r="BF65" s="319"/>
      <c r="BG65" s="319"/>
      <c r="BH65" s="319">
        <v>81747</v>
      </c>
      <c r="BI65" s="319"/>
      <c r="BJ65" s="319"/>
      <c r="BK65" s="319"/>
      <c r="BL65" s="319"/>
      <c r="BM65" s="319"/>
      <c r="BN65" s="319">
        <v>960</v>
      </c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>
        <v>1920</v>
      </c>
      <c r="BZ65" s="319"/>
      <c r="CA65" s="319"/>
      <c r="CB65" s="319"/>
      <c r="CC65" s="319"/>
      <c r="CD65" s="29" t="s">
        <v>233</v>
      </c>
      <c r="CE65" s="32">
        <f t="shared" si="4"/>
        <v>340231</v>
      </c>
    </row>
    <row r="66" spans="1:83" x14ac:dyDescent="0.35">
      <c r="A66" s="39" t="s">
        <v>252</v>
      </c>
      <c r="B66" s="20"/>
      <c r="C66" s="24"/>
      <c r="D66" s="24"/>
      <c r="E66" s="24">
        <v>1450793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0">
        <v>87902</v>
      </c>
      <c r="Q66" s="30"/>
      <c r="R66" s="30">
        <v>2207</v>
      </c>
      <c r="S66" s="319"/>
      <c r="T66" s="319"/>
      <c r="U66" s="31">
        <v>482372</v>
      </c>
      <c r="V66" s="30"/>
      <c r="W66" s="30"/>
      <c r="X66" s="30"/>
      <c r="Y66" s="30">
        <v>402115</v>
      </c>
      <c r="Z66" s="30"/>
      <c r="AA66" s="30"/>
      <c r="AB66" s="320">
        <v>86550</v>
      </c>
      <c r="AC66" s="30"/>
      <c r="AD66" s="30"/>
      <c r="AE66" s="30">
        <v>29917</v>
      </c>
      <c r="AF66" s="30"/>
      <c r="AG66" s="30">
        <v>127373</v>
      </c>
      <c r="AH66" s="30"/>
      <c r="AI66" s="30"/>
      <c r="AJ66" s="30">
        <v>14413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/>
      <c r="AY66" s="30">
        <v>6081</v>
      </c>
      <c r="AZ66" s="30"/>
      <c r="BA66" s="319">
        <v>2033</v>
      </c>
      <c r="BB66" s="319"/>
      <c r="BC66" s="319"/>
      <c r="BD66" s="319"/>
      <c r="BE66" s="30">
        <v>97130</v>
      </c>
      <c r="BF66" s="319">
        <v>1062</v>
      </c>
      <c r="BG66" s="319"/>
      <c r="BH66" s="319">
        <f>94673+485975</f>
        <v>580648</v>
      </c>
      <c r="BI66" s="319"/>
      <c r="BJ66" s="319">
        <v>175933</v>
      </c>
      <c r="BK66" s="319">
        <v>58659</v>
      </c>
      <c r="BL66" s="319"/>
      <c r="BM66" s="319"/>
      <c r="BN66" s="319">
        <v>66595</v>
      </c>
      <c r="BO66" s="319"/>
      <c r="BP66" s="319">
        <v>120189</v>
      </c>
      <c r="BQ66" s="319"/>
      <c r="BR66" s="319">
        <v>18840</v>
      </c>
      <c r="BS66" s="319"/>
      <c r="BT66" s="319"/>
      <c r="BU66" s="319"/>
      <c r="BV66" s="319">
        <v>235205</v>
      </c>
      <c r="BW66" s="319"/>
      <c r="BX66" s="319"/>
      <c r="BY66" s="319">
        <v>719</v>
      </c>
      <c r="BZ66" s="319"/>
      <c r="CA66" s="319"/>
      <c r="CB66" s="319">
        <v>139</v>
      </c>
      <c r="CC66" s="319">
        <v>22959</v>
      </c>
      <c r="CD66" s="29" t="s">
        <v>233</v>
      </c>
      <c r="CE66" s="32">
        <f t="shared" si="4"/>
        <v>4069834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222969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84231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25223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107380</v>
      </c>
      <c r="Z67" s="32">
        <f t="shared" si="7"/>
        <v>0</v>
      </c>
      <c r="AA67" s="32">
        <f t="shared" si="7"/>
        <v>0</v>
      </c>
      <c r="AB67" s="32">
        <f t="shared" si="7"/>
        <v>12667</v>
      </c>
      <c r="AC67" s="32">
        <f t="shared" si="7"/>
        <v>7702</v>
      </c>
      <c r="AD67" s="32">
        <f t="shared" si="7"/>
        <v>0</v>
      </c>
      <c r="AE67" s="32">
        <f t="shared" si="7"/>
        <v>71940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117994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3443</v>
      </c>
      <c r="BB67" s="32">
        <f t="shared" si="7"/>
        <v>0</v>
      </c>
      <c r="BC67" s="32">
        <f t="shared" si="7"/>
        <v>0</v>
      </c>
      <c r="BD67" s="32">
        <f t="shared" si="7"/>
        <v>35837</v>
      </c>
      <c r="BE67" s="32">
        <f t="shared" si="7"/>
        <v>140547</v>
      </c>
      <c r="BF67" s="32">
        <f t="shared" si="7"/>
        <v>17345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441238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22465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1310981</v>
      </c>
    </row>
    <row r="68" spans="1:83" x14ac:dyDescent="0.35">
      <c r="A68" s="39" t="s">
        <v>253</v>
      </c>
      <c r="B68" s="32"/>
      <c r="C68" s="24"/>
      <c r="D68" s="24"/>
      <c r="E68" s="24">
        <v>7748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>
        <v>40</v>
      </c>
      <c r="Q68" s="30"/>
      <c r="R68" s="30"/>
      <c r="S68" s="319">
        <v>11</v>
      </c>
      <c r="T68" s="319"/>
      <c r="U68" s="31"/>
      <c r="V68" s="30"/>
      <c r="W68" s="30"/>
      <c r="X68" s="30"/>
      <c r="Y68" s="30">
        <v>29000</v>
      </c>
      <c r="Z68" s="30"/>
      <c r="AA68" s="30"/>
      <c r="AB68" s="320"/>
      <c r="AC68" s="30">
        <v>12933</v>
      </c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>
        <v>2610</v>
      </c>
      <c r="AZ68" s="30"/>
      <c r="BA68" s="319"/>
      <c r="BB68" s="319"/>
      <c r="BC68" s="319"/>
      <c r="BD68" s="319"/>
      <c r="BE68" s="30">
        <v>152</v>
      </c>
      <c r="BF68" s="319"/>
      <c r="BG68" s="319"/>
      <c r="BH68" s="319"/>
      <c r="BI68" s="319"/>
      <c r="BJ68" s="319"/>
      <c r="BK68" s="319">
        <v>3372</v>
      </c>
      <c r="BL68" s="319"/>
      <c r="BM68" s="319"/>
      <c r="BN68" s="319">
        <v>1490</v>
      </c>
      <c r="BO68" s="319"/>
      <c r="BP68" s="319"/>
      <c r="BQ68" s="319"/>
      <c r="BR68" s="319"/>
      <c r="BS68" s="319"/>
      <c r="BT68" s="319"/>
      <c r="BU68" s="319"/>
      <c r="BV68" s="319">
        <v>4013</v>
      </c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61369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11913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888</v>
      </c>
      <c r="Q69" s="32">
        <f t="shared" si="9"/>
        <v>0</v>
      </c>
      <c r="R69" s="32">
        <f t="shared" si="9"/>
        <v>0</v>
      </c>
      <c r="S69" s="32">
        <f t="shared" si="9"/>
        <v>1221</v>
      </c>
      <c r="T69" s="32">
        <f t="shared" si="9"/>
        <v>0</v>
      </c>
      <c r="U69" s="32"/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3244</v>
      </c>
      <c r="Z69" s="32">
        <f t="shared" si="9"/>
        <v>0</v>
      </c>
      <c r="AA69" s="32">
        <f t="shared" si="9"/>
        <v>0</v>
      </c>
      <c r="AB69" s="32">
        <f t="shared" si="9"/>
        <v>19963</v>
      </c>
      <c r="AC69" s="32">
        <f t="shared" si="9"/>
        <v>0</v>
      </c>
      <c r="AD69" s="32">
        <f t="shared" si="9"/>
        <v>0</v>
      </c>
      <c r="AE69" s="32">
        <f t="shared" si="9"/>
        <v>3398</v>
      </c>
      <c r="AF69" s="32">
        <f t="shared" si="9"/>
        <v>0</v>
      </c>
      <c r="AG69" s="32">
        <f t="shared" si="9"/>
        <v>4167</v>
      </c>
      <c r="AH69" s="32">
        <f t="shared" si="9"/>
        <v>0</v>
      </c>
      <c r="AI69" s="32">
        <f t="shared" si="9"/>
        <v>0</v>
      </c>
      <c r="AJ69" s="32">
        <f t="shared" si="9"/>
        <v>15682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39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10479</v>
      </c>
      <c r="BF69" s="32">
        <f t="shared" si="9"/>
        <v>98</v>
      </c>
      <c r="BG69" s="32">
        <f t="shared" si="9"/>
        <v>0</v>
      </c>
      <c r="BH69" s="32">
        <f t="shared" si="9"/>
        <v>1488</v>
      </c>
      <c r="BI69" s="32">
        <f t="shared" si="9"/>
        <v>0</v>
      </c>
      <c r="BJ69" s="32">
        <f t="shared" si="9"/>
        <v>0</v>
      </c>
      <c r="BK69" s="32">
        <f t="shared" si="9"/>
        <v>236</v>
      </c>
      <c r="BL69" s="32">
        <f t="shared" si="9"/>
        <v>0</v>
      </c>
      <c r="BM69" s="32">
        <f t="shared" si="9"/>
        <v>0</v>
      </c>
      <c r="BN69" s="32">
        <f t="shared" si="9"/>
        <v>93122</v>
      </c>
      <c r="BO69" s="32">
        <f t="shared" ref="BO69:CD69" si="10">SUM(BO70:BO83)</f>
        <v>0</v>
      </c>
      <c r="BP69" s="32">
        <f t="shared" si="10"/>
        <v>177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1578</v>
      </c>
      <c r="BW69" s="32">
        <f t="shared" si="10"/>
        <v>0</v>
      </c>
      <c r="BX69" s="32">
        <f t="shared" si="10"/>
        <v>7519</v>
      </c>
      <c r="BY69" s="32">
        <f t="shared" si="10"/>
        <v>999</v>
      </c>
      <c r="BZ69" s="32">
        <f t="shared" si="10"/>
        <v>0</v>
      </c>
      <c r="CA69" s="32">
        <f t="shared" si="10"/>
        <v>0</v>
      </c>
      <c r="CB69" s="32">
        <f t="shared" si="10"/>
        <v>1280</v>
      </c>
      <c r="CC69" s="32">
        <f t="shared" si="10"/>
        <v>285661</v>
      </c>
      <c r="CD69" s="32">
        <f t="shared" si="10"/>
        <v>0</v>
      </c>
      <c r="CE69" s="32">
        <f>SUM(CE70:CE84)</f>
        <v>467105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>
        <v>11913</v>
      </c>
      <c r="F83" s="30"/>
      <c r="G83" s="24"/>
      <c r="H83" s="24"/>
      <c r="I83" s="30"/>
      <c r="J83" s="30"/>
      <c r="K83" s="30"/>
      <c r="L83" s="30"/>
      <c r="M83" s="24"/>
      <c r="N83" s="24"/>
      <c r="O83" s="24"/>
      <c r="P83" s="30">
        <v>888</v>
      </c>
      <c r="Q83" s="30"/>
      <c r="R83" s="31"/>
      <c r="S83" s="30">
        <v>1221</v>
      </c>
      <c r="T83" s="24"/>
      <c r="U83" s="30">
        <v>3953</v>
      </c>
      <c r="V83" s="30"/>
      <c r="W83" s="24"/>
      <c r="X83" s="30"/>
      <c r="Y83" s="30">
        <v>3244</v>
      </c>
      <c r="Z83" s="30"/>
      <c r="AA83" s="30"/>
      <c r="AB83" s="30">
        <v>19963</v>
      </c>
      <c r="AC83" s="30"/>
      <c r="AD83" s="30"/>
      <c r="AE83" s="30">
        <v>3398</v>
      </c>
      <c r="AF83" s="30"/>
      <c r="AG83" s="30">
        <v>4167</v>
      </c>
      <c r="AH83" s="30"/>
      <c r="AI83" s="30"/>
      <c r="AJ83" s="30">
        <v>15682</v>
      </c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>
        <v>39</v>
      </c>
      <c r="AZ83" s="30"/>
      <c r="BA83" s="30"/>
      <c r="BB83" s="30"/>
      <c r="BC83" s="30"/>
      <c r="BD83" s="30"/>
      <c r="BE83" s="30">
        <v>10479</v>
      </c>
      <c r="BF83" s="30">
        <v>98</v>
      </c>
      <c r="BG83" s="30"/>
      <c r="BH83" s="31">
        <v>1488</v>
      </c>
      <c r="BI83" s="30"/>
      <c r="BJ83" s="30"/>
      <c r="BK83" s="30">
        <v>236</v>
      </c>
      <c r="BL83" s="30"/>
      <c r="BM83" s="30"/>
      <c r="BN83" s="30">
        <v>93122</v>
      </c>
      <c r="BO83" s="30"/>
      <c r="BP83" s="30">
        <v>177</v>
      </c>
      <c r="BQ83" s="30"/>
      <c r="BR83" s="30"/>
      <c r="BS83" s="30"/>
      <c r="BT83" s="30"/>
      <c r="BU83" s="30"/>
      <c r="BV83" s="30">
        <v>1578</v>
      </c>
      <c r="BW83" s="30"/>
      <c r="BX83" s="30">
        <v>7519</v>
      </c>
      <c r="BY83" s="30">
        <v>999</v>
      </c>
      <c r="BZ83" s="30"/>
      <c r="CA83" s="30"/>
      <c r="CB83" s="30">
        <v>1280</v>
      </c>
      <c r="CC83" s="345">
        <f>1709+122+184+283646</f>
        <v>285661</v>
      </c>
      <c r="CD83" s="35"/>
      <c r="CE83" s="32">
        <f t="shared" si="11"/>
        <v>467105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4174237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48617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1161843</v>
      </c>
      <c r="Q85" s="32">
        <f t="shared" si="12"/>
        <v>0</v>
      </c>
      <c r="R85" s="32">
        <f t="shared" si="12"/>
        <v>397381</v>
      </c>
      <c r="S85" s="32">
        <f t="shared" si="12"/>
        <v>293546</v>
      </c>
      <c r="T85" s="32">
        <f t="shared" si="12"/>
        <v>0</v>
      </c>
      <c r="U85" s="32">
        <f t="shared" si="12"/>
        <v>1438404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1553291</v>
      </c>
      <c r="Z85" s="32">
        <f t="shared" si="12"/>
        <v>0</v>
      </c>
      <c r="AA85" s="32">
        <f t="shared" si="12"/>
        <v>0</v>
      </c>
      <c r="AB85" s="32">
        <f t="shared" si="12"/>
        <v>960303</v>
      </c>
      <c r="AC85" s="32">
        <f t="shared" si="12"/>
        <v>206075</v>
      </c>
      <c r="AD85" s="32">
        <f t="shared" si="12"/>
        <v>0</v>
      </c>
      <c r="AE85" s="32">
        <f t="shared" si="12"/>
        <v>1184955</v>
      </c>
      <c r="AF85" s="32">
        <f t="shared" si="12"/>
        <v>0</v>
      </c>
      <c r="AG85" s="32">
        <f t="shared" si="12"/>
        <v>2184902</v>
      </c>
      <c r="AH85" s="32">
        <f t="shared" si="12"/>
        <v>0</v>
      </c>
      <c r="AI85" s="32">
        <f t="shared" si="12"/>
        <v>0</v>
      </c>
      <c r="AJ85" s="32">
        <f t="shared" si="12"/>
        <v>1630246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397672</v>
      </c>
      <c r="AZ85" s="32">
        <f t="shared" si="12"/>
        <v>0</v>
      </c>
      <c r="BA85" s="32">
        <f t="shared" si="12"/>
        <v>18941</v>
      </c>
      <c r="BB85" s="32">
        <f t="shared" si="12"/>
        <v>0</v>
      </c>
      <c r="BC85" s="32">
        <f t="shared" si="12"/>
        <v>0</v>
      </c>
      <c r="BD85" s="32">
        <f t="shared" si="12"/>
        <v>195064</v>
      </c>
      <c r="BE85" s="32">
        <f t="shared" si="12"/>
        <v>895769</v>
      </c>
      <c r="BF85" s="32">
        <f t="shared" si="12"/>
        <v>425449</v>
      </c>
      <c r="BG85" s="32">
        <f t="shared" si="12"/>
        <v>0</v>
      </c>
      <c r="BH85" s="32">
        <f t="shared" si="12"/>
        <v>1211176</v>
      </c>
      <c r="BI85" s="32">
        <f t="shared" si="12"/>
        <v>0</v>
      </c>
      <c r="BJ85" s="32">
        <f t="shared" si="12"/>
        <v>548446</v>
      </c>
      <c r="BK85" s="32">
        <f t="shared" si="12"/>
        <v>406841</v>
      </c>
      <c r="BL85" s="32">
        <f t="shared" si="12"/>
        <v>0</v>
      </c>
      <c r="BM85" s="32">
        <f t="shared" si="12"/>
        <v>0</v>
      </c>
      <c r="BN85" s="32">
        <f t="shared" si="12"/>
        <v>897561</v>
      </c>
      <c r="BO85" s="32">
        <f t="shared" si="12"/>
        <v>0</v>
      </c>
      <c r="BP85" s="32">
        <f t="shared" ref="BP85:CD85" si="13">SUM(BP61:BP69)-BP84</f>
        <v>243002</v>
      </c>
      <c r="BQ85" s="32">
        <f t="shared" si="13"/>
        <v>0</v>
      </c>
      <c r="BR85" s="32">
        <f t="shared" si="13"/>
        <v>206555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371033</v>
      </c>
      <c r="BW85" s="32">
        <f t="shared" si="13"/>
        <v>0</v>
      </c>
      <c r="BX85" s="32">
        <f t="shared" si="13"/>
        <v>165346</v>
      </c>
      <c r="BY85" s="32">
        <f t="shared" si="13"/>
        <v>496002</v>
      </c>
      <c r="BZ85" s="32">
        <f t="shared" si="13"/>
        <v>0</v>
      </c>
      <c r="CA85" s="32">
        <f t="shared" si="13"/>
        <v>16267</v>
      </c>
      <c r="CB85" s="32">
        <f t="shared" si="13"/>
        <v>85408</v>
      </c>
      <c r="CC85" s="32">
        <f t="shared" si="13"/>
        <v>497307</v>
      </c>
      <c r="CD85" s="32">
        <f t="shared" si="13"/>
        <v>0</v>
      </c>
      <c r="CE85" s="32">
        <f t="shared" si="11"/>
        <v>22311639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27486</v>
      </c>
      <c r="D87" s="24"/>
      <c r="E87" s="24">
        <f>1672582+409463+142</f>
        <v>2082187</v>
      </c>
      <c r="F87" s="24"/>
      <c r="G87" s="24"/>
      <c r="H87" s="24"/>
      <c r="I87" s="24"/>
      <c r="J87" s="24"/>
      <c r="K87" s="24"/>
      <c r="L87" s="24">
        <v>2356367</v>
      </c>
      <c r="M87" s="24"/>
      <c r="N87" s="24"/>
      <c r="O87" s="24"/>
      <c r="P87" s="24">
        <v>52013</v>
      </c>
      <c r="Q87" s="24">
        <v>13507</v>
      </c>
      <c r="R87" s="24"/>
      <c r="S87" s="24">
        <v>104049</v>
      </c>
      <c r="T87" s="24"/>
      <c r="U87" s="24">
        <v>440997</v>
      </c>
      <c r="V87" s="24"/>
      <c r="W87" s="24"/>
      <c r="X87" s="24"/>
      <c r="Y87" s="24">
        <v>485605</v>
      </c>
      <c r="Z87" s="24"/>
      <c r="AA87" s="24"/>
      <c r="AB87" s="24">
        <v>1134014</v>
      </c>
      <c r="AC87" s="24">
        <f>168814+48730</f>
        <v>217544</v>
      </c>
      <c r="AD87" s="24"/>
      <c r="AE87" s="24">
        <v>589883</v>
      </c>
      <c r="AF87" s="24"/>
      <c r="AG87" s="24"/>
      <c r="AH87" s="24"/>
      <c r="AI87" s="24"/>
      <c r="AJ87" s="24">
        <v>4720</v>
      </c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7508372</v>
      </c>
    </row>
    <row r="88" spans="1:84" x14ac:dyDescent="0.35">
      <c r="A88" s="26" t="s">
        <v>273</v>
      </c>
      <c r="B88" s="20"/>
      <c r="C88" s="24">
        <v>-3765</v>
      </c>
      <c r="D88" s="24"/>
      <c r="E88" s="24">
        <f>309102+55348+12015</f>
        <v>376465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>
        <f>2373712+779265</f>
        <v>3152977</v>
      </c>
      <c r="Q88" s="24">
        <v>90232</v>
      </c>
      <c r="R88" s="24"/>
      <c r="S88" s="24">
        <v>366154</v>
      </c>
      <c r="T88" s="24"/>
      <c r="U88" s="24">
        <v>2782894</v>
      </c>
      <c r="V88" s="24"/>
      <c r="W88" s="24"/>
      <c r="X88" s="24"/>
      <c r="Y88" s="24">
        <v>7902940</v>
      </c>
      <c r="Z88" s="24"/>
      <c r="AA88" s="24"/>
      <c r="AB88" s="24">
        <v>2234558</v>
      </c>
      <c r="AC88" s="24">
        <f>132726+493684</f>
        <v>626410</v>
      </c>
      <c r="AD88" s="24"/>
      <c r="AE88" s="24">
        <v>1827186</v>
      </c>
      <c r="AF88" s="24"/>
      <c r="AG88" s="24"/>
      <c r="AH88" s="24"/>
      <c r="AI88" s="24"/>
      <c r="AJ88" s="24">
        <v>1850028</v>
      </c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21206079</v>
      </c>
    </row>
    <row r="89" spans="1:84" x14ac:dyDescent="0.35">
      <c r="A89" s="26" t="s">
        <v>274</v>
      </c>
      <c r="B89" s="20"/>
      <c r="C89" s="32">
        <f>C87+C88</f>
        <v>23721</v>
      </c>
      <c r="D89" s="32">
        <f t="shared" ref="D89:AV89" si="15">D87+D88</f>
        <v>0</v>
      </c>
      <c r="E89" s="32">
        <f t="shared" si="15"/>
        <v>2458652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2356367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3204990</v>
      </c>
      <c r="Q89" s="32">
        <f t="shared" si="15"/>
        <v>103739</v>
      </c>
      <c r="R89" s="32">
        <f t="shared" si="15"/>
        <v>0</v>
      </c>
      <c r="S89" s="32">
        <f t="shared" si="15"/>
        <v>470203</v>
      </c>
      <c r="T89" s="32">
        <f t="shared" si="15"/>
        <v>0</v>
      </c>
      <c r="U89" s="32">
        <f t="shared" si="15"/>
        <v>3223891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8388545</v>
      </c>
      <c r="Z89" s="32">
        <f t="shared" si="15"/>
        <v>0</v>
      </c>
      <c r="AA89" s="32">
        <f t="shared" si="15"/>
        <v>0</v>
      </c>
      <c r="AB89" s="32">
        <f t="shared" si="15"/>
        <v>3368572</v>
      </c>
      <c r="AC89" s="32">
        <f t="shared" si="15"/>
        <v>843954</v>
      </c>
      <c r="AD89" s="32">
        <f t="shared" si="15"/>
        <v>0</v>
      </c>
      <c r="AE89" s="32">
        <f t="shared" si="15"/>
        <v>2417069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1854748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28714451</v>
      </c>
    </row>
    <row r="90" spans="1:84" x14ac:dyDescent="0.35">
      <c r="A90" s="39" t="s">
        <v>275</v>
      </c>
      <c r="B90" s="32"/>
      <c r="C90" s="24"/>
      <c r="D90" s="24"/>
      <c r="E90" s="24">
        <v>10104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>
        <v>3817</v>
      </c>
      <c r="Q90" s="24"/>
      <c r="R90" s="24"/>
      <c r="S90" s="24"/>
      <c r="T90" s="24"/>
      <c r="U90" s="24">
        <v>1143</v>
      </c>
      <c r="V90" s="24"/>
      <c r="W90" s="24"/>
      <c r="X90" s="24"/>
      <c r="Y90" s="24">
        <v>4866</v>
      </c>
      <c r="Z90" s="24"/>
      <c r="AA90" s="24"/>
      <c r="AB90" s="24">
        <v>574</v>
      </c>
      <c r="AC90" s="24">
        <v>349</v>
      </c>
      <c r="AD90" s="24"/>
      <c r="AE90" s="24">
        <v>3260</v>
      </c>
      <c r="AF90" s="24"/>
      <c r="AG90" s="24"/>
      <c r="AH90" s="24"/>
      <c r="AI90" s="24"/>
      <c r="AJ90" s="24">
        <v>5347</v>
      </c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>
        <v>156</v>
      </c>
      <c r="BB90" s="24"/>
      <c r="BC90" s="24"/>
      <c r="BD90" s="24">
        <v>1624</v>
      </c>
      <c r="BE90" s="24">
        <v>6369</v>
      </c>
      <c r="BF90" s="24">
        <v>786</v>
      </c>
      <c r="BG90" s="24"/>
      <c r="BH90" s="24"/>
      <c r="BI90" s="24"/>
      <c r="BJ90" s="24"/>
      <c r="BK90" s="24"/>
      <c r="BL90" s="24"/>
      <c r="BM90" s="24"/>
      <c r="BN90" s="24">
        <v>19995</v>
      </c>
      <c r="BO90" s="24"/>
      <c r="BP90" s="24"/>
      <c r="BQ90" s="24"/>
      <c r="BR90" s="24"/>
      <c r="BS90" s="24"/>
      <c r="BT90" s="24"/>
      <c r="BU90" s="24"/>
      <c r="BV90" s="24">
        <v>1018</v>
      </c>
      <c r="BW90" s="24"/>
      <c r="BX90" s="24"/>
      <c r="BY90" s="24"/>
      <c r="BZ90" s="24"/>
      <c r="CA90" s="24"/>
      <c r="CB90" s="24"/>
      <c r="CC90" s="24"/>
      <c r="CD90" s="264" t="s">
        <v>233</v>
      </c>
      <c r="CE90" s="32">
        <f t="shared" si="14"/>
        <v>59408</v>
      </c>
      <c r="CF90" s="32">
        <f>BE59-CE90</f>
        <v>6328</v>
      </c>
    </row>
    <row r="91" spans="1:84" x14ac:dyDescent="0.35">
      <c r="A91" s="26" t="s">
        <v>276</v>
      </c>
      <c r="B91" s="20"/>
      <c r="C91" s="24"/>
      <c r="D91" s="24"/>
      <c r="E91" s="24">
        <f>5256+5</f>
        <v>5261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5261</v>
      </c>
      <c r="CF91" s="32">
        <f>AY59-CE91</f>
        <v>209</v>
      </c>
    </row>
    <row r="92" spans="1:84" x14ac:dyDescent="0.35">
      <c r="A92" s="26" t="s">
        <v>277</v>
      </c>
      <c r="B92" s="20"/>
      <c r="C92" s="24"/>
      <c r="D92" s="24"/>
      <c r="E92" s="24">
        <v>1264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>
        <v>668</v>
      </c>
      <c r="Q92" s="24"/>
      <c r="R92" s="24"/>
      <c r="S92" s="24"/>
      <c r="T92" s="24"/>
      <c r="U92" s="24">
        <v>370</v>
      </c>
      <c r="V92" s="24"/>
      <c r="W92" s="24"/>
      <c r="X92" s="24"/>
      <c r="Y92" s="24">
        <v>364</v>
      </c>
      <c r="Z92" s="24"/>
      <c r="AA92" s="24"/>
      <c r="AB92" s="24">
        <v>60</v>
      </c>
      <c r="AC92" s="24">
        <v>36</v>
      </c>
      <c r="AD92" s="24"/>
      <c r="AE92" s="24">
        <v>518</v>
      </c>
      <c r="AF92" s="24"/>
      <c r="AG92" s="24"/>
      <c r="AH92" s="24"/>
      <c r="AI92" s="24"/>
      <c r="AJ92" s="24">
        <v>1494</v>
      </c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>
        <v>3721</v>
      </c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22</v>
      </c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8517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>
        <v>9.9700000000000006</v>
      </c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6">
        <f>3.16+0.24</f>
        <v>3.4000000000000004</v>
      </c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13.370000000000001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1363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98672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1375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1370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 t="s">
        <v>1379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183</v>
      </c>
      <c r="D127" s="50">
        <v>709</v>
      </c>
      <c r="E127" s="20"/>
    </row>
    <row r="128" spans="1:5" x14ac:dyDescent="0.35">
      <c r="A128" s="20" t="s">
        <v>311</v>
      </c>
      <c r="B128" s="46" t="s">
        <v>284</v>
      </c>
      <c r="C128" s="47">
        <v>65</v>
      </c>
      <c r="D128" s="50">
        <v>1003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17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6</v>
      </c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>
        <v>25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1116694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108</v>
      </c>
      <c r="C154" s="50">
        <v>35</v>
      </c>
      <c r="D154" s="50">
        <v>40</v>
      </c>
      <c r="E154" s="32">
        <f>SUM(B154:D154)</f>
        <v>183</v>
      </c>
    </row>
    <row r="155" spans="1:6" x14ac:dyDescent="0.35">
      <c r="A155" s="20" t="s">
        <v>227</v>
      </c>
      <c r="B155" s="50">
        <v>389</v>
      </c>
      <c r="C155" s="50">
        <v>157</v>
      </c>
      <c r="D155" s="50">
        <v>153</v>
      </c>
      <c r="E155" s="32">
        <f>SUM(B155:D155)</f>
        <v>699</v>
      </c>
    </row>
    <row r="156" spans="1:6" x14ac:dyDescent="0.35">
      <c r="A156" s="20" t="s">
        <v>332</v>
      </c>
      <c r="B156" s="50">
        <f>6884+503</f>
        <v>7387</v>
      </c>
      <c r="C156" s="50">
        <f>122+163+5166</f>
        <v>5451</v>
      </c>
      <c r="D156" s="50">
        <f>21+4069+368+2851+839+516+559</f>
        <v>9223</v>
      </c>
      <c r="E156" s="32">
        <f>SUM(B156:D156)</f>
        <v>22061</v>
      </c>
    </row>
    <row r="157" spans="1:6" x14ac:dyDescent="0.35">
      <c r="A157" s="20" t="s">
        <v>272</v>
      </c>
      <c r="B157" s="50">
        <v>2484711</v>
      </c>
      <c r="C157" s="50">
        <v>1067218</v>
      </c>
      <c r="D157" s="50">
        <v>783454</v>
      </c>
      <c r="E157" s="32">
        <f>SUM(B157:D157)</f>
        <v>4335383</v>
      </c>
      <c r="F157" s="18"/>
    </row>
    <row r="158" spans="1:6" x14ac:dyDescent="0.35">
      <c r="A158" s="20" t="s">
        <v>273</v>
      </c>
      <c r="B158" s="50">
        <v>10245458</v>
      </c>
      <c r="C158" s="50">
        <v>6919032</v>
      </c>
      <c r="D158" s="50">
        <v>10701374</v>
      </c>
      <c r="E158" s="32">
        <f>SUM(B158:D158)</f>
        <v>27865864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52</v>
      </c>
      <c r="C160" s="50"/>
      <c r="D160" s="50">
        <v>13</v>
      </c>
      <c r="E160" s="32">
        <f>SUM(B160:D160)</f>
        <v>65</v>
      </c>
    </row>
    <row r="161" spans="1:5" x14ac:dyDescent="0.35">
      <c r="A161" s="20" t="s">
        <v>227</v>
      </c>
      <c r="B161" s="50">
        <v>800</v>
      </c>
      <c r="C161" s="50"/>
      <c r="D161" s="50">
        <v>230</v>
      </c>
      <c r="E161" s="32">
        <f>SUM(B161:D161)</f>
        <v>1030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3165468</v>
      </c>
      <c r="C163" s="50"/>
      <c r="D163" s="50">
        <v>307593</v>
      </c>
      <c r="E163" s="32">
        <f>SUM(B163:D163)</f>
        <v>3473061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4927864</v>
      </c>
      <c r="C173" s="50">
        <v>3327886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691065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19529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124077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f>348249.5+1056537</f>
        <v>1404786.5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7822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210153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f>152629+87412</f>
        <v>240041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2697473.5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/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61370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61370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88088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122211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210299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7388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81084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88472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1002354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1002354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474331</v>
      </c>
      <c r="C211" s="47"/>
      <c r="D211" s="50"/>
      <c r="E211" s="32">
        <f t="shared" ref="E211:E219" si="16">SUM(B211:C211)-D211</f>
        <v>474331</v>
      </c>
    </row>
    <row r="212" spans="1:5" x14ac:dyDescent="0.35">
      <c r="A212" s="20" t="s">
        <v>367</v>
      </c>
      <c r="B212" s="50">
        <v>199862</v>
      </c>
      <c r="C212" s="47"/>
      <c r="D212" s="50"/>
      <c r="E212" s="32">
        <f t="shared" si="16"/>
        <v>199862</v>
      </c>
    </row>
    <row r="213" spans="1:5" x14ac:dyDescent="0.35">
      <c r="A213" s="20" t="s">
        <v>368</v>
      </c>
      <c r="B213" s="50">
        <v>25808201</v>
      </c>
      <c r="C213" s="47">
        <v>375553</v>
      </c>
      <c r="D213" s="50"/>
      <c r="E213" s="32">
        <f t="shared" si="16"/>
        <v>26183754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343342</v>
      </c>
      <c r="C215" s="47">
        <v>194237</v>
      </c>
      <c r="D215" s="50"/>
      <c r="E215" s="32">
        <f t="shared" si="16"/>
        <v>537579</v>
      </c>
    </row>
    <row r="216" spans="1:5" x14ac:dyDescent="0.35">
      <c r="A216" s="20" t="s">
        <v>371</v>
      </c>
      <c r="B216" s="50">
        <v>6239173</v>
      </c>
      <c r="C216" s="47">
        <v>472406</v>
      </c>
      <c r="D216" s="50">
        <v>95170</v>
      </c>
      <c r="E216" s="32">
        <f t="shared" si="16"/>
        <v>6616409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1004255</v>
      </c>
      <c r="C219" s="47"/>
      <c r="D219" s="50">
        <v>1004255</v>
      </c>
      <c r="E219" s="32">
        <f t="shared" si="16"/>
        <v>0</v>
      </c>
    </row>
    <row r="220" spans="1:5" x14ac:dyDescent="0.35">
      <c r="A220" s="20" t="s">
        <v>215</v>
      </c>
      <c r="B220" s="32">
        <f>SUM(B211:B219)</f>
        <v>34069164</v>
      </c>
      <c r="C220" s="266">
        <f>SUM(C211:C219)</f>
        <v>1042196</v>
      </c>
      <c r="D220" s="32">
        <f>SUM(D211:D219)</f>
        <v>1099425</v>
      </c>
      <c r="E220" s="32">
        <f>SUM(E211:E219)</f>
        <v>34011935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79852</v>
      </c>
      <c r="C225" s="47">
        <v>20002</v>
      </c>
      <c r="D225" s="50"/>
      <c r="E225" s="32">
        <f t="shared" ref="E225:E232" si="17">SUM(B225:C225)-D225</f>
        <v>99854</v>
      </c>
    </row>
    <row r="226" spans="1:5" x14ac:dyDescent="0.35">
      <c r="A226" s="20" t="s">
        <v>368</v>
      </c>
      <c r="B226" s="50">
        <v>11280911</v>
      </c>
      <c r="C226" s="47">
        <v>1140699</v>
      </c>
      <c r="D226" s="50"/>
      <c r="E226" s="32">
        <f t="shared" si="17"/>
        <v>12421610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84135</v>
      </c>
      <c r="C228" s="47">
        <v>45465</v>
      </c>
      <c r="D228" s="50"/>
      <c r="E228" s="32">
        <f t="shared" si="17"/>
        <v>129600</v>
      </c>
    </row>
    <row r="229" spans="1:5" x14ac:dyDescent="0.35">
      <c r="A229" s="20" t="s">
        <v>371</v>
      </c>
      <c r="B229" s="50">
        <v>5444255</v>
      </c>
      <c r="C229" s="47">
        <v>244456</v>
      </c>
      <c r="D229" s="50">
        <v>5122</v>
      </c>
      <c r="E229" s="32">
        <f t="shared" si="17"/>
        <v>5683589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16889153</v>
      </c>
      <c r="C233" s="266">
        <f>SUM(C224:C232)</f>
        <v>1450622</v>
      </c>
      <c r="D233" s="32">
        <f>SUM(D224:D232)</f>
        <v>5122</v>
      </c>
      <c r="E233" s="32">
        <f>SUM(E224:E232)</f>
        <v>18334653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6" t="s">
        <v>377</v>
      </c>
      <c r="C236" s="346"/>
      <c r="D236" s="38"/>
      <c r="E236" s="38"/>
    </row>
    <row r="237" spans="1:5" x14ac:dyDescent="0.35">
      <c r="A237" s="56" t="s">
        <v>377</v>
      </c>
      <c r="B237" s="38"/>
      <c r="C237" s="47">
        <v>665835</v>
      </c>
      <c r="D237" s="40">
        <f>C237</f>
        <v>665835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f>5360315-338822</f>
        <v>5021493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3412761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122158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4677954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13234366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82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24543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68227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92770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f>241646</f>
        <v>241646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170444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412090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14405061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6651792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12829713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8023365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338822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68786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196372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249874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12311994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1710396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1710396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474331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199862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26183754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537579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6616409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34011935</v>
      </c>
      <c r="E291" s="20"/>
    </row>
    <row r="292" spans="1:5" x14ac:dyDescent="0.35">
      <c r="A292" s="20" t="s">
        <v>416</v>
      </c>
      <c r="B292" s="46" t="s">
        <v>284</v>
      </c>
      <c r="C292" s="47">
        <v>18336547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15675388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29697778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1090188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1161548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2137151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570000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4958887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51906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18495000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558449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19105355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570000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18535355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f>5864714+338822</f>
        <v>6203536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29697778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29697778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7809293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27952197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35761490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665835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13234366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92770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412090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14405061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21356429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>
        <v>10315</v>
      </c>
      <c r="D370" s="32"/>
      <c r="E370" s="32"/>
    </row>
    <row r="371" spans="1:6" x14ac:dyDescent="0.35">
      <c r="A371" s="59" t="s">
        <v>480</v>
      </c>
      <c r="B371" s="40" t="s">
        <v>284</v>
      </c>
      <c r="C371" s="273">
        <v>943656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>
        <v>5920</v>
      </c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/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959891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1470253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2430144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23786573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9488954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2697474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1971764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1888781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344810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4069848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1450623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61370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210299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124000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1002354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355474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355474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23665751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120822</v>
      </c>
      <c r="E417" s="32"/>
    </row>
    <row r="418" spans="1:13" x14ac:dyDescent="0.35">
      <c r="A418" s="32" t="s">
        <v>508</v>
      </c>
      <c r="B418" s="20"/>
      <c r="C418" s="236">
        <v>215237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215237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336059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336059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53039</v>
      </c>
      <c r="E612" s="258">
        <f>SUM(C624:D647)+SUM(C668:D713)</f>
        <v>19702221.959878579</v>
      </c>
      <c r="F612" s="258">
        <f>CE64-(AX64+BD64+BE64+BG64+BJ64+BN64+BP64+BQ64+CB64+CC64+CD64)</f>
        <v>1852784</v>
      </c>
      <c r="G612" s="256">
        <f>CE91-(AX91+AY91+BD91+BE91+BG91+BJ91+BN91+BP91+BQ91+CB91+CC91+CD91)</f>
        <v>5261</v>
      </c>
      <c r="H612" s="261">
        <f>CE60-(AX60+AY60+AZ60+BD60+BE60+BG60+BJ60+BN60+BO60+BP60+BQ60+BR60+CB60+CC60+CD60)</f>
        <v>92.579999999999984</v>
      </c>
      <c r="I612" s="256">
        <f>CE92-(AX92+AY92+AZ92+BD92+BE92+BF92+BG92+BJ92+BN92+BO92+BP92+BQ92+BR92+CB92+CC92+CD92)</f>
        <v>8517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28714451</v>
      </c>
      <c r="L612" s="262">
        <f>CE94-(AW94+AX94+AY94+AZ94+BA94+BB94+BC94+BD94+BE94+BF94+BG94+BH94+BI94+BJ94+BK94+BL94+BM94+BN94+BO94+BP94+BQ94+BR94+BS94+BT94+BU94+BV94+BW94+BX94+BY94+BZ94+CA94+CB94+CC94+CD94)</f>
        <v>13.370000000000001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895769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895769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548446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897561</v>
      </c>
      <c r="D619" s="256">
        <f>(D615/D612)*BN90</f>
        <v>337693.04012142011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497307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243002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85408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2609417.0401214203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195064</v>
      </c>
      <c r="D624" s="256">
        <f>(D615/D612)*BD90</f>
        <v>27427.531740794511</v>
      </c>
      <c r="E624" s="258">
        <f>(E623/E612)*SUM(C624:D624)</f>
        <v>29467.396895102433</v>
      </c>
      <c r="F624" s="258">
        <f>SUM(C624:E624)</f>
        <v>251958.92863589694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397672</v>
      </c>
      <c r="D625" s="256">
        <f>(D615/D612)*AY90</f>
        <v>0</v>
      </c>
      <c r="E625" s="258">
        <f>(E623/E612)*SUM(C625:D625)</f>
        <v>52668.785038170412</v>
      </c>
      <c r="F625" s="258">
        <f>(F624/F612)*AY64</f>
        <v>17820.726972540306</v>
      </c>
      <c r="G625" s="256">
        <f>SUM(C625:F625)</f>
        <v>468161.51201071072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206555</v>
      </c>
      <c r="D626" s="256">
        <f>(D615/D612)*BR90</f>
        <v>0</v>
      </c>
      <c r="E626" s="258">
        <f>(E623/E612)*SUM(C626:D626)</f>
        <v>27356.718334605626</v>
      </c>
      <c r="F626" s="258">
        <f>(F624/F612)*BR64</f>
        <v>198.27250124738651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234109.99083585301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425449</v>
      </c>
      <c r="D629" s="256">
        <f>(D615/D612)*BF90</f>
        <v>13274.65514055695</v>
      </c>
      <c r="E629" s="258">
        <f>(E623/E612)*SUM(C629:D629)</f>
        <v>58105.780351039051</v>
      </c>
      <c r="F629" s="258">
        <f>(F624/F612)*BF64</f>
        <v>4245.1801587377677</v>
      </c>
      <c r="G629" s="256">
        <f>(G625/G612)*BF91</f>
        <v>0</v>
      </c>
      <c r="H629" s="258">
        <f>(H628/H612)*BF60</f>
        <v>18763.190019464568</v>
      </c>
      <c r="I629" s="256">
        <f>SUM(C629:H629)</f>
        <v>519837.80566979834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18941</v>
      </c>
      <c r="D630" s="256">
        <f>(D615/D612)*BA90</f>
        <v>2634.6643790418375</v>
      </c>
      <c r="E630" s="258">
        <f>(E623/E612)*SUM(C630:D630)</f>
        <v>2857.5409614845025</v>
      </c>
      <c r="F630" s="258">
        <f>(F624/F612)*BA64</f>
        <v>1831.0968650864604</v>
      </c>
      <c r="G630" s="256">
        <f>(G625/G612)*BA91</f>
        <v>0</v>
      </c>
      <c r="H630" s="258">
        <f>(H628/H612)*BA60</f>
        <v>0</v>
      </c>
      <c r="I630" s="256">
        <f>(I629/I612)*BA92</f>
        <v>227112.41926703294</v>
      </c>
      <c r="J630" s="256">
        <f>SUM(C630:I630)</f>
        <v>253376.72147264573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406841</v>
      </c>
      <c r="D635" s="256">
        <f>(D615/D612)*BK90</f>
        <v>0</v>
      </c>
      <c r="E635" s="258">
        <f>(E623/E612)*SUM(C635:D635)</f>
        <v>53883.152884071009</v>
      </c>
      <c r="F635" s="258">
        <f>(F624/F612)*BK64</f>
        <v>1776.5651277749364</v>
      </c>
      <c r="G635" s="256">
        <f>(G625/G612)*BK91</f>
        <v>0</v>
      </c>
      <c r="H635" s="258">
        <f>(H628/H612)*BK60</f>
        <v>15071.241578976929</v>
      </c>
      <c r="I635" s="256">
        <f>(I629/I612)*BK92</f>
        <v>0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1211176</v>
      </c>
      <c r="D636" s="256">
        <f>(D615/D612)*BH90</f>
        <v>0</v>
      </c>
      <c r="E636" s="258">
        <f>(E623/E612)*SUM(C636:D636)</f>
        <v>160411.51599154851</v>
      </c>
      <c r="F636" s="258">
        <f>(F624/F612)*BH64</f>
        <v>5681.6358725074133</v>
      </c>
      <c r="G636" s="256">
        <f>(G625/G612)*BH91</f>
        <v>0</v>
      </c>
      <c r="H636" s="258">
        <f>(H628/H612)*BH60</f>
        <v>10367.800415068021</v>
      </c>
      <c r="I636" s="256">
        <f>(I629/I612)*BH92</f>
        <v>0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0</v>
      </c>
      <c r="D637" s="256">
        <f>(D615/D612)*BL90</f>
        <v>0</v>
      </c>
      <c r="E637" s="258">
        <f>(E623/E612)*SUM(C637:D637)</f>
        <v>0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371033</v>
      </c>
      <c r="D642" s="256">
        <f>(D615/D612)*BV90</f>
        <v>17192.873960670451</v>
      </c>
      <c r="E642" s="258">
        <f>(E623/E612)*SUM(C642:D642)</f>
        <v>51417.713849329069</v>
      </c>
      <c r="F642" s="258">
        <f>(F624/F612)*BV64</f>
        <v>554.29267152561556</v>
      </c>
      <c r="G642" s="256">
        <f>(G625/G612)*BV91</f>
        <v>0</v>
      </c>
      <c r="H642" s="258">
        <f>(H628/H612)*BV60</f>
        <v>4981.6016628497564</v>
      </c>
      <c r="I642" s="256">
        <f>(I629/I612)*BV92</f>
        <v>1342.7770018475476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165346</v>
      </c>
      <c r="D644" s="256">
        <f>(D615/D612)*BX90</f>
        <v>0</v>
      </c>
      <c r="E644" s="258">
        <f>(E623/E612)*SUM(C644:D644)</f>
        <v>21898.883831200899</v>
      </c>
      <c r="F644" s="258">
        <f>(F624/F612)*BX64</f>
        <v>0</v>
      </c>
      <c r="G644" s="256">
        <f>(G625/G612)*BX91</f>
        <v>0</v>
      </c>
      <c r="H644" s="258">
        <f>(H628/H612)*BX60</f>
        <v>3110.3401245204063</v>
      </c>
      <c r="I644" s="256">
        <f>(I629/I612)*BX92</f>
        <v>0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496002</v>
      </c>
      <c r="D645" s="256">
        <f>(D615/D612)*BY90</f>
        <v>0</v>
      </c>
      <c r="E645" s="258">
        <f>(E623/E612)*SUM(C645:D645)</f>
        <v>65691.883553538093</v>
      </c>
      <c r="F645" s="258">
        <f>(F624/F612)*BY64</f>
        <v>460.73198506594343</v>
      </c>
      <c r="G645" s="256">
        <f>(G625/G612)*BY91</f>
        <v>0</v>
      </c>
      <c r="H645" s="258">
        <f>(H628/H612)*BY60</f>
        <v>7232.1729724620845</v>
      </c>
      <c r="I645" s="256">
        <f>(I629/I612)*BY92</f>
        <v>0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16267</v>
      </c>
      <c r="D647" s="256">
        <f>(D615/D612)*CA90</f>
        <v>0</v>
      </c>
      <c r="E647" s="258">
        <f>(E623/E612)*SUM(C647:D647)</f>
        <v>2154.4466953064789</v>
      </c>
      <c r="F647" s="258">
        <f>(F624/F612)*CA64</f>
        <v>0</v>
      </c>
      <c r="G647" s="256">
        <f>(G625/G612)*CA91</f>
        <v>0</v>
      </c>
      <c r="H647" s="258">
        <f>(H628/H612)*CA60</f>
        <v>303.44781702638113</v>
      </c>
      <c r="I647" s="256">
        <f>(I629/I612)*CA92</f>
        <v>0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7077839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4174237</v>
      </c>
      <c r="D670" s="256">
        <f>(D615/D612)*E90</f>
        <v>170645.18516563284</v>
      </c>
      <c r="E670" s="258">
        <f>(E623/E612)*SUM(C670:D670)</f>
        <v>575448.27351853997</v>
      </c>
      <c r="F670" s="258">
        <f>(F624/F612)*E64</f>
        <v>7719.1646010325103</v>
      </c>
      <c r="G670" s="256">
        <f>(G625/G612)*E91</f>
        <v>468161.51201071078</v>
      </c>
      <c r="H670" s="258">
        <f>(H628/H612)*E60</f>
        <v>44581.541784792491</v>
      </c>
      <c r="I670" s="256">
        <f>(I629/I612)*E92</f>
        <v>77148.642287968192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48617</v>
      </c>
      <c r="D677" s="256">
        <f>(D615/D612)*L90</f>
        <v>0</v>
      </c>
      <c r="E677" s="258">
        <f>(E623/E612)*SUM(C677:D677)</f>
        <v>6438.9706144780894</v>
      </c>
      <c r="F677" s="258">
        <f>(F624/F612)*L64</f>
        <v>32.637448765001892</v>
      </c>
      <c r="G677" s="256">
        <f>(G625/G612)*L91</f>
        <v>0</v>
      </c>
      <c r="H677" s="258">
        <f>(H628/H612)*L60</f>
        <v>1947.1234925859455</v>
      </c>
      <c r="I677" s="256">
        <f>(I629/I612)*L92</f>
        <v>0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1161843</v>
      </c>
      <c r="D681" s="256">
        <f>(D615/D612)*P90</f>
        <v>64464.832915401879</v>
      </c>
      <c r="E681" s="258">
        <f>(E623/E612)*SUM(C681:D681)</f>
        <v>162415.61800289157</v>
      </c>
      <c r="F681" s="258">
        <f>(F624/F612)*P64</f>
        <v>19810.115464137027</v>
      </c>
      <c r="G681" s="256">
        <f>(G625/G612)*P91</f>
        <v>0</v>
      </c>
      <c r="H681" s="258">
        <f>(H628/H612)*P60</f>
        <v>16032.159666227139</v>
      </c>
      <c r="I681" s="256">
        <f>(I629/I612)*P92</f>
        <v>40771.592601552809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397381</v>
      </c>
      <c r="D683" s="256">
        <f>(D615/D612)*R90</f>
        <v>0</v>
      </c>
      <c r="E683" s="258">
        <f>(E623/E612)*SUM(C683:D683)</f>
        <v>52630.244189314799</v>
      </c>
      <c r="F683" s="258">
        <f>(F624/F612)*R64</f>
        <v>504.65655152884182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293546</v>
      </c>
      <c r="D684" s="256">
        <f>(D615/D612)*S90</f>
        <v>0</v>
      </c>
      <c r="E684" s="258">
        <f>(E623/E612)*SUM(C684:D684)</f>
        <v>38878.048172400297</v>
      </c>
      <c r="F684" s="258">
        <f>(F624/F612)*S64</f>
        <v>39751.596659553186</v>
      </c>
      <c r="G684" s="256">
        <f>(G625/G612)*S91</f>
        <v>0</v>
      </c>
      <c r="H684" s="258">
        <f>(H628/H612)*S60</f>
        <v>0</v>
      </c>
      <c r="I684" s="256">
        <f>(I629/I612)*S92</f>
        <v>0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1438404</v>
      </c>
      <c r="D686" s="256">
        <f>(D615/D612)*U90</f>
        <v>19303.983238748846</v>
      </c>
      <c r="E686" s="258">
        <f>(E623/E612)*SUM(C686:D686)</f>
        <v>193062.89710521881</v>
      </c>
      <c r="F686" s="258">
        <f>(F624/F612)*U64</f>
        <v>44820.736410237398</v>
      </c>
      <c r="G686" s="256">
        <f>(G625/G612)*U91</f>
        <v>0</v>
      </c>
      <c r="H686" s="258">
        <f>(H628/H612)*U60</f>
        <v>15678.137213029691</v>
      </c>
      <c r="I686" s="256">
        <f>(I629/I612)*U92</f>
        <v>22583.067758345118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1553291</v>
      </c>
      <c r="D690" s="256">
        <f>(D615/D612)*Y90</f>
        <v>82181.261977035771</v>
      </c>
      <c r="E690" s="258">
        <f>(E623/E612)*SUM(C690:D690)</f>
        <v>216606.49229002499</v>
      </c>
      <c r="F690" s="258">
        <f>(F624/F612)*Y64</f>
        <v>11807.277037588707</v>
      </c>
      <c r="G690" s="256">
        <f>(G625/G612)*Y91</f>
        <v>0</v>
      </c>
      <c r="H690" s="258">
        <f>(H628/H612)*Y60</f>
        <v>15450.551350259906</v>
      </c>
      <c r="I690" s="256">
        <f>(I629/I612)*Y92</f>
        <v>22216.855848750332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960303</v>
      </c>
      <c r="D693" s="256">
        <f>(D615/D612)*AB90</f>
        <v>9694.213804935991</v>
      </c>
      <c r="E693" s="258">
        <f>(E623/E612)*SUM(C693:D693)</f>
        <v>128469.12717394334</v>
      </c>
      <c r="F693" s="258">
        <f>(F624/F612)*AB64</f>
        <v>70167.659067987144</v>
      </c>
      <c r="G693" s="256">
        <f>(G625/G612)*AB91</f>
        <v>0</v>
      </c>
      <c r="H693" s="258">
        <f>(H628/H612)*AB60</f>
        <v>6018.3817043565587</v>
      </c>
      <c r="I693" s="256">
        <f>(I629/I612)*AB92</f>
        <v>3662.1190959478572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206075</v>
      </c>
      <c r="D694" s="256">
        <f>(D615/D612)*AC90</f>
        <v>5894.2171043948802</v>
      </c>
      <c r="E694" s="258">
        <f>(E623/E612)*SUM(C694:D694)</f>
        <v>28073.792297120865</v>
      </c>
      <c r="F694" s="258">
        <f>(F624/F612)*AC64</f>
        <v>0</v>
      </c>
      <c r="G694" s="256">
        <f>(G625/G612)*AC91</f>
        <v>0</v>
      </c>
      <c r="H694" s="258">
        <f>(H628/H612)*AC60</f>
        <v>4045.970893685082</v>
      </c>
      <c r="I694" s="256">
        <f>(I629/I612)*AC92</f>
        <v>2197.2714575687141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1184955</v>
      </c>
      <c r="D696" s="256">
        <f>(D615/D612)*AE90</f>
        <v>55057.729972284549</v>
      </c>
      <c r="E696" s="258">
        <f>(E623/E612)*SUM(C696:D696)</f>
        <v>164230.7326628606</v>
      </c>
      <c r="F696" s="258">
        <f>(F624/F612)*AE64</f>
        <v>1658.7983334812213</v>
      </c>
      <c r="G696" s="256">
        <f>(G625/G612)*AE91</f>
        <v>0</v>
      </c>
      <c r="H696" s="258">
        <f>(H628/H612)*AE60</f>
        <v>24301.11268019602</v>
      </c>
      <c r="I696" s="256">
        <f>(I629/I612)*AE92</f>
        <v>31616.294861683167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2184902</v>
      </c>
      <c r="D698" s="256">
        <f>(D615/D612)*AG90</f>
        <v>0</v>
      </c>
      <c r="E698" s="258">
        <f>(E623/E612)*SUM(C698:D698)</f>
        <v>289374.49397359783</v>
      </c>
      <c r="F698" s="258">
        <f>(F624/F612)*AG64</f>
        <v>6247.759619210342</v>
      </c>
      <c r="G698" s="256">
        <f>(G625/G612)*AG91</f>
        <v>0</v>
      </c>
      <c r="H698" s="258">
        <f>(H628/H612)*AG60</f>
        <v>15475.838668345437</v>
      </c>
      <c r="I698" s="256">
        <f>(I629/I612)*AG92</f>
        <v>0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1630246</v>
      </c>
      <c r="D701" s="256">
        <f>(D615/D612)*AJ90</f>
        <v>90304.81047908144</v>
      </c>
      <c r="E701" s="258">
        <f>(E623/E612)*SUM(C701:D701)</f>
        <v>227874.53173563292</v>
      </c>
      <c r="F701" s="258">
        <f>(F624/F612)*AJ64</f>
        <v>16870.02528788977</v>
      </c>
      <c r="G701" s="256">
        <f>(G625/G612)*AJ91</f>
        <v>0</v>
      </c>
      <c r="H701" s="258">
        <f>(H628/H612)*AJ60</f>
        <v>30749.378792006621</v>
      </c>
      <c r="I701" s="256">
        <f>(I629/I612)*AJ92</f>
        <v>91186.765489101643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>
        <f>(G625/G612)*AV91</f>
        <v>0</v>
      </c>
      <c r="H713" s="258">
        <f>(H628/H612)*AV60</f>
        <v>0</v>
      </c>
      <c r="I713" s="256">
        <f>(I629/I612)*AV92</f>
        <v>0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22311639</v>
      </c>
      <c r="D715" s="231">
        <f>SUM(D616:D647)+SUM(D668:D713)</f>
        <v>895769</v>
      </c>
      <c r="E715" s="231">
        <f>SUM(E624:E647)+SUM(E668:E713)</f>
        <v>2609417.0401214203</v>
      </c>
      <c r="F715" s="231">
        <f>SUM(F625:F648)+SUM(F668:F713)</f>
        <v>251958.92863589697</v>
      </c>
      <c r="G715" s="231">
        <f>SUM(G626:G647)+SUM(G668:G713)</f>
        <v>468161.51201071078</v>
      </c>
      <c r="H715" s="231">
        <f>SUM(H629:H647)+SUM(H668:H713)</f>
        <v>234109.99083585304</v>
      </c>
      <c r="I715" s="231">
        <f>SUM(I630:I647)+SUM(I668:I713)</f>
        <v>519837.80566979828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22311639</v>
      </c>
      <c r="D716" s="231">
        <f>D615</f>
        <v>895769</v>
      </c>
      <c r="E716" s="231">
        <f>E623</f>
        <v>2609417.0401214203</v>
      </c>
      <c r="F716" s="231">
        <f>F624</f>
        <v>251958.92863589694</v>
      </c>
      <c r="G716" s="231">
        <f>G625</f>
        <v>468161.51201071072</v>
      </c>
      <c r="H716" s="231">
        <f>H628</f>
        <v>234109.99083585301</v>
      </c>
      <c r="I716" s="231">
        <f>I629</f>
        <v>519837.80566979834</v>
      </c>
      <c r="J716" s="231">
        <f>J630</f>
        <v>253376.72147264573</v>
      </c>
      <c r="K716" s="231" t="e">
        <f>K644</f>
        <v>#DIV/0!</v>
      </c>
      <c r="L716" s="231" t="e">
        <f>L647</f>
        <v>#DIV/0!</v>
      </c>
      <c r="M716" s="231">
        <f>C648</f>
        <v>7077839</v>
      </c>
      <c r="N716" s="250" t="s">
        <v>670</v>
      </c>
    </row>
  </sheetData>
  <mergeCells count="1">
    <mergeCell ref="B236:C236"/>
  </mergeCells>
  <hyperlinks>
    <hyperlink ref="F42" r:id="rId1" xr:uid="{00000000-0004-0000-0000-000000000000}"/>
    <hyperlink ref="A43" r:id="rId2" xr:uid="{00000000-0004-0000-0000-000001000000}"/>
    <hyperlink ref="C30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871</v>
      </c>
      <c r="B1" s="183"/>
      <c r="C1" s="183"/>
    </row>
    <row r="2" spans="1:3" ht="20.149999999999999" customHeight="1" x14ac:dyDescent="0.35">
      <c r="A2" s="182"/>
      <c r="B2" s="183"/>
      <c r="C2" s="108" t="s">
        <v>872</v>
      </c>
    </row>
    <row r="3" spans="1:3" ht="20.149999999999999" customHeight="1" x14ac:dyDescent="0.35">
      <c r="A3" s="134" t="str">
        <f>"Hospital: "&amp;data!C98</f>
        <v>Hospital: Skyline Health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873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6651792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12829713</v>
      </c>
    </row>
    <row r="9" spans="1:3" ht="20.149999999999999" customHeight="1" x14ac:dyDescent="0.35">
      <c r="A9" s="188">
        <v>5</v>
      </c>
      <c r="B9" s="190" t="s">
        <v>874</v>
      </c>
      <c r="C9" s="190">
        <f>data!C269</f>
        <v>8023365</v>
      </c>
    </row>
    <row r="10" spans="1:3" ht="20.149999999999999" customHeight="1" x14ac:dyDescent="0.35">
      <c r="A10" s="188">
        <v>6</v>
      </c>
      <c r="B10" s="190" t="s">
        <v>875</v>
      </c>
      <c r="C10" s="190">
        <f>data!C270</f>
        <v>338822</v>
      </c>
    </row>
    <row r="11" spans="1:3" ht="20.149999999999999" customHeight="1" x14ac:dyDescent="0.35">
      <c r="A11" s="188">
        <v>7</v>
      </c>
      <c r="B11" s="190" t="s">
        <v>876</v>
      </c>
      <c r="C11" s="190">
        <f>data!C271</f>
        <v>68786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196372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249874</v>
      </c>
    </row>
    <row r="15" spans="1:3" ht="20.149999999999999" customHeight="1" x14ac:dyDescent="0.35">
      <c r="A15" s="188">
        <v>11</v>
      </c>
      <c r="B15" s="190" t="s">
        <v>877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878</v>
      </c>
      <c r="C16" s="190">
        <f>data!D276</f>
        <v>12311994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879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1710396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880</v>
      </c>
      <c r="C22" s="190">
        <f>data!D281</f>
        <v>1710396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881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474331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199862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26183754</v>
      </c>
    </row>
    <row r="28" spans="1:3" ht="20.149999999999999" customHeight="1" x14ac:dyDescent="0.35">
      <c r="A28" s="188">
        <v>24</v>
      </c>
      <c r="B28" s="190" t="s">
        <v>882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537579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6616409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883</v>
      </c>
      <c r="C34" s="190">
        <f>data!C292</f>
        <v>18336547</v>
      </c>
    </row>
    <row r="35" spans="1:3" ht="20.149999999999999" customHeight="1" x14ac:dyDescent="0.35">
      <c r="A35" s="188">
        <v>31</v>
      </c>
      <c r="B35" s="190" t="s">
        <v>884</v>
      </c>
      <c r="C35" s="190">
        <f>data!D293</f>
        <v>15675388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885</v>
      </c>
      <c r="C37" s="189"/>
    </row>
    <row r="38" spans="1:3" ht="20.149999999999999" customHeight="1" x14ac:dyDescent="0.35">
      <c r="A38" s="188">
        <v>34</v>
      </c>
      <c r="B38" s="190" t="s">
        <v>886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887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888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889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890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891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892</v>
      </c>
      <c r="C50" s="190">
        <f>data!D308</f>
        <v>29697778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893</v>
      </c>
      <c r="B53" s="183"/>
      <c r="C53" s="183"/>
    </row>
    <row r="54" spans="1:3" ht="20.149999999999999" customHeight="1" x14ac:dyDescent="0.35">
      <c r="A54" s="182"/>
      <c r="B54" s="183"/>
      <c r="C54" s="108" t="s">
        <v>894</v>
      </c>
    </row>
    <row r="55" spans="1:3" ht="20.149999999999999" customHeight="1" x14ac:dyDescent="0.35">
      <c r="A55" s="134" t="str">
        <f>"Hospital: "&amp;data!C98</f>
        <v>Hospital: Skyline Health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895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896</v>
      </c>
      <c r="C59" s="190">
        <f>data!C315</f>
        <v>1090188</v>
      </c>
    </row>
    <row r="60" spans="1:3" ht="20.149999999999999" customHeight="1" x14ac:dyDescent="0.35">
      <c r="A60" s="188">
        <v>4</v>
      </c>
      <c r="B60" s="190" t="s">
        <v>897</v>
      </c>
      <c r="C60" s="190">
        <f>data!C316</f>
        <v>1161548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898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899</v>
      </c>
      <c r="C63" s="190">
        <f>data!C319</f>
        <v>2137151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900</v>
      </c>
      <c r="C67" s="190">
        <f>data!C323</f>
        <v>570000</v>
      </c>
    </row>
    <row r="68" spans="1:3" ht="20.149999999999999" customHeight="1" x14ac:dyDescent="0.35">
      <c r="A68" s="188">
        <v>12</v>
      </c>
      <c r="B68" s="190" t="s">
        <v>901</v>
      </c>
      <c r="C68" s="190">
        <f>data!D324</f>
        <v>4958887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902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903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904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905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906</v>
      </c>
      <c r="C80" s="190">
        <f>data!C334</f>
        <v>51906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18495000</v>
      </c>
    </row>
    <row r="82" spans="1:3" ht="20.149999999999999" customHeight="1" x14ac:dyDescent="0.35">
      <c r="A82" s="188">
        <v>26</v>
      </c>
      <c r="B82" s="190" t="s">
        <v>907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558449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19105355</v>
      </c>
    </row>
    <row r="86" spans="1:3" ht="20.149999999999999" customHeight="1" x14ac:dyDescent="0.35">
      <c r="A86" s="188">
        <v>30</v>
      </c>
      <c r="B86" s="190" t="s">
        <v>908</v>
      </c>
      <c r="C86" s="190">
        <f>data!D340</f>
        <v>570000</v>
      </c>
    </row>
    <row r="87" spans="1:3" ht="20.149999999999999" customHeight="1" x14ac:dyDescent="0.35">
      <c r="A87" s="188">
        <v>31</v>
      </c>
      <c r="B87" s="190" t="s">
        <v>909</v>
      </c>
      <c r="C87" s="190">
        <f>data!D341</f>
        <v>18535355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910</v>
      </c>
      <c r="C89" s="190">
        <f>data!C343</f>
        <v>6203536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911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912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913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914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915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916</v>
      </c>
      <c r="C102" s="190">
        <f>data!C343+data!C345+data!C346+data!C347+data!C348-data!C349</f>
        <v>6203536</v>
      </c>
    </row>
    <row r="103" spans="1:3" ht="20.149999999999999" customHeight="1" x14ac:dyDescent="0.35">
      <c r="A103" s="188">
        <v>47</v>
      </c>
      <c r="B103" s="190" t="s">
        <v>917</v>
      </c>
      <c r="C103" s="190">
        <f>data!D352</f>
        <v>29697778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918</v>
      </c>
      <c r="B106" s="183"/>
      <c r="C106" s="183"/>
    </row>
    <row r="107" spans="1:3" ht="20.149999999999999" customHeight="1" x14ac:dyDescent="0.35">
      <c r="A107" s="184"/>
      <c r="C107" s="108" t="s">
        <v>919</v>
      </c>
    </row>
    <row r="108" spans="1:3" ht="20.149999999999999" customHeight="1" x14ac:dyDescent="0.35">
      <c r="A108" s="134" t="str">
        <f>"Hospital: "&amp;data!C98</f>
        <v>Hospital: Skyline Health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920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7809293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27952197</v>
      </c>
    </row>
    <row r="113" spans="1:3" ht="20.149999999999999" customHeight="1" x14ac:dyDescent="0.35">
      <c r="A113" s="188">
        <v>4</v>
      </c>
      <c r="B113" s="190" t="s">
        <v>921</v>
      </c>
      <c r="C113" s="190">
        <f>data!D360</f>
        <v>35761490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922</v>
      </c>
      <c r="C115" s="189"/>
    </row>
    <row r="116" spans="1:3" ht="20.149999999999999" customHeight="1" x14ac:dyDescent="0.35">
      <c r="A116" s="188">
        <v>7</v>
      </c>
      <c r="B116" s="202" t="s">
        <v>923</v>
      </c>
      <c r="C116" s="203">
        <f>data!C362</f>
        <v>665835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13234366</v>
      </c>
    </row>
    <row r="118" spans="1:3" ht="20.149999999999999" customHeight="1" x14ac:dyDescent="0.35">
      <c r="A118" s="188">
        <v>9</v>
      </c>
      <c r="B118" s="190" t="s">
        <v>924</v>
      </c>
      <c r="C118" s="203">
        <f>data!C364</f>
        <v>92770</v>
      </c>
    </row>
    <row r="119" spans="1:3" ht="20.149999999999999" customHeight="1" x14ac:dyDescent="0.35">
      <c r="A119" s="188">
        <v>10</v>
      </c>
      <c r="B119" s="190" t="s">
        <v>925</v>
      </c>
      <c r="C119" s="203">
        <f>data!C365</f>
        <v>412090</v>
      </c>
    </row>
    <row r="120" spans="1:3" ht="20.149999999999999" customHeight="1" x14ac:dyDescent="0.35">
      <c r="A120" s="188">
        <v>11</v>
      </c>
      <c r="B120" s="190" t="s">
        <v>869</v>
      </c>
      <c r="C120" s="203">
        <f>data!D366</f>
        <v>14405061</v>
      </c>
    </row>
    <row r="121" spans="1:3" ht="20.149999999999999" customHeight="1" x14ac:dyDescent="0.35">
      <c r="A121" s="188">
        <v>12</v>
      </c>
      <c r="B121" s="190" t="s">
        <v>926</v>
      </c>
      <c r="C121" s="203">
        <f>data!D367</f>
        <v>21356429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927</v>
      </c>
      <c r="B125" s="206" t="s">
        <v>479</v>
      </c>
      <c r="C125" s="205">
        <f>data!C370</f>
        <v>10315</v>
      </c>
    </row>
    <row r="126" spans="1:3" ht="20.149999999999999" customHeight="1" x14ac:dyDescent="0.35">
      <c r="A126" s="209" t="s">
        <v>928</v>
      </c>
      <c r="B126" s="206" t="s">
        <v>480</v>
      </c>
      <c r="C126" s="205">
        <f>data!C371</f>
        <v>943656</v>
      </c>
    </row>
    <row r="127" spans="1:3" ht="20.149999999999999" customHeight="1" x14ac:dyDescent="0.35">
      <c r="A127" s="209" t="s">
        <v>929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930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931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932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933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934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935</v>
      </c>
      <c r="B133" s="206" t="s">
        <v>487</v>
      </c>
      <c r="C133" s="205">
        <f>data!C378</f>
        <v>5920</v>
      </c>
    </row>
    <row r="134" spans="1:3" ht="20.149999999999999" customHeight="1" x14ac:dyDescent="0.35">
      <c r="A134" s="209" t="s">
        <v>936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937</v>
      </c>
      <c r="B135" s="206" t="s">
        <v>489</v>
      </c>
      <c r="C135" s="205">
        <f>data!C380</f>
        <v>0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938</v>
      </c>
      <c r="C137" s="203">
        <f>data!D383</f>
        <v>2430144</v>
      </c>
    </row>
    <row r="138" spans="1:3" ht="20.149999999999999" customHeight="1" x14ac:dyDescent="0.35">
      <c r="A138" s="188">
        <v>18</v>
      </c>
      <c r="B138" s="190" t="s">
        <v>939</v>
      </c>
      <c r="C138" s="203">
        <f>data!D384</f>
        <v>23786573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940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9488954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2697474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1971764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1888781</v>
      </c>
    </row>
    <row r="145" spans="1:3" ht="20.149999999999999" customHeight="1" x14ac:dyDescent="0.35">
      <c r="A145" s="188">
        <v>25</v>
      </c>
      <c r="B145" s="190" t="s">
        <v>941</v>
      </c>
      <c r="C145" s="203">
        <f>data!C393</f>
        <v>344810</v>
      </c>
    </row>
    <row r="146" spans="1:3" ht="20.149999999999999" customHeight="1" x14ac:dyDescent="0.35">
      <c r="A146" s="188">
        <v>26</v>
      </c>
      <c r="B146" s="190" t="s">
        <v>942</v>
      </c>
      <c r="C146" s="203">
        <f>data!C394</f>
        <v>4069848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1450623</v>
      </c>
    </row>
    <row r="148" spans="1:3" ht="20.149999999999999" customHeight="1" x14ac:dyDescent="0.35">
      <c r="A148" s="188">
        <v>28</v>
      </c>
      <c r="B148" s="190" t="s">
        <v>943</v>
      </c>
      <c r="C148" s="203">
        <f>data!C396</f>
        <v>61370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210299</v>
      </c>
    </row>
    <row r="150" spans="1:3" ht="20.149999999999999" customHeight="1" x14ac:dyDescent="0.35">
      <c r="A150" s="188">
        <v>30</v>
      </c>
      <c r="B150" s="190" t="s">
        <v>944</v>
      </c>
      <c r="C150" s="203">
        <f>data!C398</f>
        <v>124000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1002354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945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946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947</v>
      </c>
      <c r="B155" s="207" t="s">
        <v>948</v>
      </c>
      <c r="C155" s="203">
        <f>data!C403</f>
        <v>0</v>
      </c>
    </row>
    <row r="156" spans="1:3" ht="20.149999999999999" customHeight="1" x14ac:dyDescent="0.35">
      <c r="A156" s="209" t="s">
        <v>949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950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951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952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953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954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955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956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957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958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959</v>
      </c>
      <c r="B166" s="207" t="s">
        <v>960</v>
      </c>
      <c r="C166" s="203">
        <f>data!C414</f>
        <v>355474</v>
      </c>
    </row>
    <row r="167" spans="1:3" ht="20.149999999999999" customHeight="1" x14ac:dyDescent="0.35">
      <c r="A167" s="188">
        <v>34</v>
      </c>
      <c r="B167" s="190" t="s">
        <v>961</v>
      </c>
      <c r="C167" s="203">
        <f>data!D416</f>
        <v>23665751</v>
      </c>
    </row>
    <row r="168" spans="1:3" ht="20.149999999999999" customHeight="1" x14ac:dyDescent="0.35">
      <c r="A168" s="188">
        <v>35</v>
      </c>
      <c r="B168" s="190" t="s">
        <v>962</v>
      </c>
      <c r="C168" s="203">
        <f>data!D417</f>
        <v>120822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963</v>
      </c>
      <c r="C170" s="203">
        <f>data!D420</f>
        <v>215237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964</v>
      </c>
      <c r="C172" s="190">
        <f>data!D421</f>
        <v>336059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965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966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967</v>
      </c>
      <c r="C177" s="203">
        <f>data!D424</f>
        <v>336059</v>
      </c>
    </row>
    <row r="178" spans="1:3" ht="20.149999999999999" customHeight="1" x14ac:dyDescent="0.35">
      <c r="A178" s="193">
        <v>45</v>
      </c>
      <c r="B178" s="192" t="s">
        <v>968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969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970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Skyline Health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971</v>
      </c>
      <c r="C6" s="292" t="s">
        <v>103</v>
      </c>
      <c r="D6" s="293" t="s">
        <v>972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973</v>
      </c>
      <c r="E7" s="293" t="s">
        <v>175</v>
      </c>
      <c r="F7" s="293" t="s">
        <v>974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975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709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17.63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1887090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535326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1635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56763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1450793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222969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976</v>
      </c>
      <c r="C18" s="287">
        <f>data!C68</f>
        <v>0</v>
      </c>
      <c r="D18" s="287">
        <f>data!D68</f>
        <v>0</v>
      </c>
      <c r="E18" s="287">
        <f>data!E68</f>
        <v>7748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977</v>
      </c>
      <c r="C19" s="287">
        <f>data!C69</f>
        <v>0</v>
      </c>
      <c r="D19" s="287">
        <f>data!D69</f>
        <v>0</v>
      </c>
      <c r="E19" s="287">
        <f>data!E69</f>
        <v>11913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978</v>
      </c>
      <c r="C21" s="287">
        <f>data!C85</f>
        <v>0</v>
      </c>
      <c r="D21" s="287">
        <f>data!D85</f>
        <v>0</v>
      </c>
      <c r="E21" s="287">
        <f>data!E85</f>
        <v>4174237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979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980</v>
      </c>
      <c r="C24" s="287">
        <f>data!C87</f>
        <v>27486</v>
      </c>
      <c r="D24" s="287">
        <f>data!D87</f>
        <v>0</v>
      </c>
      <c r="E24" s="287">
        <f>data!E87</f>
        <v>2082187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981</v>
      </c>
      <c r="C25" s="287">
        <f>data!C88</f>
        <v>-3765</v>
      </c>
      <c r="D25" s="287">
        <f>data!D88</f>
        <v>0</v>
      </c>
      <c r="E25" s="287">
        <f>data!E88</f>
        <v>376465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982</v>
      </c>
      <c r="C26" s="287">
        <f>data!C89</f>
        <v>23721</v>
      </c>
      <c r="D26" s="287">
        <f>data!D89</f>
        <v>0</v>
      </c>
      <c r="E26" s="287">
        <f>data!E89</f>
        <v>2458652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983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984</v>
      </c>
      <c r="C28" s="287">
        <f>data!C90</f>
        <v>0</v>
      </c>
      <c r="D28" s="287">
        <f>data!D90</f>
        <v>0</v>
      </c>
      <c r="E28" s="287">
        <f>data!E90</f>
        <v>10104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985</v>
      </c>
      <c r="C29" s="287">
        <f>data!C91</f>
        <v>0</v>
      </c>
      <c r="D29" s="287">
        <f>data!D91</f>
        <v>0</v>
      </c>
      <c r="E29" s="287">
        <f>data!E91</f>
        <v>5261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986</v>
      </c>
      <c r="C30" s="287">
        <f>data!C92</f>
        <v>0</v>
      </c>
      <c r="D30" s="287">
        <f>data!D92</f>
        <v>0</v>
      </c>
      <c r="E30" s="287">
        <f>data!E92</f>
        <v>1264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987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9.9700000000000006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969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988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Skyline Health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971</v>
      </c>
      <c r="C38" s="293"/>
      <c r="D38" s="293" t="s">
        <v>111</v>
      </c>
      <c r="E38" s="293" t="s">
        <v>112</v>
      </c>
      <c r="F38" s="293" t="s">
        <v>989</v>
      </c>
      <c r="G38" s="293" t="s">
        <v>114</v>
      </c>
      <c r="H38" s="293" t="s">
        <v>990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975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1003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619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0.77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6.3400000000000007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37686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656791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10691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186317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240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145674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87902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84231</v>
      </c>
    </row>
    <row r="50" spans="1:11" ht="20.149999999999999" customHeight="1" x14ac:dyDescent="0.35">
      <c r="A50" s="279">
        <v>13</v>
      </c>
      <c r="B50" s="287" t="s">
        <v>976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40</v>
      </c>
    </row>
    <row r="51" spans="1:11" ht="20.149999999999999" customHeight="1" x14ac:dyDescent="0.35">
      <c r="A51" s="279">
        <v>14</v>
      </c>
      <c r="B51" s="287" t="s">
        <v>977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888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978</v>
      </c>
      <c r="C53" s="287">
        <f>data!J85</f>
        <v>0</v>
      </c>
      <c r="D53" s="287">
        <f>data!K85</f>
        <v>0</v>
      </c>
      <c r="E53" s="287">
        <f>data!L85</f>
        <v>48617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1161843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979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980</v>
      </c>
      <c r="C56" s="287">
        <f>data!J87</f>
        <v>0</v>
      </c>
      <c r="D56" s="287">
        <f>data!K87</f>
        <v>0</v>
      </c>
      <c r="E56" s="287">
        <f>data!L87</f>
        <v>2356367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52013</v>
      </c>
    </row>
    <row r="57" spans="1:11" ht="20.149999999999999" customHeight="1" x14ac:dyDescent="0.35">
      <c r="A57" s="279">
        <v>20</v>
      </c>
      <c r="B57" s="295" t="s">
        <v>981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3152977</v>
      </c>
    </row>
    <row r="58" spans="1:11" ht="20.149999999999999" customHeight="1" x14ac:dyDescent="0.35">
      <c r="A58" s="279">
        <v>21</v>
      </c>
      <c r="B58" s="295" t="s">
        <v>982</v>
      </c>
      <c r="C58" s="287">
        <f>data!J89</f>
        <v>0</v>
      </c>
      <c r="D58" s="287">
        <f>data!K89</f>
        <v>0</v>
      </c>
      <c r="E58" s="287">
        <f>data!L89</f>
        <v>2356367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3204990</v>
      </c>
    </row>
    <row r="59" spans="1:11" ht="20.149999999999999" customHeight="1" x14ac:dyDescent="0.35">
      <c r="A59" s="279" t="s">
        <v>983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984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3817</v>
      </c>
      <c r="K60" s="298"/>
    </row>
    <row r="61" spans="1:11" ht="20.149999999999999" customHeight="1" x14ac:dyDescent="0.35">
      <c r="A61" s="279">
        <v>23</v>
      </c>
      <c r="B61" s="287" t="s">
        <v>985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986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668</v>
      </c>
    </row>
    <row r="63" spans="1:11" ht="20.149999999999999" customHeight="1" x14ac:dyDescent="0.35">
      <c r="A63" s="279">
        <v>25</v>
      </c>
      <c r="B63" s="287" t="s">
        <v>987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3.4000000000000004</v>
      </c>
    </row>
    <row r="65" spans="1:9" ht="20.149999999999999" customHeight="1" x14ac:dyDescent="0.35">
      <c r="A65" s="280" t="s">
        <v>969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991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Skyline Health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971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992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975</v>
      </c>
      <c r="C72" s="289" t="s">
        <v>993</v>
      </c>
      <c r="D72" s="288" t="s">
        <v>994</v>
      </c>
      <c r="E72" s="299"/>
      <c r="F72" s="299"/>
      <c r="G72" s="288" t="s">
        <v>995</v>
      </c>
      <c r="H72" s="288" t="s">
        <v>995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31024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6.2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459395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130320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391463</v>
      </c>
      <c r="E77" s="287">
        <f>data!S63</f>
        <v>0</v>
      </c>
      <c r="F77" s="287">
        <f>data!T63</f>
        <v>0</v>
      </c>
      <c r="G77" s="287">
        <f>data!U63</f>
        <v>11504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3711</v>
      </c>
      <c r="E78" s="287">
        <f>data!S64</f>
        <v>292314</v>
      </c>
      <c r="F78" s="287">
        <f>data!T64</f>
        <v>0</v>
      </c>
      <c r="G78" s="287">
        <f>data!U64</f>
        <v>329590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2207</v>
      </c>
      <c r="E80" s="287">
        <f>data!S66</f>
        <v>0</v>
      </c>
      <c r="F80" s="287">
        <f>data!T66</f>
        <v>0</v>
      </c>
      <c r="G80" s="287">
        <f>data!U66</f>
        <v>482372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25223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976</v>
      </c>
      <c r="C82" s="287">
        <f>data!Q68</f>
        <v>0</v>
      </c>
      <c r="D82" s="287">
        <f>data!R68</f>
        <v>0</v>
      </c>
      <c r="E82" s="287">
        <f>data!S68</f>
        <v>11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977</v>
      </c>
      <c r="C83" s="287">
        <f>data!Q69</f>
        <v>0</v>
      </c>
      <c r="D83" s="287">
        <f>data!R69</f>
        <v>0</v>
      </c>
      <c r="E83" s="287">
        <f>data!S69</f>
        <v>1221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978</v>
      </c>
      <c r="C85" s="287">
        <f>data!Q85</f>
        <v>0</v>
      </c>
      <c r="D85" s="287">
        <f>data!R85</f>
        <v>397381</v>
      </c>
      <c r="E85" s="287">
        <f>data!S85</f>
        <v>293546</v>
      </c>
      <c r="F85" s="287">
        <f>data!T85</f>
        <v>0</v>
      </c>
      <c r="G85" s="287">
        <f>data!U85</f>
        <v>1438404</v>
      </c>
      <c r="H85" s="287">
        <f>data!V85</f>
        <v>0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979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980</v>
      </c>
      <c r="C88" s="287">
        <f>data!Q87</f>
        <v>13507</v>
      </c>
      <c r="D88" s="287">
        <f>data!R87</f>
        <v>0</v>
      </c>
      <c r="E88" s="287">
        <f>data!S87</f>
        <v>104049</v>
      </c>
      <c r="F88" s="287">
        <f>data!T87</f>
        <v>0</v>
      </c>
      <c r="G88" s="287">
        <f>data!U87</f>
        <v>440997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981</v>
      </c>
      <c r="C89" s="287">
        <f>data!Q88</f>
        <v>90232</v>
      </c>
      <c r="D89" s="287">
        <f>data!R88</f>
        <v>0</v>
      </c>
      <c r="E89" s="287">
        <f>data!S88</f>
        <v>366154</v>
      </c>
      <c r="F89" s="287">
        <f>data!T88</f>
        <v>0</v>
      </c>
      <c r="G89" s="287">
        <f>data!U88</f>
        <v>2782894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982</v>
      </c>
      <c r="C90" s="287">
        <f>data!Q89</f>
        <v>103739</v>
      </c>
      <c r="D90" s="287">
        <f>data!R89</f>
        <v>0</v>
      </c>
      <c r="E90" s="287">
        <f>data!S89</f>
        <v>470203</v>
      </c>
      <c r="F90" s="287">
        <f>data!T89</f>
        <v>0</v>
      </c>
      <c r="G90" s="287">
        <f>data!U89</f>
        <v>3223891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983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984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1143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985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986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370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987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969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996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Skyline Health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971</v>
      </c>
      <c r="C102" s="293" t="s">
        <v>997</v>
      </c>
      <c r="D102" s="293" t="s">
        <v>998</v>
      </c>
      <c r="E102" s="293" t="s">
        <v>998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975</v>
      </c>
      <c r="C104" s="288" t="s">
        <v>236</v>
      </c>
      <c r="D104" s="289" t="s">
        <v>999</v>
      </c>
      <c r="E104" s="289" t="s">
        <v>999</v>
      </c>
      <c r="F104" s="289" t="s">
        <v>999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8923</v>
      </c>
      <c r="E105" s="287">
        <f>data!Z59</f>
        <v>0</v>
      </c>
      <c r="F105" s="287">
        <f>data!AA59</f>
        <v>0</v>
      </c>
      <c r="G105" s="299"/>
      <c r="H105" s="287">
        <f>data!AC59</f>
        <v>1061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6.11</v>
      </c>
      <c r="E106" s="294">
        <f>data!Z60</f>
        <v>0</v>
      </c>
      <c r="F106" s="294">
        <f>data!AA60</f>
        <v>0</v>
      </c>
      <c r="G106" s="294">
        <f>data!AB60</f>
        <v>2.38</v>
      </c>
      <c r="H106" s="294">
        <f>data!AC60</f>
        <v>1.6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506515</v>
      </c>
      <c r="E107" s="287">
        <f>data!Z61</f>
        <v>0</v>
      </c>
      <c r="F107" s="287">
        <f>data!AA61</f>
        <v>0</v>
      </c>
      <c r="G107" s="287">
        <f>data!AB61</f>
        <v>253291</v>
      </c>
      <c r="H107" s="287">
        <f>data!AC61</f>
        <v>145003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143687</v>
      </c>
      <c r="E108" s="287">
        <f>data!Z62</f>
        <v>0</v>
      </c>
      <c r="F108" s="287">
        <f>data!AA62</f>
        <v>0</v>
      </c>
      <c r="G108" s="287">
        <f>data!AB62</f>
        <v>71853</v>
      </c>
      <c r="H108" s="287">
        <f>data!AC62</f>
        <v>41134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267868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-697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86825</v>
      </c>
      <c r="E110" s="287">
        <f>data!Z64</f>
        <v>0</v>
      </c>
      <c r="F110" s="287">
        <f>data!AA64</f>
        <v>0</v>
      </c>
      <c r="G110" s="287">
        <f>data!AB64</f>
        <v>515979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6657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402115</v>
      </c>
      <c r="E112" s="287">
        <f>data!Z66</f>
        <v>0</v>
      </c>
      <c r="F112" s="287">
        <f>data!AA66</f>
        <v>0</v>
      </c>
      <c r="G112" s="287">
        <f>data!AB66</f>
        <v>86550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107380</v>
      </c>
      <c r="E113" s="287">
        <f>data!Z67</f>
        <v>0</v>
      </c>
      <c r="F113" s="287">
        <f>data!AA67</f>
        <v>0</v>
      </c>
      <c r="G113" s="287">
        <f>data!AB67</f>
        <v>12667</v>
      </c>
      <c r="H113" s="287">
        <f>data!AC67</f>
        <v>7702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976</v>
      </c>
      <c r="C114" s="287">
        <f>data!X68</f>
        <v>0</v>
      </c>
      <c r="D114" s="287">
        <f>data!Y68</f>
        <v>29000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12933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977</v>
      </c>
      <c r="C115" s="287">
        <f>data!X69</f>
        <v>0</v>
      </c>
      <c r="D115" s="287">
        <f>data!Y69</f>
        <v>3244</v>
      </c>
      <c r="E115" s="287">
        <f>data!Z69</f>
        <v>0</v>
      </c>
      <c r="F115" s="287">
        <f>data!AA69</f>
        <v>0</v>
      </c>
      <c r="G115" s="287">
        <f>data!AB69</f>
        <v>19963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978</v>
      </c>
      <c r="C117" s="287">
        <f>data!X85</f>
        <v>0</v>
      </c>
      <c r="D117" s="287">
        <f>data!Y85</f>
        <v>1553291</v>
      </c>
      <c r="E117" s="287">
        <f>data!Z85</f>
        <v>0</v>
      </c>
      <c r="F117" s="287">
        <f>data!AA85</f>
        <v>0</v>
      </c>
      <c r="G117" s="287">
        <f>data!AB85</f>
        <v>960303</v>
      </c>
      <c r="H117" s="287">
        <f>data!AC85</f>
        <v>206075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979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980</v>
      </c>
      <c r="C120" s="287">
        <f>data!X87</f>
        <v>0</v>
      </c>
      <c r="D120" s="287">
        <f>data!Y87</f>
        <v>485605</v>
      </c>
      <c r="E120" s="287">
        <f>data!Z87</f>
        <v>0</v>
      </c>
      <c r="F120" s="287">
        <f>data!AA87</f>
        <v>0</v>
      </c>
      <c r="G120" s="287">
        <f>data!AB87</f>
        <v>1134014</v>
      </c>
      <c r="H120" s="287">
        <f>data!AC87</f>
        <v>217544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981</v>
      </c>
      <c r="C121" s="287">
        <f>data!X88</f>
        <v>0</v>
      </c>
      <c r="D121" s="287">
        <f>data!Y88</f>
        <v>7902940</v>
      </c>
      <c r="E121" s="287">
        <f>data!Z88</f>
        <v>0</v>
      </c>
      <c r="F121" s="287">
        <f>data!AA88</f>
        <v>0</v>
      </c>
      <c r="G121" s="287">
        <f>data!AB88</f>
        <v>2234558</v>
      </c>
      <c r="H121" s="287">
        <f>data!AC88</f>
        <v>626410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982</v>
      </c>
      <c r="C122" s="287">
        <f>data!X89</f>
        <v>0</v>
      </c>
      <c r="D122" s="287">
        <f>data!Y89</f>
        <v>8388545</v>
      </c>
      <c r="E122" s="287">
        <f>data!Z89</f>
        <v>0</v>
      </c>
      <c r="F122" s="287">
        <f>data!AA89</f>
        <v>0</v>
      </c>
      <c r="G122" s="287">
        <f>data!AB89</f>
        <v>3368572</v>
      </c>
      <c r="H122" s="287">
        <f>data!AC89</f>
        <v>843954</v>
      </c>
      <c r="I122" s="287">
        <f>data!AD89</f>
        <v>0</v>
      </c>
    </row>
    <row r="123" spans="1:9" ht="20.149999999999999" customHeight="1" x14ac:dyDescent="0.35">
      <c r="A123" s="279" t="s">
        <v>983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984</v>
      </c>
      <c r="C124" s="287">
        <f>data!X90</f>
        <v>0</v>
      </c>
      <c r="D124" s="287">
        <f>data!Y90</f>
        <v>4866</v>
      </c>
      <c r="E124" s="287">
        <f>data!Z90</f>
        <v>0</v>
      </c>
      <c r="F124" s="287">
        <f>data!AA90</f>
        <v>0</v>
      </c>
      <c r="G124" s="287">
        <f>data!AB90</f>
        <v>574</v>
      </c>
      <c r="H124" s="287">
        <f>data!AC90</f>
        <v>349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985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986</v>
      </c>
      <c r="C126" s="287">
        <f>data!X92</f>
        <v>0</v>
      </c>
      <c r="D126" s="287">
        <f>data!Y92</f>
        <v>364</v>
      </c>
      <c r="E126" s="287">
        <f>data!Z92</f>
        <v>0</v>
      </c>
      <c r="F126" s="287">
        <f>data!AA92</f>
        <v>0</v>
      </c>
      <c r="G126" s="287">
        <f>data!AB92</f>
        <v>60</v>
      </c>
      <c r="H126" s="287">
        <f>data!AC92</f>
        <v>36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987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969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1000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Skyline Health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971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1001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975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1002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8031</v>
      </c>
      <c r="D137" s="287">
        <f>data!AF59</f>
        <v>0</v>
      </c>
      <c r="E137" s="287">
        <f>data!AG59</f>
        <v>4204</v>
      </c>
      <c r="F137" s="287">
        <f>data!AH59</f>
        <v>0</v>
      </c>
      <c r="G137" s="287">
        <f>data!AI59</f>
        <v>0</v>
      </c>
      <c r="H137" s="287">
        <f>data!AJ59</f>
        <v>4562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9.61</v>
      </c>
      <c r="D138" s="294">
        <f>data!AF60</f>
        <v>0</v>
      </c>
      <c r="E138" s="294">
        <f>data!AG60</f>
        <v>6.12</v>
      </c>
      <c r="F138" s="294">
        <f>data!AH60</f>
        <v>0</v>
      </c>
      <c r="G138" s="294">
        <f>data!AI60</f>
        <v>0</v>
      </c>
      <c r="H138" s="294">
        <f>data!AJ60</f>
        <v>12.16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828828</v>
      </c>
      <c r="D139" s="287">
        <f>data!AF61</f>
        <v>0</v>
      </c>
      <c r="E139" s="287">
        <f>data!AG61</f>
        <v>551637</v>
      </c>
      <c r="F139" s="287">
        <f>data!AH61</f>
        <v>0</v>
      </c>
      <c r="G139" s="287">
        <f>data!AI61</f>
        <v>0</v>
      </c>
      <c r="H139" s="287">
        <f>data!AJ61</f>
        <v>1053663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235120</v>
      </c>
      <c r="D140" s="287">
        <f>data!AF62</f>
        <v>0</v>
      </c>
      <c r="E140" s="287">
        <f>data!AG62</f>
        <v>156487</v>
      </c>
      <c r="F140" s="287">
        <f>data!AH62</f>
        <v>0</v>
      </c>
      <c r="G140" s="287">
        <f>data!AI62</f>
        <v>0</v>
      </c>
      <c r="H140" s="287">
        <f>data!AJ62</f>
        <v>298901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1299295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12198</v>
      </c>
      <c r="D142" s="287">
        <f>data!AF64</f>
        <v>0</v>
      </c>
      <c r="E142" s="287">
        <f>data!AG64</f>
        <v>45943</v>
      </c>
      <c r="F142" s="287">
        <f>data!AH64</f>
        <v>0</v>
      </c>
      <c r="G142" s="287">
        <f>data!AI64</f>
        <v>0</v>
      </c>
      <c r="H142" s="287">
        <f>data!AJ64</f>
        <v>124054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3554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5539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29917</v>
      </c>
      <c r="D144" s="287">
        <f>data!AF66</f>
        <v>0</v>
      </c>
      <c r="E144" s="287">
        <f>data!AG66</f>
        <v>127373</v>
      </c>
      <c r="F144" s="287">
        <f>data!AH66</f>
        <v>0</v>
      </c>
      <c r="G144" s="287">
        <f>data!AI66</f>
        <v>0</v>
      </c>
      <c r="H144" s="287">
        <f>data!AJ66</f>
        <v>14413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71940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117994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976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977</v>
      </c>
      <c r="C147" s="287">
        <f>data!AE69</f>
        <v>3398</v>
      </c>
      <c r="D147" s="287">
        <f>data!AF69</f>
        <v>0</v>
      </c>
      <c r="E147" s="287">
        <f>data!AG69</f>
        <v>4167</v>
      </c>
      <c r="F147" s="287">
        <f>data!AH69</f>
        <v>0</v>
      </c>
      <c r="G147" s="287">
        <f>data!AI69</f>
        <v>0</v>
      </c>
      <c r="H147" s="287">
        <f>data!AJ69</f>
        <v>15682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978</v>
      </c>
      <c r="C149" s="287">
        <f>data!AE85</f>
        <v>1184955</v>
      </c>
      <c r="D149" s="287">
        <f>data!AF85</f>
        <v>0</v>
      </c>
      <c r="E149" s="287">
        <f>data!AG85</f>
        <v>2184902</v>
      </c>
      <c r="F149" s="287">
        <f>data!AH85</f>
        <v>0</v>
      </c>
      <c r="G149" s="287">
        <f>data!AI85</f>
        <v>0</v>
      </c>
      <c r="H149" s="287">
        <f>data!AJ85</f>
        <v>1630246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979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980</v>
      </c>
      <c r="C152" s="287">
        <f>data!AE87</f>
        <v>589883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4720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981</v>
      </c>
      <c r="C153" s="287">
        <f>data!AE88</f>
        <v>1827186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1850028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982</v>
      </c>
      <c r="C154" s="287">
        <f>data!AE89</f>
        <v>2417069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1854748</v>
      </c>
      <c r="I154" s="287">
        <f>data!AK89</f>
        <v>0</v>
      </c>
    </row>
    <row r="155" spans="1:9" ht="20.149999999999999" customHeight="1" x14ac:dyDescent="0.35">
      <c r="A155" s="279" t="s">
        <v>983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984</v>
      </c>
      <c r="C156" s="287">
        <f>data!AE90</f>
        <v>3260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5347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985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986</v>
      </c>
      <c r="C158" s="287">
        <f>data!AE92</f>
        <v>518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1494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987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969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1003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Skyline Health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971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1004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1005</v>
      </c>
      <c r="F167" s="293" t="s">
        <v>194</v>
      </c>
      <c r="G167" s="293" t="s">
        <v>133</v>
      </c>
      <c r="H167" s="292" t="s">
        <v>1006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975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976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977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978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979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980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981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982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983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984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985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986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987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969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1007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Skyline Health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971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1008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1009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975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5470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4.46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200905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56992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131045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6081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spans="1:9" ht="20.149999999999999" customHeight="1" x14ac:dyDescent="0.35">
      <c r="A210" s="279">
        <v>13</v>
      </c>
      <c r="B210" s="287" t="s">
        <v>976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2610</v>
      </c>
    </row>
    <row r="211" spans="1:9" ht="20.149999999999999" customHeight="1" x14ac:dyDescent="0.35">
      <c r="A211" s="279">
        <v>14</v>
      </c>
      <c r="B211" s="287" t="s">
        <v>977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39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978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397672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979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980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981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982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983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984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spans="1:9" ht="20.149999999999999" customHeight="1" x14ac:dyDescent="0.35">
      <c r="A221" s="279">
        <v>23</v>
      </c>
      <c r="B221" s="287" t="s">
        <v>985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986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987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969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1010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Skyline Health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971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1011</v>
      </c>
      <c r="F231" s="293" t="s">
        <v>1012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975</v>
      </c>
      <c r="C232" s="289" t="s">
        <v>1013</v>
      </c>
      <c r="D232" s="289" t="s">
        <v>1014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65736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2</v>
      </c>
      <c r="H234" s="294">
        <f>data!BE60</f>
        <v>3.79</v>
      </c>
      <c r="I234" s="294">
        <f>data!BF60</f>
        <v>7.42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123414</v>
      </c>
      <c r="H235" s="287">
        <f>data!BE61</f>
        <v>282510</v>
      </c>
      <c r="I235" s="287">
        <f>data!BF61</f>
        <v>292696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35010</v>
      </c>
      <c r="H236" s="287">
        <f>data!BE62</f>
        <v>80142</v>
      </c>
      <c r="I236" s="287">
        <f>data!BF62</f>
        <v>83031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13465</v>
      </c>
      <c r="E238" s="287">
        <f>data!BB64</f>
        <v>0</v>
      </c>
      <c r="F238" s="287">
        <f>data!BC64</f>
        <v>0</v>
      </c>
      <c r="G238" s="287">
        <f>data!BD64</f>
        <v>803</v>
      </c>
      <c r="H238" s="287">
        <f>data!BE64</f>
        <v>44955</v>
      </c>
      <c r="I238" s="287">
        <f>data!BF64</f>
        <v>31217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239854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2033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97130</v>
      </c>
      <c r="I240" s="287">
        <f>data!BF66</f>
        <v>1062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3443</v>
      </c>
      <c r="E241" s="287">
        <f>data!BB67</f>
        <v>0</v>
      </c>
      <c r="F241" s="287">
        <f>data!BC67</f>
        <v>0</v>
      </c>
      <c r="G241" s="287">
        <f>data!BD67</f>
        <v>35837</v>
      </c>
      <c r="H241" s="287">
        <f>data!BE67</f>
        <v>140547</v>
      </c>
      <c r="I241" s="287">
        <f>data!BF67</f>
        <v>17345</v>
      </c>
    </row>
    <row r="242" spans="1:9" ht="20.149999999999999" customHeight="1" x14ac:dyDescent="0.35">
      <c r="A242" s="279">
        <v>13</v>
      </c>
      <c r="B242" s="287" t="s">
        <v>976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152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977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10479</v>
      </c>
      <c r="I243" s="287">
        <f>data!BF69</f>
        <v>98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978</v>
      </c>
      <c r="C245" s="287">
        <f>data!AZ85</f>
        <v>0</v>
      </c>
      <c r="D245" s="287">
        <f>data!BA85</f>
        <v>18941</v>
      </c>
      <c r="E245" s="287">
        <f>data!BB85</f>
        <v>0</v>
      </c>
      <c r="F245" s="287">
        <f>data!BC85</f>
        <v>0</v>
      </c>
      <c r="G245" s="287">
        <f>data!BD85</f>
        <v>195064</v>
      </c>
      <c r="H245" s="287">
        <f>data!BE85</f>
        <v>895769</v>
      </c>
      <c r="I245" s="287">
        <f>data!BF85</f>
        <v>425449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979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980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981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982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983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984</v>
      </c>
      <c r="C252" s="303">
        <f>data!AZ90</f>
        <v>0</v>
      </c>
      <c r="D252" s="303">
        <f>data!BA90</f>
        <v>156</v>
      </c>
      <c r="E252" s="303">
        <f>data!BB90</f>
        <v>0</v>
      </c>
      <c r="F252" s="303">
        <f>data!BC90</f>
        <v>0</v>
      </c>
      <c r="G252" s="303">
        <f>data!BD90</f>
        <v>1624</v>
      </c>
      <c r="H252" s="303">
        <f>data!BE90</f>
        <v>6369</v>
      </c>
      <c r="I252" s="303">
        <f>data!BF90</f>
        <v>786</v>
      </c>
    </row>
    <row r="253" spans="1:9" ht="20.149999999999999" customHeight="1" x14ac:dyDescent="0.35">
      <c r="A253" s="279">
        <v>23</v>
      </c>
      <c r="B253" s="287" t="s">
        <v>985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986</v>
      </c>
      <c r="C254" s="302" t="str">
        <f>IF(data!AZ78&gt;0,data!AZ78,"")</f>
        <v/>
      </c>
      <c r="D254" s="303">
        <f>data!BA92</f>
        <v>3721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987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969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1015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Skyline Health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971</v>
      </c>
      <c r="C262" s="293" t="s">
        <v>1016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1017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1018</v>
      </c>
    </row>
    <row r="264" spans="1:9" ht="20.149999999999999" customHeight="1" x14ac:dyDescent="0.35">
      <c r="A264" s="279">
        <v>3</v>
      </c>
      <c r="B264" s="287" t="s">
        <v>975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4.0999999999999996</v>
      </c>
      <c r="E266" s="294">
        <f>data!BI60</f>
        <v>0</v>
      </c>
      <c r="F266" s="294">
        <f>data!BJ60</f>
        <v>2.62</v>
      </c>
      <c r="G266" s="294">
        <f>data!BK60</f>
        <v>5.96</v>
      </c>
      <c r="H266" s="294">
        <f>data!BL60</f>
        <v>0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393800</v>
      </c>
      <c r="E267" s="287">
        <f>data!BI61</f>
        <v>0</v>
      </c>
      <c r="F267" s="287">
        <f>data!BJ61</f>
        <v>289826</v>
      </c>
      <c r="G267" s="287">
        <f>data!BK61</f>
        <v>258250</v>
      </c>
      <c r="H267" s="287">
        <f>data!BL61</f>
        <v>0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111713</v>
      </c>
      <c r="E268" s="287">
        <f>data!BI62</f>
        <v>0</v>
      </c>
      <c r="F268" s="287">
        <f>data!BJ62</f>
        <v>82217</v>
      </c>
      <c r="G268" s="287">
        <f>data!BK62</f>
        <v>73260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41780</v>
      </c>
      <c r="E270" s="287">
        <f>data!BI64</f>
        <v>0</v>
      </c>
      <c r="F270" s="287">
        <f>data!BJ64</f>
        <v>470</v>
      </c>
      <c r="G270" s="287">
        <f>data!BK64</f>
        <v>13064</v>
      </c>
      <c r="H270" s="287">
        <f>data!BL64</f>
        <v>0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81747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580648</v>
      </c>
      <c r="E272" s="287">
        <f>data!BI66</f>
        <v>0</v>
      </c>
      <c r="F272" s="287">
        <f>data!BJ66</f>
        <v>175933</v>
      </c>
      <c r="G272" s="287">
        <f>data!BK66</f>
        <v>58659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976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3372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977</v>
      </c>
      <c r="C275" s="287">
        <f>data!BG69</f>
        <v>0</v>
      </c>
      <c r="D275" s="287">
        <f>data!BH69</f>
        <v>1488</v>
      </c>
      <c r="E275" s="287">
        <f>data!BI69</f>
        <v>0</v>
      </c>
      <c r="F275" s="287">
        <f>data!BJ69</f>
        <v>0</v>
      </c>
      <c r="G275" s="287">
        <f>data!BK69</f>
        <v>236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978</v>
      </c>
      <c r="C277" s="287">
        <f>data!BG85</f>
        <v>0</v>
      </c>
      <c r="D277" s="287">
        <f>data!BH85</f>
        <v>1211176</v>
      </c>
      <c r="E277" s="287">
        <f>data!BI85</f>
        <v>0</v>
      </c>
      <c r="F277" s="287">
        <f>data!BJ85</f>
        <v>548446</v>
      </c>
      <c r="G277" s="287">
        <f>data!BK85</f>
        <v>406841</v>
      </c>
      <c r="H277" s="287">
        <f>data!BL85</f>
        <v>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979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980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981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982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983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984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985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986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987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969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1019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Skyline Health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971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1020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975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1.07</v>
      </c>
      <c r="D298" s="294">
        <f>data!BO60</f>
        <v>0</v>
      </c>
      <c r="E298" s="294">
        <f>data!BP60</f>
        <v>0.98</v>
      </c>
      <c r="F298" s="294">
        <f>data!BQ60</f>
        <v>0</v>
      </c>
      <c r="G298" s="294">
        <f>data!BR60</f>
        <v>1.57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227108</v>
      </c>
      <c r="D299" s="287">
        <f>data!BO61</f>
        <v>0</v>
      </c>
      <c r="E299" s="287">
        <f>data!BP61</f>
        <v>89000</v>
      </c>
      <c r="F299" s="287">
        <f>data!BQ61</f>
        <v>0</v>
      </c>
      <c r="G299" s="287">
        <f>data!BR61</f>
        <v>145096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64426</v>
      </c>
      <c r="D300" s="287">
        <f>data!BO62</f>
        <v>0</v>
      </c>
      <c r="E300" s="287">
        <f>data!BP62</f>
        <v>25247</v>
      </c>
      <c r="F300" s="287">
        <f>data!BQ62</f>
        <v>0</v>
      </c>
      <c r="G300" s="287">
        <f>data!BR62</f>
        <v>41161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2622</v>
      </c>
      <c r="D302" s="287">
        <f>data!BO64</f>
        <v>0</v>
      </c>
      <c r="E302" s="287">
        <f>data!BP64</f>
        <v>8389</v>
      </c>
      <c r="F302" s="287">
        <f>data!BQ64</f>
        <v>0</v>
      </c>
      <c r="G302" s="287">
        <f>data!BR64</f>
        <v>1458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960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66595</v>
      </c>
      <c r="D304" s="287">
        <f>data!BO66</f>
        <v>0</v>
      </c>
      <c r="E304" s="287">
        <f>data!BP66</f>
        <v>120189</v>
      </c>
      <c r="F304" s="287">
        <f>data!BQ66</f>
        <v>0</v>
      </c>
      <c r="G304" s="287">
        <f>data!BR66</f>
        <v>18840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441238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976</v>
      </c>
      <c r="C306" s="287">
        <f>data!BN68</f>
        <v>1490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977</v>
      </c>
      <c r="C307" s="287">
        <f>data!BN69</f>
        <v>93122</v>
      </c>
      <c r="D307" s="287">
        <f>data!BO69</f>
        <v>0</v>
      </c>
      <c r="E307" s="287">
        <f>data!BP69</f>
        <v>177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978</v>
      </c>
      <c r="C309" s="287">
        <f>data!BN85</f>
        <v>897561</v>
      </c>
      <c r="D309" s="287">
        <f>data!BO85</f>
        <v>0</v>
      </c>
      <c r="E309" s="287">
        <f>data!BP85</f>
        <v>243002</v>
      </c>
      <c r="F309" s="287">
        <f>data!BQ85</f>
        <v>0</v>
      </c>
      <c r="G309" s="287">
        <f>data!BR85</f>
        <v>206555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979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980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981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982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983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984</v>
      </c>
      <c r="C316" s="303">
        <f>data!BN90</f>
        <v>19995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985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986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987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969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1021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Skyline Health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971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1020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975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1.97</v>
      </c>
      <c r="E330" s="294">
        <f>data!BW60</f>
        <v>0</v>
      </c>
      <c r="F330" s="294">
        <f>data!BX60</f>
        <v>1.23</v>
      </c>
      <c r="G330" s="294">
        <f>data!BY60</f>
        <v>2.8600000000000003</v>
      </c>
      <c r="H330" s="294">
        <f>data!BZ60</f>
        <v>0</v>
      </c>
      <c r="I330" s="294">
        <f>data!CA60</f>
        <v>0.12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80780</v>
      </c>
      <c r="E331" s="306">
        <f>data!BW61</f>
        <v>0</v>
      </c>
      <c r="F331" s="306">
        <f>data!BX61</f>
        <v>122949</v>
      </c>
      <c r="G331" s="306">
        <f>data!BY61</f>
        <v>380918</v>
      </c>
      <c r="H331" s="306">
        <f>data!BZ61</f>
        <v>0</v>
      </c>
      <c r="I331" s="306">
        <f>data!CA61</f>
        <v>12672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22916</v>
      </c>
      <c r="E332" s="306">
        <f>data!BW62</f>
        <v>0</v>
      </c>
      <c r="F332" s="306">
        <f>data!BX62</f>
        <v>34878</v>
      </c>
      <c r="G332" s="306">
        <f>data!BY62</f>
        <v>108058</v>
      </c>
      <c r="H332" s="306">
        <f>data!BZ62</f>
        <v>0</v>
      </c>
      <c r="I332" s="306">
        <f>data!CA62</f>
        <v>3595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4076</v>
      </c>
      <c r="E334" s="306">
        <f>data!BW64</f>
        <v>0</v>
      </c>
      <c r="F334" s="306">
        <f>data!BX64</f>
        <v>0</v>
      </c>
      <c r="G334" s="306">
        <f>data!BY64</f>
        <v>3388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1920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235205</v>
      </c>
      <c r="E336" s="306">
        <f>data!BW66</f>
        <v>0</v>
      </c>
      <c r="F336" s="306">
        <f>data!BX66</f>
        <v>0</v>
      </c>
      <c r="G336" s="306">
        <f>data!BY66</f>
        <v>719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22465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976</v>
      </c>
      <c r="C338" s="306">
        <f>data!BU68</f>
        <v>0</v>
      </c>
      <c r="D338" s="306">
        <f>data!BV68</f>
        <v>4013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977</v>
      </c>
      <c r="C339" s="306">
        <f>data!BU69</f>
        <v>0</v>
      </c>
      <c r="D339" s="306">
        <f>data!BV69</f>
        <v>1578</v>
      </c>
      <c r="E339" s="306">
        <f>data!BW69</f>
        <v>0</v>
      </c>
      <c r="F339" s="306">
        <f>data!BX69</f>
        <v>7519</v>
      </c>
      <c r="G339" s="306">
        <f>data!BY69</f>
        <v>999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978</v>
      </c>
      <c r="C341" s="287">
        <f>data!BU85</f>
        <v>0</v>
      </c>
      <c r="D341" s="287">
        <f>data!BV85</f>
        <v>371033</v>
      </c>
      <c r="E341" s="287">
        <f>data!BW85</f>
        <v>0</v>
      </c>
      <c r="F341" s="287">
        <f>data!BX85</f>
        <v>165346</v>
      </c>
      <c r="G341" s="287">
        <f>data!BY85</f>
        <v>496002</v>
      </c>
      <c r="H341" s="287">
        <f>data!BZ85</f>
        <v>0</v>
      </c>
      <c r="I341" s="287">
        <f>data!CA85</f>
        <v>16267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979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980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981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982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983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984</v>
      </c>
      <c r="C348" s="303">
        <f>data!BU90</f>
        <v>0</v>
      </c>
      <c r="D348" s="303">
        <f>data!BV90</f>
        <v>1018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985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986</v>
      </c>
      <c r="C350" s="303">
        <f>data!BU92</f>
        <v>0</v>
      </c>
      <c r="D350" s="303">
        <f>data!BV92</f>
        <v>22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987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969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1022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Skyline Health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971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1023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975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1</v>
      </c>
      <c r="D362" s="294">
        <f>data!CC60</f>
        <v>1.85</v>
      </c>
      <c r="E362" s="309"/>
      <c r="F362" s="297"/>
      <c r="G362" s="297"/>
      <c r="H362" s="297"/>
      <c r="I362" s="310">
        <f>data!CE60</f>
        <v>111.91999999999999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63306</v>
      </c>
      <c r="D363" s="306">
        <f>data!CC61</f>
        <v>165791</v>
      </c>
      <c r="E363" s="311"/>
      <c r="F363" s="311"/>
      <c r="G363" s="311"/>
      <c r="H363" s="311"/>
      <c r="I363" s="306">
        <f>data!CE61</f>
        <v>9508920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17959</v>
      </c>
      <c r="D364" s="306">
        <f>data!CC62</f>
        <v>47031</v>
      </c>
      <c r="E364" s="311"/>
      <c r="F364" s="311"/>
      <c r="G364" s="311"/>
      <c r="H364" s="311"/>
      <c r="I364" s="306">
        <f>data!CE62</f>
        <v>2697472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1971068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2724</v>
      </c>
      <c r="D366" s="306">
        <f>data!CC64</f>
        <v>-24135</v>
      </c>
      <c r="E366" s="311"/>
      <c r="F366" s="311"/>
      <c r="G366" s="311"/>
      <c r="H366" s="311"/>
      <c r="I366" s="306">
        <f>data!CE64</f>
        <v>1888612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340231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139</v>
      </c>
      <c r="D368" s="306">
        <f>data!CC66</f>
        <v>22959</v>
      </c>
      <c r="E368" s="311"/>
      <c r="F368" s="311"/>
      <c r="G368" s="311"/>
      <c r="H368" s="311"/>
      <c r="I368" s="306">
        <f>data!CE66</f>
        <v>4069834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1310981</v>
      </c>
    </row>
    <row r="370" spans="1:9" ht="20.149999999999999" customHeight="1" x14ac:dyDescent="0.35">
      <c r="A370" s="279">
        <v>13</v>
      </c>
      <c r="B370" s="287" t="s">
        <v>976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61369</v>
      </c>
    </row>
    <row r="371" spans="1:9" ht="20.149999999999999" customHeight="1" x14ac:dyDescent="0.35">
      <c r="A371" s="279">
        <v>14</v>
      </c>
      <c r="B371" s="287" t="s">
        <v>977</v>
      </c>
      <c r="C371" s="306">
        <f>data!CB69</f>
        <v>1280</v>
      </c>
      <c r="D371" s="306">
        <f>data!CC69</f>
        <v>285661</v>
      </c>
      <c r="E371" s="306">
        <f>data!CD69</f>
        <v>0</v>
      </c>
      <c r="F371" s="311"/>
      <c r="G371" s="311"/>
      <c r="H371" s="311"/>
      <c r="I371" s="306">
        <f>data!CE69</f>
        <v>467105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978</v>
      </c>
      <c r="C373" s="306">
        <f>data!CB85</f>
        <v>85408</v>
      </c>
      <c r="D373" s="306">
        <f>data!CC85</f>
        <v>497307</v>
      </c>
      <c r="E373" s="306">
        <f>data!CD85</f>
        <v>0</v>
      </c>
      <c r="F373" s="311"/>
      <c r="G373" s="311"/>
      <c r="H373" s="311"/>
      <c r="I373" s="287">
        <f>data!CE85</f>
        <v>22311639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979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980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7508372</v>
      </c>
    </row>
    <row r="377" spans="1:9" ht="20.149999999999999" customHeight="1" x14ac:dyDescent="0.35">
      <c r="A377" s="279">
        <v>20</v>
      </c>
      <c r="B377" s="295" t="s">
        <v>981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21206079</v>
      </c>
    </row>
    <row r="378" spans="1:9" ht="20.149999999999999" customHeight="1" x14ac:dyDescent="0.35">
      <c r="A378" s="279">
        <v>21</v>
      </c>
      <c r="B378" s="295" t="s">
        <v>982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28714451</v>
      </c>
    </row>
    <row r="379" spans="1:9" ht="20.149999999999999" customHeight="1" x14ac:dyDescent="0.35">
      <c r="A379" s="279" t="s">
        <v>983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984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59408</v>
      </c>
    </row>
    <row r="381" spans="1:9" ht="20.149999999999999" customHeight="1" x14ac:dyDescent="0.35">
      <c r="A381" s="279">
        <v>23</v>
      </c>
      <c r="B381" s="287" t="s">
        <v>985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5261</v>
      </c>
    </row>
    <row r="382" spans="1:9" ht="20.149999999999999" customHeight="1" x14ac:dyDescent="0.35">
      <c r="A382" s="279">
        <v>24</v>
      </c>
      <c r="B382" s="287" t="s">
        <v>986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8517</v>
      </c>
    </row>
    <row r="383" spans="1:9" ht="20.149999999999999" customHeight="1" x14ac:dyDescent="0.35">
      <c r="A383" s="279">
        <v>25</v>
      </c>
      <c r="B383" s="287" t="s">
        <v>987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13.370000000000001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401" transitionEvaluation="1" transitionEntry="1" codeName="Sheet12">
    <tabColor rgb="FF92D050"/>
    <pageSetUpPr autoPageBreaks="0" fitToPage="1"/>
  </sheetPr>
  <dimension ref="A1:CF717"/>
  <sheetViews>
    <sheetView topLeftCell="A401" zoomScale="80" zoomScaleNormal="8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1332</v>
      </c>
    </row>
    <row r="19" spans="1:10" ht="14.5" customHeight="1" x14ac:dyDescent="0.35">
      <c r="A19" s="18" t="s">
        <v>1333</v>
      </c>
    </row>
    <row r="20" spans="1:10" ht="14.5" customHeight="1" x14ac:dyDescent="0.35">
      <c r="A20" s="18" t="s">
        <v>1334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1335</v>
      </c>
      <c r="E24" s="71"/>
      <c r="F24" s="71"/>
      <c r="G24" s="71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3" t="s">
        <v>1349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1341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1339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1342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1340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2392361.5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565077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9287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118945</v>
      </c>
      <c r="Q49" s="270">
        <f t="shared" si="0"/>
        <v>0</v>
      </c>
      <c r="R49" s="270">
        <f t="shared" si="0"/>
        <v>0</v>
      </c>
      <c r="S49" s="270">
        <f t="shared" si="0"/>
        <v>0</v>
      </c>
      <c r="T49" s="270">
        <f t="shared" si="0"/>
        <v>0</v>
      </c>
      <c r="U49" s="270">
        <f t="shared" si="0"/>
        <v>101258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120397</v>
      </c>
      <c r="Z49" s="270">
        <f t="shared" si="0"/>
        <v>0</v>
      </c>
      <c r="AA49" s="270">
        <f t="shared" si="0"/>
        <v>0</v>
      </c>
      <c r="AB49" s="270">
        <f t="shared" si="0"/>
        <v>64936</v>
      </c>
      <c r="AC49" s="270">
        <f t="shared" si="0"/>
        <v>35319</v>
      </c>
      <c r="AD49" s="270">
        <f t="shared" si="0"/>
        <v>0</v>
      </c>
      <c r="AE49" s="270">
        <f t="shared" si="0"/>
        <v>216302</v>
      </c>
      <c r="AF49" s="270">
        <f t="shared" si="0"/>
        <v>0</v>
      </c>
      <c r="AG49" s="270">
        <f t="shared" si="0"/>
        <v>117332</v>
      </c>
      <c r="AH49" s="270">
        <f t="shared" si="0"/>
        <v>0</v>
      </c>
      <c r="AI49" s="270">
        <f t="shared" si="0"/>
        <v>0</v>
      </c>
      <c r="AJ49" s="270">
        <f t="shared" si="0"/>
        <v>269219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51084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31843</v>
      </c>
      <c r="BE49" s="270">
        <f t="shared" si="0"/>
        <v>73404</v>
      </c>
      <c r="BF49" s="270">
        <f t="shared" si="0"/>
        <v>58021</v>
      </c>
      <c r="BG49" s="270">
        <f t="shared" si="0"/>
        <v>0</v>
      </c>
      <c r="BH49" s="270">
        <f t="shared" si="0"/>
        <v>101068</v>
      </c>
      <c r="BI49" s="270">
        <f t="shared" si="0"/>
        <v>0</v>
      </c>
      <c r="BJ49" s="270">
        <f t="shared" si="0"/>
        <v>69029</v>
      </c>
      <c r="BK49" s="270">
        <f t="shared" si="0"/>
        <v>61695</v>
      </c>
      <c r="BL49" s="270">
        <f t="shared" si="0"/>
        <v>0</v>
      </c>
      <c r="BM49" s="270">
        <f t="shared" si="0"/>
        <v>0</v>
      </c>
      <c r="BN49" s="270">
        <f t="shared" si="0"/>
        <v>54778</v>
      </c>
      <c r="BO49" s="270">
        <f t="shared" si="0"/>
        <v>0</v>
      </c>
      <c r="BP49" s="270">
        <f t="shared" ref="BP49:CD49" si="1">IF($B$49,(ROUND((($B$49/$CE$62)*BP62),0)))</f>
        <v>23415</v>
      </c>
      <c r="BQ49" s="270">
        <f t="shared" si="1"/>
        <v>0</v>
      </c>
      <c r="BR49" s="270">
        <f t="shared" si="1"/>
        <v>36935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21206</v>
      </c>
      <c r="BW49" s="270">
        <f t="shared" si="1"/>
        <v>0</v>
      </c>
      <c r="BX49" s="270">
        <f t="shared" si="1"/>
        <v>32214</v>
      </c>
      <c r="BY49" s="270">
        <f t="shared" si="1"/>
        <v>103667</v>
      </c>
      <c r="BZ49" s="270">
        <f t="shared" si="1"/>
        <v>0</v>
      </c>
      <c r="CA49" s="270">
        <f t="shared" si="1"/>
        <v>3167</v>
      </c>
      <c r="CB49" s="270">
        <f t="shared" si="1"/>
        <v>15381</v>
      </c>
      <c r="CC49" s="270">
        <f t="shared" si="1"/>
        <v>37384</v>
      </c>
      <c r="CD49" s="270">
        <f t="shared" si="1"/>
        <v>0</v>
      </c>
      <c r="CE49" s="32">
        <f>SUM(C49:CD49)</f>
        <v>2392363</v>
      </c>
    </row>
    <row r="50" spans="1:83" x14ac:dyDescent="0.35">
      <c r="A50" s="20" t="s">
        <v>218</v>
      </c>
      <c r="B50" s="270">
        <f>B48+B49</f>
        <v>2392361.5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1283639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197303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74535</v>
      </c>
      <c r="Q53" s="270">
        <f t="shared" si="2"/>
        <v>0</v>
      </c>
      <c r="R53" s="270">
        <f t="shared" si="2"/>
        <v>0</v>
      </c>
      <c r="S53" s="270">
        <f t="shared" si="2"/>
        <v>0</v>
      </c>
      <c r="T53" s="270">
        <f t="shared" si="2"/>
        <v>0</v>
      </c>
      <c r="U53" s="270">
        <f t="shared" si="2"/>
        <v>22320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95019</v>
      </c>
      <c r="Z53" s="270">
        <f t="shared" si="2"/>
        <v>0</v>
      </c>
      <c r="AA53" s="270">
        <f t="shared" si="2"/>
        <v>0</v>
      </c>
      <c r="AB53" s="270">
        <f t="shared" si="2"/>
        <v>11209</v>
      </c>
      <c r="AC53" s="270">
        <f t="shared" si="2"/>
        <v>6815</v>
      </c>
      <c r="AD53" s="270">
        <f t="shared" si="2"/>
        <v>0</v>
      </c>
      <c r="AE53" s="270">
        <f t="shared" si="2"/>
        <v>63659</v>
      </c>
      <c r="AF53" s="270">
        <f t="shared" si="2"/>
        <v>0</v>
      </c>
      <c r="AG53" s="270">
        <f t="shared" si="2"/>
        <v>112769</v>
      </c>
      <c r="AH53" s="270">
        <f t="shared" si="2"/>
        <v>0</v>
      </c>
      <c r="AI53" s="270">
        <f t="shared" si="2"/>
        <v>0</v>
      </c>
      <c r="AJ53" s="270">
        <f t="shared" si="2"/>
        <v>104412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52216</v>
      </c>
      <c r="AZ53" s="270">
        <f t="shared" si="2"/>
        <v>0</v>
      </c>
      <c r="BA53" s="270">
        <f t="shared" si="2"/>
        <v>3046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124369</v>
      </c>
      <c r="BF53" s="270">
        <f t="shared" si="2"/>
        <v>15348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366369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19879</v>
      </c>
      <c r="BW53" s="270">
        <f t="shared" si="3"/>
        <v>0</v>
      </c>
      <c r="BX53" s="270">
        <f t="shared" si="3"/>
        <v>0</v>
      </c>
      <c r="BY53" s="270">
        <f t="shared" si="3"/>
        <v>14372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1283640</v>
      </c>
    </row>
    <row r="54" spans="1:83" x14ac:dyDescent="0.35">
      <c r="A54" s="20" t="s">
        <v>218</v>
      </c>
      <c r="B54" s="270">
        <f>B52+B53</f>
        <v>1283639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568</v>
      </c>
      <c r="F60" s="213"/>
      <c r="G60" s="213"/>
      <c r="H60" s="213"/>
      <c r="I60" s="213"/>
      <c r="J60" s="213"/>
      <c r="K60" s="213"/>
      <c r="L60" s="213">
        <v>1168</v>
      </c>
      <c r="M60" s="213"/>
      <c r="N60" s="213"/>
      <c r="O60" s="213"/>
      <c r="P60" s="214">
        <v>419</v>
      </c>
      <c r="Q60" s="214"/>
      <c r="R60" s="214">
        <v>16780</v>
      </c>
      <c r="S60" s="263"/>
      <c r="T60" s="263"/>
      <c r="U60" s="227">
        <v>27226</v>
      </c>
      <c r="V60" s="214"/>
      <c r="W60" s="214"/>
      <c r="X60" s="214"/>
      <c r="Y60" s="214">
        <v>8335</v>
      </c>
      <c r="Z60" s="214"/>
      <c r="AA60" s="214"/>
      <c r="AB60" s="263"/>
      <c r="AC60" s="214">
        <v>933</v>
      </c>
      <c r="AD60" s="214"/>
      <c r="AE60" s="214">
        <v>7805</v>
      </c>
      <c r="AF60" s="214"/>
      <c r="AG60" s="214">
        <v>3453</v>
      </c>
      <c r="AH60" s="214"/>
      <c r="AI60" s="214"/>
      <c r="AJ60" s="214">
        <v>4051</v>
      </c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5485</v>
      </c>
      <c r="AZ60" s="214"/>
      <c r="BA60" s="263"/>
      <c r="BB60" s="263"/>
      <c r="BC60" s="263"/>
      <c r="BD60" s="263"/>
      <c r="BE60" s="214">
        <v>65736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>
        <v>22.89</v>
      </c>
      <c r="F61" s="243"/>
      <c r="G61" s="243"/>
      <c r="H61" s="243"/>
      <c r="I61" s="243"/>
      <c r="J61" s="243"/>
      <c r="K61" s="243"/>
      <c r="L61" s="243">
        <v>0.83</v>
      </c>
      <c r="M61" s="243"/>
      <c r="N61" s="243"/>
      <c r="O61" s="243"/>
      <c r="P61" s="244">
        <v>5.07</v>
      </c>
      <c r="Q61" s="244"/>
      <c r="R61" s="244"/>
      <c r="S61" s="245"/>
      <c r="T61" s="245"/>
      <c r="U61" s="246">
        <v>5.03</v>
      </c>
      <c r="V61" s="244"/>
      <c r="W61" s="244"/>
      <c r="X61" s="244"/>
      <c r="Y61" s="244">
        <v>5.47</v>
      </c>
      <c r="Z61" s="244"/>
      <c r="AA61" s="244"/>
      <c r="AB61" s="245">
        <v>2.4</v>
      </c>
      <c r="AC61" s="244">
        <v>1.48</v>
      </c>
      <c r="AD61" s="244"/>
      <c r="AE61" s="244">
        <v>987</v>
      </c>
      <c r="AF61" s="244"/>
      <c r="AG61" s="244">
        <v>5.08</v>
      </c>
      <c r="AH61" s="244"/>
      <c r="AI61" s="244"/>
      <c r="AJ61" s="244">
        <v>11.4</v>
      </c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>
        <v>4.49</v>
      </c>
      <c r="AZ61" s="244"/>
      <c r="BA61" s="245"/>
      <c r="BB61" s="245"/>
      <c r="BC61" s="245"/>
      <c r="BD61" s="245"/>
      <c r="BE61" s="244">
        <v>3.71</v>
      </c>
      <c r="BF61" s="245">
        <v>5.97</v>
      </c>
      <c r="BG61" s="245"/>
      <c r="BH61" s="245">
        <v>4.1399999999999997</v>
      </c>
      <c r="BI61" s="245"/>
      <c r="BJ61" s="245">
        <v>2.48</v>
      </c>
      <c r="BK61" s="245">
        <v>5.59</v>
      </c>
      <c r="BL61" s="245"/>
      <c r="BM61" s="245"/>
      <c r="BN61" s="245">
        <v>1.08</v>
      </c>
      <c r="BO61" s="245"/>
      <c r="BP61" s="245">
        <v>0.98</v>
      </c>
      <c r="BQ61" s="245"/>
      <c r="BR61" s="245">
        <v>1.82</v>
      </c>
      <c r="BS61" s="245"/>
      <c r="BT61" s="245"/>
      <c r="BU61" s="245"/>
      <c r="BV61" s="245">
        <v>2.0299999999999998</v>
      </c>
      <c r="BW61" s="245"/>
      <c r="BX61" s="245">
        <v>1.23</v>
      </c>
      <c r="BY61" s="245">
        <v>3.41</v>
      </c>
      <c r="BZ61" s="245"/>
      <c r="CA61" s="245">
        <v>0.13</v>
      </c>
      <c r="CB61" s="245">
        <v>1</v>
      </c>
      <c r="CC61" s="245">
        <v>1.62</v>
      </c>
      <c r="CD61" s="247" t="s">
        <v>233</v>
      </c>
      <c r="CE61" s="268">
        <f t="shared" ref="CE61:CE69" si="4">SUM(C61:CD61)</f>
        <v>1086.3300000000002</v>
      </c>
    </row>
    <row r="62" spans="1:83" x14ac:dyDescent="0.35">
      <c r="A62" s="39" t="s">
        <v>248</v>
      </c>
      <c r="B62" s="20"/>
      <c r="C62" s="213"/>
      <c r="D62" s="213"/>
      <c r="E62" s="213">
        <v>2137915</v>
      </c>
      <c r="F62" s="213"/>
      <c r="G62" s="213"/>
      <c r="H62" s="213"/>
      <c r="I62" s="213"/>
      <c r="J62" s="213"/>
      <c r="K62" s="213"/>
      <c r="L62" s="213">
        <v>35137</v>
      </c>
      <c r="M62" s="213"/>
      <c r="N62" s="213"/>
      <c r="O62" s="213"/>
      <c r="P62" s="214">
        <v>450016</v>
      </c>
      <c r="Q62" s="214"/>
      <c r="R62" s="214"/>
      <c r="S62" s="228"/>
      <c r="T62" s="228"/>
      <c r="U62" s="227">
        <v>383101</v>
      </c>
      <c r="V62" s="214"/>
      <c r="W62" s="214"/>
      <c r="X62" s="214"/>
      <c r="Y62" s="214">
        <v>455512</v>
      </c>
      <c r="Z62" s="214"/>
      <c r="AA62" s="214"/>
      <c r="AB62" s="240">
        <v>245678</v>
      </c>
      <c r="AC62" s="214">
        <v>133626</v>
      </c>
      <c r="AD62" s="214"/>
      <c r="AE62" s="214">
        <v>818360</v>
      </c>
      <c r="AF62" s="214"/>
      <c r="AG62" s="214">
        <v>443915</v>
      </c>
      <c r="AH62" s="214"/>
      <c r="AI62" s="214"/>
      <c r="AJ62" s="214">
        <v>1018565</v>
      </c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193270</v>
      </c>
      <c r="AZ62" s="214"/>
      <c r="BA62" s="228"/>
      <c r="BB62" s="228"/>
      <c r="BC62" s="228"/>
      <c r="BD62" s="228">
        <v>120476</v>
      </c>
      <c r="BE62" s="214">
        <v>277716</v>
      </c>
      <c r="BF62" s="228">
        <v>219516</v>
      </c>
      <c r="BG62" s="228"/>
      <c r="BH62" s="228">
        <v>382380</v>
      </c>
      <c r="BI62" s="228"/>
      <c r="BJ62" s="228">
        <v>261164</v>
      </c>
      <c r="BK62" s="228">
        <v>233416</v>
      </c>
      <c r="BL62" s="228"/>
      <c r="BM62" s="228"/>
      <c r="BN62" s="228">
        <v>207247</v>
      </c>
      <c r="BO62" s="228"/>
      <c r="BP62" s="228">
        <v>88588</v>
      </c>
      <c r="BQ62" s="228"/>
      <c r="BR62" s="228">
        <v>139740</v>
      </c>
      <c r="BS62" s="228"/>
      <c r="BT62" s="228"/>
      <c r="BU62" s="228"/>
      <c r="BV62" s="228">
        <v>80231</v>
      </c>
      <c r="BW62" s="228"/>
      <c r="BX62" s="228">
        <v>121879</v>
      </c>
      <c r="BY62" s="228">
        <v>392214</v>
      </c>
      <c r="BZ62" s="228"/>
      <c r="CA62" s="228">
        <v>11981</v>
      </c>
      <c r="CB62" s="228">
        <v>58192</v>
      </c>
      <c r="CC62" s="228">
        <v>141438</v>
      </c>
      <c r="CD62" s="29" t="s">
        <v>233</v>
      </c>
      <c r="CE62" s="32">
        <f t="shared" si="4"/>
        <v>9051273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565077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9287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118945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101258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120397</v>
      </c>
      <c r="Z63" s="269">
        <f t="shared" si="5"/>
        <v>0</v>
      </c>
      <c r="AA63" s="269">
        <f t="shared" si="5"/>
        <v>0</v>
      </c>
      <c r="AB63" s="269">
        <f t="shared" si="5"/>
        <v>64936</v>
      </c>
      <c r="AC63" s="269">
        <f t="shared" si="5"/>
        <v>35319</v>
      </c>
      <c r="AD63" s="269">
        <f t="shared" si="5"/>
        <v>0</v>
      </c>
      <c r="AE63" s="269">
        <f t="shared" si="5"/>
        <v>216302</v>
      </c>
      <c r="AF63" s="269">
        <f t="shared" si="5"/>
        <v>0</v>
      </c>
      <c r="AG63" s="269">
        <f t="shared" si="5"/>
        <v>117332</v>
      </c>
      <c r="AH63" s="269">
        <f t="shared" si="5"/>
        <v>0</v>
      </c>
      <c r="AI63" s="269">
        <f t="shared" si="5"/>
        <v>0</v>
      </c>
      <c r="AJ63" s="269">
        <f t="shared" si="5"/>
        <v>269219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51084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31843</v>
      </c>
      <c r="BE63" s="269">
        <f t="shared" si="5"/>
        <v>73404</v>
      </c>
      <c r="BF63" s="269">
        <f t="shared" si="5"/>
        <v>58021</v>
      </c>
      <c r="BG63" s="269">
        <f t="shared" si="5"/>
        <v>0</v>
      </c>
      <c r="BH63" s="269">
        <f t="shared" si="5"/>
        <v>101068</v>
      </c>
      <c r="BI63" s="269">
        <f t="shared" si="5"/>
        <v>0</v>
      </c>
      <c r="BJ63" s="269">
        <f t="shared" si="5"/>
        <v>69029</v>
      </c>
      <c r="BK63" s="269">
        <f t="shared" si="5"/>
        <v>61695</v>
      </c>
      <c r="BL63" s="269">
        <f t="shared" si="5"/>
        <v>0</v>
      </c>
      <c r="BM63" s="269">
        <f t="shared" si="5"/>
        <v>0</v>
      </c>
      <c r="BN63" s="269">
        <f t="shared" si="5"/>
        <v>54778</v>
      </c>
      <c r="BO63" s="269">
        <f t="shared" si="5"/>
        <v>0</v>
      </c>
      <c r="BP63" s="269">
        <f t="shared" ref="BP63:CC63" si="6">ROUND(BP48+BP49,0)</f>
        <v>23415</v>
      </c>
      <c r="BQ63" s="269">
        <f t="shared" si="6"/>
        <v>0</v>
      </c>
      <c r="BR63" s="269">
        <f t="shared" si="6"/>
        <v>36935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21206</v>
      </c>
      <c r="BW63" s="269">
        <f t="shared" si="6"/>
        <v>0</v>
      </c>
      <c r="BX63" s="269">
        <f t="shared" si="6"/>
        <v>32214</v>
      </c>
      <c r="BY63" s="269">
        <f t="shared" si="6"/>
        <v>103667</v>
      </c>
      <c r="BZ63" s="269">
        <f t="shared" si="6"/>
        <v>0</v>
      </c>
      <c r="CA63" s="269">
        <f t="shared" si="6"/>
        <v>3167</v>
      </c>
      <c r="CB63" s="269">
        <f t="shared" si="6"/>
        <v>15381</v>
      </c>
      <c r="CC63" s="269">
        <f t="shared" si="6"/>
        <v>37384</v>
      </c>
      <c r="CD63" s="29" t="s">
        <v>233</v>
      </c>
      <c r="CE63" s="32">
        <f t="shared" si="4"/>
        <v>2392363</v>
      </c>
    </row>
    <row r="64" spans="1:83" x14ac:dyDescent="0.35">
      <c r="A64" s="39" t="s">
        <v>249</v>
      </c>
      <c r="B64" s="20"/>
      <c r="C64" s="213"/>
      <c r="D64" s="213"/>
      <c r="E64" s="213">
        <v>5722</v>
      </c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>
        <v>391463</v>
      </c>
      <c r="S64" s="228"/>
      <c r="T64" s="228"/>
      <c r="U64" s="227">
        <v>10800</v>
      </c>
      <c r="V64" s="214"/>
      <c r="W64" s="214"/>
      <c r="X64" s="214"/>
      <c r="Y64" s="214">
        <v>245299</v>
      </c>
      <c r="Z64" s="214"/>
      <c r="AA64" s="214"/>
      <c r="AB64" s="240"/>
      <c r="AC64" s="214"/>
      <c r="AD64" s="214"/>
      <c r="AE64" s="214"/>
      <c r="AF64" s="214"/>
      <c r="AG64" s="214">
        <v>1385450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2038734</v>
      </c>
    </row>
    <row r="65" spans="1:83" x14ac:dyDescent="0.35">
      <c r="A65" s="39" t="s">
        <v>250</v>
      </c>
      <c r="B65" s="20"/>
      <c r="C65" s="213"/>
      <c r="D65" s="213"/>
      <c r="E65" s="213">
        <v>54933</v>
      </c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>
        <v>43326</v>
      </c>
      <c r="Q65" s="214"/>
      <c r="R65" s="214">
        <v>1302</v>
      </c>
      <c r="S65" s="228">
        <v>159293</v>
      </c>
      <c r="T65" s="228"/>
      <c r="U65" s="227">
        <v>337384</v>
      </c>
      <c r="V65" s="214"/>
      <c r="W65" s="214"/>
      <c r="X65" s="214"/>
      <c r="Y65" s="214">
        <v>45181</v>
      </c>
      <c r="Z65" s="214"/>
      <c r="AA65" s="214"/>
      <c r="AB65" s="240">
        <v>493598</v>
      </c>
      <c r="AC65" s="214">
        <v>2496</v>
      </c>
      <c r="AD65" s="214"/>
      <c r="AE65" s="214">
        <v>12633</v>
      </c>
      <c r="AF65" s="214"/>
      <c r="AG65" s="214">
        <v>41611</v>
      </c>
      <c r="AH65" s="214"/>
      <c r="AI65" s="214"/>
      <c r="AJ65" s="214">
        <v>124498</v>
      </c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116577</v>
      </c>
      <c r="AZ65" s="214"/>
      <c r="BA65" s="228">
        <v>7115</v>
      </c>
      <c r="BB65" s="228"/>
      <c r="BC65" s="228"/>
      <c r="BD65" s="228">
        <v>895</v>
      </c>
      <c r="BE65" s="214">
        <v>25197</v>
      </c>
      <c r="BF65" s="228">
        <v>25905</v>
      </c>
      <c r="BG65" s="228"/>
      <c r="BH65" s="228">
        <v>25709</v>
      </c>
      <c r="BI65" s="228"/>
      <c r="BJ65" s="228">
        <v>18</v>
      </c>
      <c r="BK65" s="228">
        <v>12530</v>
      </c>
      <c r="BL65" s="228"/>
      <c r="BM65" s="228"/>
      <c r="BN65" s="228">
        <v>3931</v>
      </c>
      <c r="BO65" s="228"/>
      <c r="BP65" s="228">
        <v>6383</v>
      </c>
      <c r="BQ65" s="228"/>
      <c r="BR65" s="228">
        <v>2913</v>
      </c>
      <c r="BS65" s="228"/>
      <c r="BT65" s="228"/>
      <c r="BU65" s="228"/>
      <c r="BV65" s="228">
        <v>2141</v>
      </c>
      <c r="BW65" s="228"/>
      <c r="BX65" s="228"/>
      <c r="BY65" s="228">
        <v>6971</v>
      </c>
      <c r="BZ65" s="228"/>
      <c r="CA65" s="228"/>
      <c r="CB65" s="228">
        <v>889</v>
      </c>
      <c r="CC65" s="228">
        <v>43202</v>
      </c>
      <c r="CD65" s="29" t="s">
        <v>233</v>
      </c>
      <c r="CE65" s="32">
        <f t="shared" si="4"/>
        <v>1596631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>
        <v>880</v>
      </c>
      <c r="Q66" s="214"/>
      <c r="R66" s="214">
        <v>-135</v>
      </c>
      <c r="S66" s="228"/>
      <c r="T66" s="228"/>
      <c r="U66" s="227"/>
      <c r="V66" s="214"/>
      <c r="W66" s="214"/>
      <c r="X66" s="214"/>
      <c r="Y66" s="214">
        <v>5588</v>
      </c>
      <c r="Z66" s="214"/>
      <c r="AA66" s="214"/>
      <c r="AB66" s="240"/>
      <c r="AC66" s="214"/>
      <c r="AD66" s="214"/>
      <c r="AE66" s="214">
        <v>3242</v>
      </c>
      <c r="AF66" s="214"/>
      <c r="AG66" s="214">
        <v>960</v>
      </c>
      <c r="AH66" s="214"/>
      <c r="AI66" s="214"/>
      <c r="AJ66" s="214">
        <v>2467</v>
      </c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195032</v>
      </c>
      <c r="BF66" s="228"/>
      <c r="BG66" s="228"/>
      <c r="BH66" s="228">
        <v>79373</v>
      </c>
      <c r="BI66" s="228"/>
      <c r="BJ66" s="228"/>
      <c r="BK66" s="228"/>
      <c r="BL66" s="228"/>
      <c r="BM66" s="228"/>
      <c r="BN66" s="228">
        <v>5077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>
        <v>2480</v>
      </c>
      <c r="BZ66" s="228"/>
      <c r="CA66" s="228"/>
      <c r="CB66" s="228"/>
      <c r="CC66" s="228"/>
      <c r="CD66" s="29" t="s">
        <v>233</v>
      </c>
      <c r="CE66" s="32">
        <f t="shared" si="4"/>
        <v>294964</v>
      </c>
    </row>
    <row r="67" spans="1:83" x14ac:dyDescent="0.35">
      <c r="A67" s="39" t="s">
        <v>252</v>
      </c>
      <c r="B67" s="20"/>
      <c r="C67" s="213"/>
      <c r="D67" s="213"/>
      <c r="E67" s="213">
        <v>262043</v>
      </c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>
        <v>94418</v>
      </c>
      <c r="Q67" s="214"/>
      <c r="R67" s="214">
        <v>1787</v>
      </c>
      <c r="S67" s="228"/>
      <c r="T67" s="228"/>
      <c r="U67" s="227">
        <v>525691</v>
      </c>
      <c r="V67" s="214"/>
      <c r="W67" s="214"/>
      <c r="X67" s="214"/>
      <c r="Y67" s="214">
        <v>565395</v>
      </c>
      <c r="Z67" s="214"/>
      <c r="AA67" s="214"/>
      <c r="AB67" s="240">
        <v>65066</v>
      </c>
      <c r="AC67" s="214">
        <v>5748</v>
      </c>
      <c r="AD67" s="214"/>
      <c r="AE67" s="214">
        <v>12125</v>
      </c>
      <c r="AF67" s="214"/>
      <c r="AG67" s="214">
        <v>48974</v>
      </c>
      <c r="AH67" s="214"/>
      <c r="AI67" s="214"/>
      <c r="AJ67" s="214">
        <v>13972</v>
      </c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2413</v>
      </c>
      <c r="AZ67" s="214"/>
      <c r="BA67" s="228"/>
      <c r="BB67" s="228"/>
      <c r="BC67" s="228"/>
      <c r="BD67" s="228"/>
      <c r="BE67" s="214">
        <v>114951</v>
      </c>
      <c r="BF67" s="228"/>
      <c r="BG67" s="228"/>
      <c r="BH67" s="228">
        <v>552158</v>
      </c>
      <c r="BI67" s="228"/>
      <c r="BJ67" s="228">
        <v>141739</v>
      </c>
      <c r="BK67" s="228">
        <v>44548</v>
      </c>
      <c r="BL67" s="228"/>
      <c r="BM67" s="228"/>
      <c r="BN67" s="228">
        <v>47392</v>
      </c>
      <c r="BO67" s="228"/>
      <c r="BP67" s="228">
        <v>107934</v>
      </c>
      <c r="BQ67" s="228"/>
      <c r="BR67" s="228">
        <v>55491</v>
      </c>
      <c r="BS67" s="228"/>
      <c r="BT67" s="228"/>
      <c r="BU67" s="228"/>
      <c r="BV67" s="228">
        <v>130757</v>
      </c>
      <c r="BW67" s="228"/>
      <c r="BX67" s="228"/>
      <c r="BY67" s="228"/>
      <c r="BZ67" s="228"/>
      <c r="CA67" s="228"/>
      <c r="CB67" s="228">
        <v>325</v>
      </c>
      <c r="CC67" s="228">
        <v>22072</v>
      </c>
      <c r="CD67" s="29" t="s">
        <v>233</v>
      </c>
      <c r="CE67" s="32">
        <f t="shared" si="4"/>
        <v>2814999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197303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74535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22320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95019</v>
      </c>
      <c r="Z68" s="32">
        <f t="shared" si="7"/>
        <v>0</v>
      </c>
      <c r="AA68" s="32">
        <f t="shared" si="7"/>
        <v>0</v>
      </c>
      <c r="AB68" s="32">
        <f t="shared" si="7"/>
        <v>11209</v>
      </c>
      <c r="AC68" s="32">
        <f t="shared" si="7"/>
        <v>6815</v>
      </c>
      <c r="AD68" s="32">
        <f t="shared" si="7"/>
        <v>0</v>
      </c>
      <c r="AE68" s="32">
        <f t="shared" si="7"/>
        <v>63659</v>
      </c>
      <c r="AF68" s="32">
        <f t="shared" si="7"/>
        <v>0</v>
      </c>
      <c r="AG68" s="32">
        <f t="shared" si="7"/>
        <v>112769</v>
      </c>
      <c r="AH68" s="32">
        <f t="shared" si="7"/>
        <v>0</v>
      </c>
      <c r="AI68" s="32">
        <f t="shared" si="7"/>
        <v>0</v>
      </c>
      <c r="AJ68" s="32">
        <f t="shared" si="7"/>
        <v>104412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52216</v>
      </c>
      <c r="AZ68" s="32">
        <f t="shared" si="7"/>
        <v>0</v>
      </c>
      <c r="BA68" s="32">
        <f t="shared" si="7"/>
        <v>3046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124369</v>
      </c>
      <c r="BF68" s="32">
        <f t="shared" si="7"/>
        <v>15348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366369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19879</v>
      </c>
      <c r="BW68" s="32">
        <f t="shared" si="8"/>
        <v>0</v>
      </c>
      <c r="BX68" s="32">
        <f t="shared" si="8"/>
        <v>0</v>
      </c>
      <c r="BY68" s="32">
        <f t="shared" si="8"/>
        <v>14372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1283640</v>
      </c>
    </row>
    <row r="69" spans="1:83" x14ac:dyDescent="0.35">
      <c r="A69" s="39" t="s">
        <v>253</v>
      </c>
      <c r="B69" s="32"/>
      <c r="C69" s="213"/>
      <c r="D69" s="213"/>
      <c r="E69" s="213">
        <v>1891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>
        <v>1802</v>
      </c>
      <c r="T69" s="228"/>
      <c r="U69" s="227"/>
      <c r="V69" s="214"/>
      <c r="W69" s="214"/>
      <c r="X69" s="214"/>
      <c r="Y69" s="214"/>
      <c r="Z69" s="214"/>
      <c r="AA69" s="214"/>
      <c r="AB69" s="240"/>
      <c r="AC69" s="214">
        <v>1738</v>
      </c>
      <c r="AD69" s="214"/>
      <c r="AE69" s="214"/>
      <c r="AF69" s="214"/>
      <c r="AG69" s="214"/>
      <c r="AH69" s="214"/>
      <c r="AI69" s="214"/>
      <c r="AJ69" s="214">
        <v>75</v>
      </c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>
        <v>2571</v>
      </c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>
        <v>2980</v>
      </c>
      <c r="BL69" s="228"/>
      <c r="BM69" s="228"/>
      <c r="BN69" s="228">
        <v>1821</v>
      </c>
      <c r="BO69" s="228"/>
      <c r="BP69" s="228"/>
      <c r="BQ69" s="228"/>
      <c r="BR69" s="228"/>
      <c r="BS69" s="228"/>
      <c r="BT69" s="228"/>
      <c r="BU69" s="228"/>
      <c r="BV69" s="228">
        <v>838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13716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18472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2603</v>
      </c>
      <c r="Q70" s="32">
        <f t="shared" si="9"/>
        <v>0</v>
      </c>
      <c r="R70" s="32">
        <f t="shared" si="9"/>
        <v>0</v>
      </c>
      <c r="S70" s="32">
        <f t="shared" si="9"/>
        <v>1465</v>
      </c>
      <c r="T70" s="32">
        <f t="shared" si="9"/>
        <v>0</v>
      </c>
      <c r="U70" s="32">
        <f t="shared" si="9"/>
        <v>7925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4961</v>
      </c>
      <c r="Z70" s="32">
        <f t="shared" si="9"/>
        <v>0</v>
      </c>
      <c r="AA70" s="32">
        <f t="shared" si="9"/>
        <v>0</v>
      </c>
      <c r="AB70" s="32">
        <f t="shared" si="9"/>
        <v>15866</v>
      </c>
      <c r="AC70" s="32">
        <f t="shared" si="9"/>
        <v>137</v>
      </c>
      <c r="AD70" s="32">
        <f t="shared" si="9"/>
        <v>0</v>
      </c>
      <c r="AE70" s="32">
        <f t="shared" si="9"/>
        <v>3183</v>
      </c>
      <c r="AF70" s="32">
        <f t="shared" si="9"/>
        <v>0</v>
      </c>
      <c r="AG70" s="32">
        <f t="shared" si="9"/>
        <v>2859</v>
      </c>
      <c r="AH70" s="32">
        <f t="shared" si="9"/>
        <v>0</v>
      </c>
      <c r="AI70" s="32">
        <f t="shared" si="9"/>
        <v>0</v>
      </c>
      <c r="AJ70" s="32">
        <f t="shared" si="9"/>
        <v>13932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122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8014</v>
      </c>
      <c r="BF70" s="32">
        <f t="shared" si="9"/>
        <v>65</v>
      </c>
      <c r="BG70" s="32">
        <f t="shared" si="9"/>
        <v>0</v>
      </c>
      <c r="BH70" s="32">
        <f t="shared" si="9"/>
        <v>622</v>
      </c>
      <c r="BI70" s="32">
        <f t="shared" si="9"/>
        <v>0</v>
      </c>
      <c r="BJ70" s="32">
        <f t="shared" si="9"/>
        <v>61</v>
      </c>
      <c r="BK70" s="32">
        <f t="shared" si="9"/>
        <v>373</v>
      </c>
      <c r="BL70" s="32">
        <f t="shared" si="9"/>
        <v>0</v>
      </c>
      <c r="BM70" s="32">
        <f t="shared" si="9"/>
        <v>0</v>
      </c>
      <c r="BN70" s="32">
        <f t="shared" si="9"/>
        <v>46342</v>
      </c>
      <c r="BO70" s="32">
        <f t="shared" ref="BO70:CD70" si="10">SUM(BO71:BO84)</f>
        <v>0</v>
      </c>
      <c r="BP70" s="32">
        <f t="shared" si="10"/>
        <v>1505</v>
      </c>
      <c r="BQ70" s="32">
        <f t="shared" si="10"/>
        <v>0</v>
      </c>
      <c r="BR70" s="32">
        <f t="shared" si="10"/>
        <v>995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2360</v>
      </c>
      <c r="BW70" s="32">
        <f t="shared" si="10"/>
        <v>0</v>
      </c>
      <c r="BX70" s="32">
        <f t="shared" si="10"/>
        <v>7230</v>
      </c>
      <c r="BY70" s="32">
        <f t="shared" si="10"/>
        <v>1170</v>
      </c>
      <c r="BZ70" s="32">
        <f t="shared" si="10"/>
        <v>0</v>
      </c>
      <c r="CA70" s="32">
        <f t="shared" si="10"/>
        <v>1115</v>
      </c>
      <c r="CB70" s="32">
        <f t="shared" si="10"/>
        <v>1004</v>
      </c>
      <c r="CC70" s="32">
        <f t="shared" si="10"/>
        <v>3170</v>
      </c>
      <c r="CD70" s="32">
        <f t="shared" si="10"/>
        <v>1453734</v>
      </c>
      <c r="CE70" s="32">
        <f>SUM(CE71:CE85)</f>
        <v>1827433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18472</v>
      </c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>
        <v>2603</v>
      </c>
      <c r="Q84" s="30"/>
      <c r="R84" s="31"/>
      <c r="S84" s="30">
        <v>1465</v>
      </c>
      <c r="T84" s="24"/>
      <c r="U84" s="30">
        <v>7925</v>
      </c>
      <c r="V84" s="30"/>
      <c r="W84" s="24"/>
      <c r="X84" s="30"/>
      <c r="Y84" s="30">
        <v>4961</v>
      </c>
      <c r="Z84" s="30"/>
      <c r="AA84" s="30"/>
      <c r="AB84" s="30">
        <v>15866</v>
      </c>
      <c r="AC84" s="30">
        <v>137</v>
      </c>
      <c r="AD84" s="30"/>
      <c r="AE84" s="30">
        <v>3183</v>
      </c>
      <c r="AF84" s="30"/>
      <c r="AG84" s="30">
        <v>2859</v>
      </c>
      <c r="AH84" s="30"/>
      <c r="AI84" s="30"/>
      <c r="AJ84" s="30">
        <v>13932</v>
      </c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>
        <v>122</v>
      </c>
      <c r="AZ84" s="30"/>
      <c r="BA84" s="30"/>
      <c r="BB84" s="30"/>
      <c r="BC84" s="30"/>
      <c r="BD84" s="30"/>
      <c r="BE84" s="30">
        <v>8014</v>
      </c>
      <c r="BF84" s="30">
        <v>65</v>
      </c>
      <c r="BG84" s="30"/>
      <c r="BH84" s="31">
        <v>622</v>
      </c>
      <c r="BI84" s="30"/>
      <c r="BJ84" s="30">
        <v>61</v>
      </c>
      <c r="BK84" s="30">
        <v>373</v>
      </c>
      <c r="BL84" s="30"/>
      <c r="BM84" s="30"/>
      <c r="BN84" s="30">
        <v>46342</v>
      </c>
      <c r="BO84" s="30"/>
      <c r="BP84" s="30">
        <v>1505</v>
      </c>
      <c r="BQ84" s="30"/>
      <c r="BR84" s="30">
        <v>995</v>
      </c>
      <c r="BS84" s="30"/>
      <c r="BT84" s="30"/>
      <c r="BU84" s="30"/>
      <c r="BV84" s="30">
        <v>2360</v>
      </c>
      <c r="BW84" s="30"/>
      <c r="BX84" s="30">
        <v>7230</v>
      </c>
      <c r="BY84" s="30">
        <v>1170</v>
      </c>
      <c r="BZ84" s="30"/>
      <c r="CA84" s="30">
        <v>1115</v>
      </c>
      <c r="CB84" s="30">
        <v>1004</v>
      </c>
      <c r="CC84" s="30">
        <v>3170</v>
      </c>
      <c r="CD84" s="35">
        <v>1453734</v>
      </c>
      <c r="CE84" s="32">
        <f t="shared" si="11"/>
        <v>1599285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228148</v>
      </c>
      <c r="CE85" s="32">
        <f t="shared" si="11"/>
        <v>228148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3243356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44424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784723</v>
      </c>
      <c r="Q86" s="32">
        <f t="shared" si="12"/>
        <v>0</v>
      </c>
      <c r="R86" s="32">
        <f t="shared" si="12"/>
        <v>394417</v>
      </c>
      <c r="S86" s="32">
        <f t="shared" si="12"/>
        <v>162560</v>
      </c>
      <c r="T86" s="32">
        <f t="shared" si="12"/>
        <v>0</v>
      </c>
      <c r="U86" s="32">
        <f t="shared" si="12"/>
        <v>1388479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1537352</v>
      </c>
      <c r="Z86" s="32">
        <f t="shared" si="12"/>
        <v>0</v>
      </c>
      <c r="AA86" s="32">
        <f t="shared" si="12"/>
        <v>0</v>
      </c>
      <c r="AB86" s="32">
        <f t="shared" si="12"/>
        <v>896353</v>
      </c>
      <c r="AC86" s="32">
        <f t="shared" si="12"/>
        <v>185879</v>
      </c>
      <c r="AD86" s="32">
        <f t="shared" si="12"/>
        <v>0</v>
      </c>
      <c r="AE86" s="32">
        <f t="shared" si="12"/>
        <v>1129504</v>
      </c>
      <c r="AF86" s="32">
        <f t="shared" si="12"/>
        <v>0</v>
      </c>
      <c r="AG86" s="32">
        <f t="shared" si="12"/>
        <v>2153870</v>
      </c>
      <c r="AH86" s="32">
        <f t="shared" si="12"/>
        <v>0</v>
      </c>
      <c r="AI86" s="32">
        <f t="shared" si="12"/>
        <v>0</v>
      </c>
      <c r="AJ86" s="32">
        <f t="shared" si="12"/>
        <v>1547140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418253</v>
      </c>
      <c r="AZ86" s="32">
        <f t="shared" si="12"/>
        <v>0</v>
      </c>
      <c r="BA86" s="32">
        <f t="shared" si="12"/>
        <v>10161</v>
      </c>
      <c r="BB86" s="32">
        <f t="shared" si="12"/>
        <v>0</v>
      </c>
      <c r="BC86" s="32">
        <f t="shared" si="12"/>
        <v>0</v>
      </c>
      <c r="BD86" s="32">
        <f t="shared" si="12"/>
        <v>153214</v>
      </c>
      <c r="BE86" s="32">
        <f t="shared" si="12"/>
        <v>818683</v>
      </c>
      <c r="BF86" s="32">
        <f t="shared" si="12"/>
        <v>318855</v>
      </c>
      <c r="BG86" s="32">
        <f t="shared" si="12"/>
        <v>0</v>
      </c>
      <c r="BH86" s="32">
        <f t="shared" si="12"/>
        <v>1141310</v>
      </c>
      <c r="BI86" s="32">
        <f t="shared" si="12"/>
        <v>0</v>
      </c>
      <c r="BJ86" s="32">
        <f t="shared" si="12"/>
        <v>472011</v>
      </c>
      <c r="BK86" s="32">
        <f t="shared" si="12"/>
        <v>355542</v>
      </c>
      <c r="BL86" s="32">
        <f t="shared" si="12"/>
        <v>0</v>
      </c>
      <c r="BM86" s="32">
        <f t="shared" si="12"/>
        <v>0</v>
      </c>
      <c r="BN86" s="32">
        <f t="shared" si="12"/>
        <v>732957</v>
      </c>
      <c r="BO86" s="32">
        <f t="shared" si="12"/>
        <v>0</v>
      </c>
      <c r="BP86" s="32">
        <f t="shared" ref="BP86:CD86" si="13">SUM(BP62:BP70)-BP85</f>
        <v>227825</v>
      </c>
      <c r="BQ86" s="32">
        <f t="shared" si="13"/>
        <v>0</v>
      </c>
      <c r="BR86" s="32">
        <f t="shared" si="13"/>
        <v>236074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257412</v>
      </c>
      <c r="BW86" s="32">
        <f t="shared" si="13"/>
        <v>0</v>
      </c>
      <c r="BX86" s="32">
        <f t="shared" si="13"/>
        <v>161323</v>
      </c>
      <c r="BY86" s="32">
        <f t="shared" si="13"/>
        <v>520874</v>
      </c>
      <c r="BZ86" s="32">
        <f t="shared" si="13"/>
        <v>0</v>
      </c>
      <c r="CA86" s="32">
        <f t="shared" si="13"/>
        <v>16263</v>
      </c>
      <c r="CB86" s="32">
        <f t="shared" si="13"/>
        <v>75791</v>
      </c>
      <c r="CC86" s="32">
        <f t="shared" si="13"/>
        <v>247266</v>
      </c>
      <c r="CD86" s="32">
        <f t="shared" si="13"/>
        <v>1225586</v>
      </c>
      <c r="CE86" s="32">
        <f t="shared" si="11"/>
        <v>20857457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1596639</v>
      </c>
    </row>
    <row r="88" spans="1:84" x14ac:dyDescent="0.35">
      <c r="A88" s="26" t="s">
        <v>272</v>
      </c>
      <c r="B88" s="20"/>
      <c r="C88" s="213">
        <v>22590</v>
      </c>
      <c r="D88" s="213"/>
      <c r="E88" s="213">
        <v>1597809</v>
      </c>
      <c r="F88" s="213"/>
      <c r="G88" s="213"/>
      <c r="H88" s="213"/>
      <c r="I88" s="213"/>
      <c r="J88" s="213"/>
      <c r="K88" s="213"/>
      <c r="L88" s="213">
        <v>2575997</v>
      </c>
      <c r="M88" s="213"/>
      <c r="N88" s="213"/>
      <c r="O88" s="213"/>
      <c r="P88" s="213">
        <v>7113</v>
      </c>
      <c r="Q88" s="213">
        <v>1156</v>
      </c>
      <c r="R88" s="213">
        <v>14821</v>
      </c>
      <c r="S88" s="213">
        <v>110332</v>
      </c>
      <c r="T88" s="213"/>
      <c r="U88" s="213">
        <v>311996</v>
      </c>
      <c r="V88" s="213"/>
      <c r="W88" s="213"/>
      <c r="X88" s="213"/>
      <c r="Y88" s="213">
        <v>335530</v>
      </c>
      <c r="Z88" s="213"/>
      <c r="AA88" s="213"/>
      <c r="AB88" s="213">
        <v>788217</v>
      </c>
      <c r="AC88" s="213">
        <v>157655</v>
      </c>
      <c r="AD88" s="213"/>
      <c r="AE88" s="213">
        <v>686983</v>
      </c>
      <c r="AF88" s="213"/>
      <c r="AG88" s="213">
        <v>133402</v>
      </c>
      <c r="AH88" s="213"/>
      <c r="AI88" s="213"/>
      <c r="AJ88" s="213">
        <v>1386</v>
      </c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6744987</v>
      </c>
    </row>
    <row r="89" spans="1:84" x14ac:dyDescent="0.35">
      <c r="A89" s="26" t="s">
        <v>273</v>
      </c>
      <c r="B89" s="20"/>
      <c r="C89" s="213">
        <v>3765</v>
      </c>
      <c r="D89" s="213"/>
      <c r="E89" s="213">
        <v>231694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>
        <v>1548602</v>
      </c>
      <c r="Q89" s="213">
        <v>20613</v>
      </c>
      <c r="R89" s="213">
        <v>421857</v>
      </c>
      <c r="S89" s="213">
        <v>187721</v>
      </c>
      <c r="T89" s="213"/>
      <c r="U89" s="213">
        <v>2320472</v>
      </c>
      <c r="V89" s="213"/>
      <c r="W89" s="213"/>
      <c r="X89" s="213"/>
      <c r="Y89" s="213">
        <v>6881776</v>
      </c>
      <c r="Z89" s="213"/>
      <c r="AA89" s="213"/>
      <c r="AB89" s="213">
        <v>2170545</v>
      </c>
      <c r="AC89" s="213">
        <v>565297</v>
      </c>
      <c r="AD89" s="213"/>
      <c r="AE89" s="213">
        <v>1581726</v>
      </c>
      <c r="AF89" s="213"/>
      <c r="AG89" s="213">
        <v>4964086</v>
      </c>
      <c r="AH89" s="213"/>
      <c r="AI89" s="213"/>
      <c r="AJ89" s="213">
        <v>1418543.57</v>
      </c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22316697.57</v>
      </c>
    </row>
    <row r="90" spans="1:84" x14ac:dyDescent="0.35">
      <c r="A90" s="26" t="s">
        <v>274</v>
      </c>
      <c r="B90" s="20"/>
      <c r="C90" s="32">
        <f>C88+C89</f>
        <v>26355</v>
      </c>
      <c r="D90" s="32">
        <f t="shared" ref="D90:AV90" si="15">D88+D89</f>
        <v>0</v>
      </c>
      <c r="E90" s="32">
        <f t="shared" si="15"/>
        <v>1829503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2575997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1555715</v>
      </c>
      <c r="Q90" s="32">
        <f t="shared" si="15"/>
        <v>21769</v>
      </c>
      <c r="R90" s="32">
        <f t="shared" si="15"/>
        <v>436678</v>
      </c>
      <c r="S90" s="32">
        <f t="shared" si="15"/>
        <v>298053</v>
      </c>
      <c r="T90" s="32">
        <f t="shared" si="15"/>
        <v>0</v>
      </c>
      <c r="U90" s="32">
        <f t="shared" si="15"/>
        <v>2632468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7217306</v>
      </c>
      <c r="Z90" s="32">
        <f t="shared" si="15"/>
        <v>0</v>
      </c>
      <c r="AA90" s="32">
        <f t="shared" si="15"/>
        <v>0</v>
      </c>
      <c r="AB90" s="32">
        <f t="shared" si="15"/>
        <v>2958762</v>
      </c>
      <c r="AC90" s="32">
        <f t="shared" si="15"/>
        <v>722952</v>
      </c>
      <c r="AD90" s="32">
        <f t="shared" si="15"/>
        <v>0</v>
      </c>
      <c r="AE90" s="32">
        <f t="shared" si="15"/>
        <v>2268709</v>
      </c>
      <c r="AF90" s="32">
        <f t="shared" si="15"/>
        <v>0</v>
      </c>
      <c r="AG90" s="32">
        <f t="shared" si="15"/>
        <v>5097488</v>
      </c>
      <c r="AH90" s="32">
        <f t="shared" si="15"/>
        <v>0</v>
      </c>
      <c r="AI90" s="32">
        <f t="shared" si="15"/>
        <v>0</v>
      </c>
      <c r="AJ90" s="32">
        <f t="shared" si="15"/>
        <v>1419929.57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29061684.57</v>
      </c>
    </row>
    <row r="91" spans="1:84" x14ac:dyDescent="0.35">
      <c r="A91" s="39" t="s">
        <v>275</v>
      </c>
      <c r="B91" s="32"/>
      <c r="C91" s="213"/>
      <c r="D91" s="213"/>
      <c r="E91" s="213">
        <v>10104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>
        <v>3817</v>
      </c>
      <c r="Q91" s="213"/>
      <c r="R91" s="213"/>
      <c r="S91" s="213"/>
      <c r="T91" s="213"/>
      <c r="U91" s="213">
        <v>1143</v>
      </c>
      <c r="V91" s="213"/>
      <c r="W91" s="213"/>
      <c r="X91" s="213"/>
      <c r="Y91" s="213">
        <v>4866</v>
      </c>
      <c r="Z91" s="213"/>
      <c r="AA91" s="213"/>
      <c r="AB91" s="213">
        <v>574</v>
      </c>
      <c r="AC91" s="213">
        <v>349</v>
      </c>
      <c r="AD91" s="213"/>
      <c r="AE91" s="213">
        <v>3260</v>
      </c>
      <c r="AF91" s="213"/>
      <c r="AG91" s="213">
        <v>5775</v>
      </c>
      <c r="AH91" s="213"/>
      <c r="AI91" s="213"/>
      <c r="AJ91" s="213">
        <v>5347</v>
      </c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2674</v>
      </c>
      <c r="AZ91" s="213"/>
      <c r="BA91" s="213">
        <v>156</v>
      </c>
      <c r="BB91" s="213"/>
      <c r="BC91" s="213"/>
      <c r="BD91" s="213"/>
      <c r="BE91" s="213">
        <v>6369</v>
      </c>
      <c r="BF91" s="213">
        <v>786</v>
      </c>
      <c r="BG91" s="213"/>
      <c r="BH91" s="213"/>
      <c r="BI91" s="213"/>
      <c r="BJ91" s="213"/>
      <c r="BK91" s="213"/>
      <c r="BL91" s="213"/>
      <c r="BM91" s="213"/>
      <c r="BN91" s="213">
        <v>18762</v>
      </c>
      <c r="BO91" s="213"/>
      <c r="BP91" s="213"/>
      <c r="BQ91" s="213"/>
      <c r="BR91" s="213"/>
      <c r="BS91" s="213"/>
      <c r="BT91" s="213"/>
      <c r="BU91" s="213"/>
      <c r="BV91" s="213">
        <v>1018</v>
      </c>
      <c r="BW91" s="213"/>
      <c r="BX91" s="213"/>
      <c r="BY91" s="213">
        <v>736</v>
      </c>
      <c r="BZ91" s="213"/>
      <c r="CA91" s="213"/>
      <c r="CB91" s="213"/>
      <c r="CC91" s="213"/>
      <c r="CD91" s="233" t="s">
        <v>233</v>
      </c>
      <c r="CE91" s="32">
        <f t="shared" si="14"/>
        <v>65736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5330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155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5485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>
        <v>1221</v>
      </c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>
        <v>480</v>
      </c>
      <c r="Q93" s="213"/>
      <c r="R93" s="213"/>
      <c r="S93" s="213"/>
      <c r="T93" s="213"/>
      <c r="U93" s="213">
        <v>368</v>
      </c>
      <c r="V93" s="213"/>
      <c r="W93" s="213"/>
      <c r="X93" s="213"/>
      <c r="Y93" s="213">
        <v>441</v>
      </c>
      <c r="Z93" s="213"/>
      <c r="AA93" s="213"/>
      <c r="AB93" s="213">
        <v>60</v>
      </c>
      <c r="AC93" s="213">
        <v>36</v>
      </c>
      <c r="AD93" s="213"/>
      <c r="AE93" s="213">
        <v>176</v>
      </c>
      <c r="AF93" s="213"/>
      <c r="AG93" s="213">
        <v>968</v>
      </c>
      <c r="AH93" s="213"/>
      <c r="AI93" s="213"/>
      <c r="AJ93" s="213">
        <v>1153</v>
      </c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>
        <v>3355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22</v>
      </c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8280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>
        <v>0.06</v>
      </c>
      <c r="CB94" s="213"/>
      <c r="CC94" s="229" t="s">
        <v>233</v>
      </c>
      <c r="CD94" s="229" t="s">
        <v>233</v>
      </c>
      <c r="CE94" s="32">
        <f t="shared" si="14"/>
        <v>0.06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>
        <v>11.48</v>
      </c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>
        <v>2.5</v>
      </c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>
        <v>2.29</v>
      </c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16.27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98672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1368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148</v>
      </c>
      <c r="D128" s="220">
        <v>568</v>
      </c>
      <c r="E128" s="20"/>
    </row>
    <row r="129" spans="1:5" x14ac:dyDescent="0.35">
      <c r="A129" s="20" t="s">
        <v>311</v>
      </c>
      <c r="B129" s="46" t="s">
        <v>284</v>
      </c>
      <c r="C129" s="216">
        <v>76</v>
      </c>
      <c r="D129" s="220">
        <v>1168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2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17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6</v>
      </c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>
        <v>25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>
        <v>1246925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100</v>
      </c>
      <c r="C155" s="50">
        <v>19</v>
      </c>
      <c r="D155" s="50">
        <v>29</v>
      </c>
      <c r="E155" s="32">
        <f>SUM(B155:D155)</f>
        <v>148</v>
      </c>
    </row>
    <row r="156" spans="1:6" x14ac:dyDescent="0.35">
      <c r="A156" s="20" t="s">
        <v>227</v>
      </c>
      <c r="B156" s="50">
        <v>389</v>
      </c>
      <c r="C156" s="50">
        <v>70</v>
      </c>
      <c r="D156" s="50">
        <v>109</v>
      </c>
      <c r="E156" s="32">
        <f>SUM(B156:D156)</f>
        <v>568</v>
      </c>
    </row>
    <row r="157" spans="1:6" x14ac:dyDescent="0.35">
      <c r="A157" s="20" t="s">
        <v>332</v>
      </c>
      <c r="B157" s="50">
        <v>7320</v>
      </c>
      <c r="C157" s="50">
        <v>5286</v>
      </c>
      <c r="D157" s="50">
        <v>13968</v>
      </c>
      <c r="E157" s="32">
        <f>SUM(B157:D157)</f>
        <v>26574</v>
      </c>
    </row>
    <row r="158" spans="1:6" x14ac:dyDescent="0.35">
      <c r="A158" s="20" t="s">
        <v>272</v>
      </c>
      <c r="B158" s="50">
        <v>1859278</v>
      </c>
      <c r="C158" s="50">
        <v>424958</v>
      </c>
      <c r="D158" s="50">
        <v>637829</v>
      </c>
      <c r="E158" s="32">
        <f>SUM(B158:D158)</f>
        <v>2922065</v>
      </c>
      <c r="F158" s="18"/>
    </row>
    <row r="159" spans="1:6" x14ac:dyDescent="0.35">
      <c r="A159" s="20" t="s">
        <v>273</v>
      </c>
      <c r="B159" s="50">
        <v>8059387</v>
      </c>
      <c r="C159" s="50">
        <v>5983651</v>
      </c>
      <c r="D159" s="50">
        <v>8273660</v>
      </c>
      <c r="E159" s="32">
        <f>SUM(B159:D159)</f>
        <v>22316698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63</v>
      </c>
      <c r="C161" s="50">
        <v>1</v>
      </c>
      <c r="D161" s="50">
        <v>12</v>
      </c>
      <c r="E161" s="32">
        <f>SUM(B161:D161)</f>
        <v>76</v>
      </c>
    </row>
    <row r="162" spans="1:5" x14ac:dyDescent="0.35">
      <c r="A162" s="20" t="s">
        <v>227</v>
      </c>
      <c r="B162" s="50">
        <v>987</v>
      </c>
      <c r="C162" s="50">
        <v>15</v>
      </c>
      <c r="D162" s="50">
        <v>166</v>
      </c>
      <c r="E162" s="32">
        <f>SUM(B162:D162)</f>
        <v>1168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3704438</v>
      </c>
      <c r="C164" s="50">
        <v>37722</v>
      </c>
      <c r="D164" s="50">
        <v>80762</v>
      </c>
      <c r="E164" s="32">
        <f>SUM(B164:D164)</f>
        <v>3822922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3916730</v>
      </c>
      <c r="C174" s="50">
        <v>3305180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658592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24017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130946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1161688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7956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211930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197234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2392363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13716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13716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76866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94892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171758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14334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165363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179697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1102279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1102279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474331</v>
      </c>
      <c r="C212" s="216">
        <v>0</v>
      </c>
      <c r="D212" s="220">
        <v>0</v>
      </c>
      <c r="E212" s="32">
        <f t="shared" ref="E212:E220" si="16">SUM(B212:C212)-D212</f>
        <v>474331</v>
      </c>
    </row>
    <row r="213" spans="1:5" x14ac:dyDescent="0.35">
      <c r="A213" s="20" t="s">
        <v>367</v>
      </c>
      <c r="B213" s="220">
        <v>503985</v>
      </c>
      <c r="C213" s="216">
        <v>0</v>
      </c>
      <c r="D213" s="220">
        <v>304123</v>
      </c>
      <c r="E213" s="32">
        <f t="shared" si="16"/>
        <v>199862</v>
      </c>
    </row>
    <row r="214" spans="1:5" x14ac:dyDescent="0.35">
      <c r="A214" s="20" t="s">
        <v>368</v>
      </c>
      <c r="B214" s="220">
        <v>18265939</v>
      </c>
      <c r="C214" s="216">
        <v>7542262</v>
      </c>
      <c r="D214" s="220"/>
      <c r="E214" s="32">
        <f t="shared" si="16"/>
        <v>25808201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928389</v>
      </c>
      <c r="C216" s="216">
        <v>5529</v>
      </c>
      <c r="D216" s="220">
        <v>590576</v>
      </c>
      <c r="E216" s="32">
        <f t="shared" si="16"/>
        <v>343342</v>
      </c>
    </row>
    <row r="217" spans="1:5" x14ac:dyDescent="0.35">
      <c r="A217" s="20" t="s">
        <v>371</v>
      </c>
      <c r="B217" s="220">
        <v>6070446</v>
      </c>
      <c r="C217" s="216">
        <v>210012</v>
      </c>
      <c r="D217" s="220">
        <v>41285</v>
      </c>
      <c r="E217" s="32">
        <f t="shared" si="16"/>
        <v>6239173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3892726</v>
      </c>
      <c r="C220" s="216">
        <v>3615692</v>
      </c>
      <c r="D220" s="220">
        <v>6504163</v>
      </c>
      <c r="E220" s="32">
        <f t="shared" si="16"/>
        <v>1004255</v>
      </c>
    </row>
    <row r="221" spans="1:5" x14ac:dyDescent="0.35">
      <c r="A221" s="20" t="s">
        <v>215</v>
      </c>
      <c r="B221" s="32">
        <f>SUM(B212:B220)</f>
        <v>30135816</v>
      </c>
      <c r="C221" s="266">
        <f>SUM(C212:C220)</f>
        <v>11373495</v>
      </c>
      <c r="D221" s="32">
        <f>SUM(D212:D220)</f>
        <v>7440147</v>
      </c>
      <c r="E221" s="32">
        <f>SUM(E212:E220)</f>
        <v>34069164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198749</v>
      </c>
      <c r="C226" s="216">
        <v>20002</v>
      </c>
      <c r="D226" s="220"/>
      <c r="E226" s="32">
        <f t="shared" ref="E226:E233" si="17">SUM(B226:C226)-D226</f>
        <v>218751</v>
      </c>
    </row>
    <row r="227" spans="1:5" x14ac:dyDescent="0.35">
      <c r="A227" s="20" t="s">
        <v>368</v>
      </c>
      <c r="B227" s="220">
        <v>9765269</v>
      </c>
      <c r="C227" s="216">
        <v>1030086</v>
      </c>
      <c r="D227" s="220"/>
      <c r="E227" s="32">
        <f t="shared" si="17"/>
        <v>10795355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406079</v>
      </c>
      <c r="C229" s="216">
        <v>26607</v>
      </c>
      <c r="D229" s="220"/>
      <c r="E229" s="32">
        <f t="shared" si="17"/>
        <v>432686</v>
      </c>
    </row>
    <row r="230" spans="1:5" x14ac:dyDescent="0.35">
      <c r="A230" s="20" t="s">
        <v>371</v>
      </c>
      <c r="B230" s="220">
        <v>5350416</v>
      </c>
      <c r="C230" s="216">
        <v>206945</v>
      </c>
      <c r="D230" s="220">
        <v>41285</v>
      </c>
      <c r="E230" s="32">
        <f t="shared" si="17"/>
        <v>5516076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15720513</v>
      </c>
      <c r="C234" s="266">
        <f>SUM(C225:C233)</f>
        <v>1283640</v>
      </c>
      <c r="D234" s="32">
        <f>SUM(D225:D233)</f>
        <v>41285</v>
      </c>
      <c r="E234" s="32">
        <f>SUM(E225:E233)</f>
        <v>16962868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6" t="s">
        <v>377</v>
      </c>
      <c r="C237" s="346"/>
      <c r="D237" s="38"/>
      <c r="E237" s="38"/>
    </row>
    <row r="238" spans="1:5" x14ac:dyDescent="0.35">
      <c r="A238" s="56" t="s">
        <v>377</v>
      </c>
      <c r="B238" s="38"/>
      <c r="C238" s="216">
        <v>531394</v>
      </c>
      <c r="D238" s="40">
        <f>C238</f>
        <v>531394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2567270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3327238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83304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3278137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9255949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77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19126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95168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114294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193526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67838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261364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10163001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10324968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9543672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6080964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636842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171408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199221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14795147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1708037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1708037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474331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199862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25808201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343342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6239173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1004255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34069164</v>
      </c>
      <c r="E292" s="20"/>
    </row>
    <row r="293" spans="1:5" x14ac:dyDescent="0.35">
      <c r="A293" s="20" t="s">
        <v>416</v>
      </c>
      <c r="B293" s="46" t="s">
        <v>284</v>
      </c>
      <c r="C293" s="47">
        <v>16962869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17106295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33609479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1434987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1029893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5483106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545000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8492986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88712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19040000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665304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19794016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545000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19249016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5867477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33609479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33609479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6744987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22316698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29061685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531394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9255949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114294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261364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10163001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18898684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228148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228148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1596639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1824787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20723471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9051273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2392363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2038734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1596631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294964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2814999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1283640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13716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171758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179697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1102279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145551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145551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21085605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-362134</v>
      </c>
      <c r="E418" s="32"/>
    </row>
    <row r="419" spans="1:13" x14ac:dyDescent="0.35">
      <c r="A419" s="32" t="s">
        <v>508</v>
      </c>
      <c r="B419" s="20"/>
      <c r="C419" s="236">
        <v>4340467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4340467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3978333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3978333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59367</v>
      </c>
      <c r="E613" s="258">
        <f>SUM(C625:D648)+SUM(C669:D714)</f>
        <v>18455548.162969328</v>
      </c>
      <c r="F613" s="258">
        <f>CE65-(AX65+BD65+BE65+BG65+BJ65+BN65+BP65+BQ65+CB65+CC65+CD65)</f>
        <v>1516116</v>
      </c>
      <c r="G613" s="256">
        <f>CE92-(AX92+AY92+BD92+BE92+BG92+BJ92+BN92+BP92+BQ92+CB92+CC92+CD92)</f>
        <v>5485</v>
      </c>
      <c r="H613" s="261">
        <f>CE61-(AX61+AY61+AZ61+BD61+BE61+BG61+BJ61+BN61+BO61+BP61+BQ61+BR61+CB61+CC61+CD61)</f>
        <v>1069.1500000000001</v>
      </c>
      <c r="I613" s="256">
        <f>CE93-(AX93+AY93+AZ93+BD93+BE93+BF93+BG93+BJ93+BN93+BO93+BP93+BQ93+BR93+CB93+CC93+CD93)</f>
        <v>8280</v>
      </c>
      <c r="J613" s="256">
        <f>CE94-(AX94+AY94+AZ94+BA94+BD94+BE94+BF94+BG94+BJ94+BN94+BO94+BP94+BQ94+BR94+CB94+CC94+CD94)</f>
        <v>0.06</v>
      </c>
      <c r="K613" s="256">
        <f>CE90-(AW90+AX90+AY90+AZ90+BA90+BB90+BC90+BD90+BE90+BF90+BG90+BH90+BI90+BJ90+BK90+BL90+BM90+BN90+BO90+BP90+BQ90+BR90+BS90+BT90+BU90+BV90+BW90+BX90+CB90+CC90+CD90)</f>
        <v>29061684.57</v>
      </c>
      <c r="L613" s="262">
        <f>CE95-(AW95+AX95+AY95+AZ95+BA95+BB95+BC95+BD95+BE95+BF95+BG95+BH95+BI95+BJ95+BK95+BL95+BM95+BN95+BO95+BP95+BQ95+BR95+BS95+BT95+BU95+BV95+BW95+BX95+BY95+BZ95+CA95+CB95+CC95+CD95)</f>
        <v>16.27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818683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1225586</v>
      </c>
      <c r="D616" s="256">
        <f>SUM(C615:C616)</f>
        <v>2044269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472011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732957</v>
      </c>
      <c r="D620" s="256">
        <f>(D616/D613)*BN91</f>
        <v>646058.83703067363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247266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227825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75791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2401908.8370306734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153214</v>
      </c>
      <c r="D625" s="256">
        <f>(D616/D613)*BD91</f>
        <v>0</v>
      </c>
      <c r="E625" s="258">
        <f>(E624/E613)*SUM(C625:D625)</f>
        <v>19940.131677866608</v>
      </c>
      <c r="F625" s="258">
        <f>SUM(C625:E625)</f>
        <v>173154.13167786662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418253</v>
      </c>
      <c r="D626" s="256">
        <f>(D616/D613)*AY91</f>
        <v>92077.674566678455</v>
      </c>
      <c r="E626" s="258">
        <f>(E624/E613)*SUM(C626:D626)</f>
        <v>66417.304228817608</v>
      </c>
      <c r="F626" s="258">
        <f>(F625/F613)*AY65</f>
        <v>13314.145625143892</v>
      </c>
      <c r="G626" s="256">
        <f>SUM(C626:F626)</f>
        <v>590062.12442063994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236074</v>
      </c>
      <c r="D627" s="256">
        <f>(D616/D613)*BR91</f>
        <v>0</v>
      </c>
      <c r="E627" s="258">
        <f>(E624/E613)*SUM(C627:D627)</f>
        <v>30723.998105399518</v>
      </c>
      <c r="F627" s="258">
        <f>(F625/F613)*BR65</f>
        <v>332.69089276653335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267130.68899816606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318855</v>
      </c>
      <c r="D630" s="256">
        <f>(D616/D613)*BF91</f>
        <v>27065.464551013189</v>
      </c>
      <c r="E630" s="258">
        <f>(E624/E613)*SUM(C630:D630)</f>
        <v>45020.034808933851</v>
      </c>
      <c r="F630" s="258">
        <f>(F625/F613)*BF65</f>
        <v>2958.5848187837437</v>
      </c>
      <c r="G630" s="256">
        <f>(G626/G613)*BF92</f>
        <v>0</v>
      </c>
      <c r="H630" s="258">
        <f>(H629/H613)*BF61</f>
        <v>1491.6243869607176</v>
      </c>
      <c r="I630" s="256">
        <f>SUM(C630:H630)</f>
        <v>395390.70856569149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10161</v>
      </c>
      <c r="D631" s="256">
        <f>(D616/D613)*BA91</f>
        <v>5371.7715902774271</v>
      </c>
      <c r="E631" s="258">
        <f>(E624/E613)*SUM(C631:D631)</f>
        <v>2021.5222553575875</v>
      </c>
      <c r="F631" s="258">
        <f>(F625/F613)*BA65</f>
        <v>812.59722005969263</v>
      </c>
      <c r="G631" s="256">
        <f>(G626/G613)*BA92</f>
        <v>0</v>
      </c>
      <c r="H631" s="258">
        <f>(H629/H613)*BA61</f>
        <v>0</v>
      </c>
      <c r="I631" s="256">
        <f>(I630/I613)*BA93</f>
        <v>160209.64097076026</v>
      </c>
      <c r="J631" s="256">
        <f>SUM(C631:I631)</f>
        <v>178576.53203645497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355542</v>
      </c>
      <c r="D636" s="256">
        <f>(D616/D613)*BK91</f>
        <v>0</v>
      </c>
      <c r="E636" s="258">
        <f>(E624/E613)*SUM(C636:D636)</f>
        <v>46272.235546438642</v>
      </c>
      <c r="F636" s="258">
        <f>(F625/F613)*BK65</f>
        <v>1431.0390959027334</v>
      </c>
      <c r="G636" s="256">
        <f>(G626/G613)*BK92</f>
        <v>0</v>
      </c>
      <c r="H636" s="258">
        <f>(H629/H613)*BK61</f>
        <v>1396.680121124022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1141310</v>
      </c>
      <c r="D637" s="256">
        <f>(D616/D613)*BH91</f>
        <v>0</v>
      </c>
      <c r="E637" s="258">
        <f>(E624/E613)*SUM(C637:D637)</f>
        <v>148536.50244276592</v>
      </c>
      <c r="F637" s="258">
        <f>(F625/F613)*BH65</f>
        <v>2936.1998496858241</v>
      </c>
      <c r="G637" s="256">
        <f>(G626/G613)*BH92</f>
        <v>0</v>
      </c>
      <c r="H637" s="258">
        <f>(H629/H613)*BH61</f>
        <v>1034.3927909576835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0</v>
      </c>
      <c r="D638" s="256">
        <f>(D616/D613)*BL91</f>
        <v>0</v>
      </c>
      <c r="E638" s="258">
        <f>(E624/E613)*SUM(C638:D638)</f>
        <v>0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257412</v>
      </c>
      <c r="D643" s="256">
        <f>(D616/D613)*BV91</f>
        <v>35054.253069887316</v>
      </c>
      <c r="E643" s="258">
        <f>(E624/E613)*SUM(C643:D643)</f>
        <v>38063.203085526206</v>
      </c>
      <c r="F643" s="258">
        <f>(F625/F613)*BV65</f>
        <v>244.52152468697145</v>
      </c>
      <c r="G643" s="256">
        <f>(G626/G613)*BV92</f>
        <v>0</v>
      </c>
      <c r="H643" s="258">
        <f>(H629/H613)*BV61</f>
        <v>507.20226223287381</v>
      </c>
      <c r="I643" s="256">
        <f>(I630/I613)*BV93</f>
        <v>1050.5550227590836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161323</v>
      </c>
      <c r="D645" s="256">
        <f>(D616/D613)*BX91</f>
        <v>0</v>
      </c>
      <c r="E645" s="258">
        <f>(E624/E613)*SUM(C645:D645)</f>
        <v>20995.482545122995</v>
      </c>
      <c r="F645" s="258">
        <f>(F625/F613)*BX65</f>
        <v>0</v>
      </c>
      <c r="G645" s="256">
        <f>(G626/G613)*BX92</f>
        <v>0</v>
      </c>
      <c r="H645" s="258">
        <f>(H629/H613)*BX61</f>
        <v>307.31959731351469</v>
      </c>
      <c r="I645" s="256">
        <f>(I630/I613)*BX93</f>
        <v>0</v>
      </c>
      <c r="J645" s="256">
        <f>(J631/J613)*BX94</f>
        <v>0</v>
      </c>
      <c r="K645" s="258">
        <f>SUM(C632:J645)</f>
        <v>2213416.5869544041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520874</v>
      </c>
      <c r="D646" s="256">
        <f>(D616/D613)*BY91</f>
        <v>25343.742887462733</v>
      </c>
      <c r="E646" s="258">
        <f>(E624/E613)*SUM(C646:D646)</f>
        <v>71087.849138871738</v>
      </c>
      <c r="F646" s="258">
        <f>(F625/F613)*BY65</f>
        <v>796.15112031428214</v>
      </c>
      <c r="G646" s="256">
        <f>(G626/G613)*BY92</f>
        <v>0</v>
      </c>
      <c r="H646" s="258">
        <f>(H629/H613)*BY61</f>
        <v>851.99985921876839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16263</v>
      </c>
      <c r="D648" s="256">
        <f>(D616/D613)*CA91</f>
        <v>0</v>
      </c>
      <c r="E648" s="258">
        <f>(E624/E613)*SUM(C648:D648)</f>
        <v>2116.5582876052099</v>
      </c>
      <c r="F648" s="258">
        <f>(F625/F613)*CA65</f>
        <v>0</v>
      </c>
      <c r="G648" s="256">
        <f>(G626/G613)*CA92</f>
        <v>0</v>
      </c>
      <c r="H648" s="258">
        <f>(H629/H613)*CA61</f>
        <v>32.480933049395865</v>
      </c>
      <c r="I648" s="256">
        <f>(I630/I613)*CA93</f>
        <v>0</v>
      </c>
      <c r="J648" s="256">
        <f>(J631/J613)*CA94</f>
        <v>178576.53203645497</v>
      </c>
      <c r="K648" s="258">
        <v>0</v>
      </c>
      <c r="L648" s="258">
        <f>SUM(C646:K648)</f>
        <v>815942.31426297699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7389400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2007.2681612338938</v>
      </c>
      <c r="L669" s="256">
        <f>(L648/L613)*C95</f>
        <v>0</v>
      </c>
      <c r="M669" s="231">
        <f t="shared" ref="M669:M714" si="18">ROUND(SUM(D669:L669),0)</f>
        <v>2007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3243356</v>
      </c>
      <c r="D671" s="256">
        <f>(D616/D613)*E91</f>
        <v>347925.51377027645</v>
      </c>
      <c r="E671" s="258">
        <f>(E624/E613)*SUM(C671:D671)</f>
        <v>467389.57456151163</v>
      </c>
      <c r="F671" s="258">
        <f>(F625/F613)*E65</f>
        <v>6273.8444257960782</v>
      </c>
      <c r="G671" s="256">
        <f>(G626/G613)*E92</f>
        <v>573387.62500674766</v>
      </c>
      <c r="H671" s="258">
        <f>(H629/H613)*E61</f>
        <v>5719.1427500051641</v>
      </c>
      <c r="I671" s="256">
        <f>(I630/I613)*E93</f>
        <v>58305.803763129144</v>
      </c>
      <c r="J671" s="256">
        <f>(J631/J613)*E94</f>
        <v>0</v>
      </c>
      <c r="K671" s="256">
        <f>(K645/K613)*E90</f>
        <v>139339.90221141689</v>
      </c>
      <c r="L671" s="256">
        <f>(L648/L613)*E95</f>
        <v>575723.2801314675</v>
      </c>
      <c r="M671" s="231">
        <f t="shared" si="18"/>
        <v>2174065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44424</v>
      </c>
      <c r="D678" s="256">
        <f>(D616/D613)*L91</f>
        <v>0</v>
      </c>
      <c r="E678" s="258">
        <f>(E624/E613)*SUM(C678:D678)</f>
        <v>5781.5892128496498</v>
      </c>
      <c r="F678" s="258">
        <f>(F625/F613)*L65</f>
        <v>0</v>
      </c>
      <c r="G678" s="256">
        <f>(G626/G613)*L92</f>
        <v>0</v>
      </c>
      <c r="H678" s="258">
        <f>(H629/H613)*L61</f>
        <v>207.37826485383511</v>
      </c>
      <c r="I678" s="256">
        <f>(I630/I613)*L93</f>
        <v>0</v>
      </c>
      <c r="J678" s="256">
        <f>(J631/J613)*L94</f>
        <v>0</v>
      </c>
      <c r="K678" s="256">
        <f>(K645/K613)*L90</f>
        <v>196194.90652756696</v>
      </c>
      <c r="L678" s="256">
        <f>(L648/L613)*L95</f>
        <v>0</v>
      </c>
      <c r="M678" s="231">
        <f t="shared" si="18"/>
        <v>202184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784723</v>
      </c>
      <c r="D682" s="256">
        <f>(D616/D613)*P91</f>
        <v>131436.23179544191</v>
      </c>
      <c r="E682" s="258">
        <f>(E624/E613)*SUM(C682:D682)</f>
        <v>119234.11515849875</v>
      </c>
      <c r="F682" s="258">
        <f>(F625/F613)*P65</f>
        <v>4948.2202609003853</v>
      </c>
      <c r="G682" s="256">
        <f>(G626/G613)*P92</f>
        <v>0</v>
      </c>
      <c r="H682" s="258">
        <f>(H629/H613)*P61</f>
        <v>1266.7563889264386</v>
      </c>
      <c r="I682" s="256">
        <f>(I630/I613)*P93</f>
        <v>22921.200496561825</v>
      </c>
      <c r="J682" s="256">
        <f>(J631/J613)*P94</f>
        <v>0</v>
      </c>
      <c r="K682" s="256">
        <f>(K645/K613)*P90</f>
        <v>118487.46679772291</v>
      </c>
      <c r="L682" s="256">
        <f>(L648/L613)*P95</f>
        <v>125375.27877427428</v>
      </c>
      <c r="M682" s="231">
        <f t="shared" si="18"/>
        <v>523669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1657.985983756427</v>
      </c>
      <c r="L683" s="256">
        <f>(L648/L613)*Q95</f>
        <v>0</v>
      </c>
      <c r="M683" s="231">
        <f t="shared" si="18"/>
        <v>1658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394417</v>
      </c>
      <c r="D684" s="256">
        <f>(D616/D613)*R91</f>
        <v>0</v>
      </c>
      <c r="E684" s="258">
        <f>(E624/E613)*SUM(C684:D684)</f>
        <v>51331.646690179186</v>
      </c>
      <c r="F684" s="258">
        <f>(F625/F613)*R65</f>
        <v>148.70015186475331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33258.57886971331</v>
      </c>
      <c r="L684" s="256">
        <f>(L648/L613)*R95</f>
        <v>0</v>
      </c>
      <c r="M684" s="231">
        <f t="shared" si="18"/>
        <v>84739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162560</v>
      </c>
      <c r="D685" s="256">
        <f>(D616/D613)*S91</f>
        <v>0</v>
      </c>
      <c r="E685" s="258">
        <f>(E624/E613)*SUM(C685:D685)</f>
        <v>21156.47268235276</v>
      </c>
      <c r="F685" s="258">
        <f>(F625/F613)*S65</f>
        <v>18192.698380178303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22700.52351585072</v>
      </c>
      <c r="L685" s="256">
        <f>(L648/L613)*S95</f>
        <v>0</v>
      </c>
      <c r="M685" s="231">
        <f t="shared" si="18"/>
        <v>62050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1388479</v>
      </c>
      <c r="D687" s="256">
        <f>(D616/D613)*U91</f>
        <v>39358.557228763457</v>
      </c>
      <c r="E687" s="258">
        <f>(E624/E613)*SUM(C687:D687)</f>
        <v>185826.81025066209</v>
      </c>
      <c r="F687" s="258">
        <f>(F625/F613)*U65</f>
        <v>38532.29803128873</v>
      </c>
      <c r="G687" s="256">
        <f>(G626/G613)*U92</f>
        <v>0</v>
      </c>
      <c r="H687" s="258">
        <f>(H629/H613)*U61</f>
        <v>1256.7622556804706</v>
      </c>
      <c r="I687" s="256">
        <f>(I630/I613)*U93</f>
        <v>17572.9203806974</v>
      </c>
      <c r="J687" s="256">
        <f>(J631/J613)*U94</f>
        <v>0</v>
      </c>
      <c r="K687" s="256">
        <f>(K645/K613)*U90</f>
        <v>200495.89079366595</v>
      </c>
      <c r="L687" s="256">
        <f>(L648/L613)*U95</f>
        <v>0</v>
      </c>
      <c r="M687" s="231">
        <f t="shared" si="18"/>
        <v>483043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0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1537352</v>
      </c>
      <c r="D691" s="256">
        <f>(D616/D613)*Y91</f>
        <v>167557.95229673051</v>
      </c>
      <c r="E691" s="258">
        <f>(E624/E613)*SUM(C691:D691)</f>
        <v>221886.57007650792</v>
      </c>
      <c r="F691" s="258">
        <f>(F625/F613)*Y65</f>
        <v>5160.0780041485559</v>
      </c>
      <c r="G691" s="256">
        <f>(G626/G613)*Y92</f>
        <v>0</v>
      </c>
      <c r="H691" s="258">
        <f>(H629/H613)*Y61</f>
        <v>1366.697721386118</v>
      </c>
      <c r="I691" s="256">
        <f>(I630/I613)*Y93</f>
        <v>21058.852956216175</v>
      </c>
      <c r="J691" s="256">
        <f>(J631/J613)*Y94</f>
        <v>0</v>
      </c>
      <c r="K691" s="256">
        <f>(K645/K613)*Y90</f>
        <v>549689.56720479415</v>
      </c>
      <c r="L691" s="256">
        <f>(L648/L613)*Y95</f>
        <v>0</v>
      </c>
      <c r="M691" s="231">
        <f t="shared" si="18"/>
        <v>966720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896353</v>
      </c>
      <c r="D694" s="256">
        <f>(D616/D613)*AB91</f>
        <v>19765.364697559249</v>
      </c>
      <c r="E694" s="258">
        <f>(E624/E613)*SUM(C694:D694)</f>
        <v>119228.79648453246</v>
      </c>
      <c r="F694" s="258">
        <f>(F625/F613)*AB65</f>
        <v>56373.346820382874</v>
      </c>
      <c r="G694" s="256">
        <f>(G626/G613)*AB92</f>
        <v>0</v>
      </c>
      <c r="H694" s="258">
        <f>(H629/H613)*AB61</f>
        <v>599.6479947580774</v>
      </c>
      <c r="I694" s="256">
        <f>(I630/I613)*AB93</f>
        <v>2865.1500620702282</v>
      </c>
      <c r="J694" s="256">
        <f>(J631/J613)*AB94</f>
        <v>0</v>
      </c>
      <c r="K694" s="256">
        <f>(K645/K613)*AB90</f>
        <v>225347.32533745849</v>
      </c>
      <c r="L694" s="256">
        <f>(L648/L613)*AB95</f>
        <v>0</v>
      </c>
      <c r="M694" s="231">
        <f t="shared" si="18"/>
        <v>424180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185879</v>
      </c>
      <c r="D695" s="256">
        <f>(D616/D613)*AC91</f>
        <v>12017.617211582192</v>
      </c>
      <c r="E695" s="258">
        <f>(E624/E613)*SUM(C695:D695)</f>
        <v>25755.378789166214</v>
      </c>
      <c r="F695" s="258">
        <f>(F625/F613)*AC65</f>
        <v>285.06572892044875</v>
      </c>
      <c r="G695" s="256">
        <f>(G626/G613)*AC92</f>
        <v>0</v>
      </c>
      <c r="H695" s="258">
        <f>(H629/H613)*AC61</f>
        <v>369.78293010081444</v>
      </c>
      <c r="I695" s="256">
        <f>(I630/I613)*AC93</f>
        <v>1719.0900372421368</v>
      </c>
      <c r="J695" s="256">
        <f>(J631/J613)*AC94</f>
        <v>0</v>
      </c>
      <c r="K695" s="256">
        <f>(K645/K613)*AC90</f>
        <v>55061.981851654942</v>
      </c>
      <c r="L695" s="256">
        <f>(L648/L613)*AC95</f>
        <v>0</v>
      </c>
      <c r="M695" s="231">
        <f t="shared" si="18"/>
        <v>95209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1129504</v>
      </c>
      <c r="D697" s="256">
        <f>(D616/D613)*AE91</f>
        <v>112256.25246348983</v>
      </c>
      <c r="E697" s="258">
        <f>(E624/E613)*SUM(C697:D697)</f>
        <v>161609.66325833715</v>
      </c>
      <c r="F697" s="258">
        <f>(F625/F613)*AE65</f>
        <v>1442.8026255817424</v>
      </c>
      <c r="G697" s="256">
        <f>(G626/G613)*AE92</f>
        <v>0</v>
      </c>
      <c r="H697" s="258">
        <f>(H629/H613)*AE61</f>
        <v>246605.23784425936</v>
      </c>
      <c r="I697" s="256">
        <f>(I630/I613)*AE93</f>
        <v>8404.4401820726689</v>
      </c>
      <c r="J697" s="256">
        <f>(J631/J613)*AE94</f>
        <v>0</v>
      </c>
      <c r="K697" s="256">
        <f>(K645/K613)*AE90</f>
        <v>172791.02040617666</v>
      </c>
      <c r="L697" s="256">
        <f>(L648/L613)*AE95</f>
        <v>0</v>
      </c>
      <c r="M697" s="231">
        <f t="shared" si="18"/>
        <v>703109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2153870</v>
      </c>
      <c r="D699" s="256">
        <f>(D616/D613)*AG91</f>
        <v>198858.85214007783</v>
      </c>
      <c r="E699" s="258">
        <f>(E624/E613)*SUM(C699:D699)</f>
        <v>306197.36521459598</v>
      </c>
      <c r="F699" s="258">
        <f>(F625/F613)*AG65</f>
        <v>4752.351781293587</v>
      </c>
      <c r="G699" s="256">
        <f>(G626/G613)*AG92</f>
        <v>16674.499413892288</v>
      </c>
      <c r="H699" s="258">
        <f>(H629/H613)*AG61</f>
        <v>1269.2549222379307</v>
      </c>
      <c r="I699" s="256">
        <f>(I630/I613)*AG93</f>
        <v>46224.421001399678</v>
      </c>
      <c r="J699" s="256">
        <f>(J631/J613)*AG94</f>
        <v>0</v>
      </c>
      <c r="K699" s="256">
        <f>(K645/K613)*AG90</f>
        <v>388238.48850965052</v>
      </c>
      <c r="L699" s="256">
        <f>(L648/L613)*AG95</f>
        <v>114843.75535723525</v>
      </c>
      <c r="M699" s="231">
        <f t="shared" si="18"/>
        <v>1077059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1547140</v>
      </c>
      <c r="D702" s="256">
        <f>(D616/D613)*AJ91</f>
        <v>184120.91470008591</v>
      </c>
      <c r="E702" s="258">
        <f>(E624/E613)*SUM(C702:D702)</f>
        <v>225316.0325287735</v>
      </c>
      <c r="F702" s="258">
        <f>(F625/F613)*AJ65</f>
        <v>14218.795320167479</v>
      </c>
      <c r="G702" s="256">
        <f>(G626/G613)*AJ92</f>
        <v>0</v>
      </c>
      <c r="H702" s="258">
        <f>(H629/H613)*AJ61</f>
        <v>2848.3279751008681</v>
      </c>
      <c r="I702" s="256">
        <f>(I630/I613)*AJ93</f>
        <v>55058.633692782882</v>
      </c>
      <c r="J702" s="256">
        <f>(J631/J613)*AJ94</f>
        <v>0</v>
      </c>
      <c r="K702" s="256">
        <f>(K645/K613)*AJ90</f>
        <v>108145.6807837425</v>
      </c>
      <c r="L702" s="256">
        <f>(L648/L613)*AJ95</f>
        <v>0</v>
      </c>
      <c r="M702" s="231">
        <f t="shared" si="18"/>
        <v>589708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20857457</v>
      </c>
      <c r="D716" s="231">
        <f>SUM(D617:D648)+SUM(D669:D714)</f>
        <v>2044269.0000000002</v>
      </c>
      <c r="E716" s="231">
        <f>SUM(E625:E648)+SUM(E669:E714)</f>
        <v>2401908.8370306734</v>
      </c>
      <c r="F716" s="231">
        <f>SUM(F626:F649)+SUM(F669:F714)</f>
        <v>173154.13167786656</v>
      </c>
      <c r="G716" s="231">
        <f>SUM(G627:G648)+SUM(G669:G714)</f>
        <v>590062.12442063994</v>
      </c>
      <c r="H716" s="231">
        <f>SUM(H630:H648)+SUM(H669:H714)</f>
        <v>267130.68899816606</v>
      </c>
      <c r="I716" s="231">
        <f>SUM(I631:I648)+SUM(I669:I714)</f>
        <v>395390.70856569149</v>
      </c>
      <c r="J716" s="231">
        <f>SUM(J632:J648)+SUM(J669:J714)</f>
        <v>178576.53203645497</v>
      </c>
      <c r="K716" s="231">
        <f>SUM(K669:K714)</f>
        <v>2213416.5869544041</v>
      </c>
      <c r="L716" s="231">
        <f>SUM(L669:L714)</f>
        <v>815942.31426297699</v>
      </c>
      <c r="M716" s="231">
        <f>SUM(M669:M714)</f>
        <v>7389400</v>
      </c>
      <c r="N716" s="250" t="s">
        <v>669</v>
      </c>
    </row>
    <row r="717" spans="1:14" s="231" customFormat="1" ht="12.65" customHeight="1" x14ac:dyDescent="0.3">
      <c r="C717" s="253">
        <f>CE86</f>
        <v>20857457</v>
      </c>
      <c r="D717" s="231">
        <f>D616</f>
        <v>2044269</v>
      </c>
      <c r="E717" s="231">
        <f>E624</f>
        <v>2401908.8370306734</v>
      </c>
      <c r="F717" s="231">
        <f>F625</f>
        <v>173154.13167786662</v>
      </c>
      <c r="G717" s="231">
        <f>G626</f>
        <v>590062.12442063994</v>
      </c>
      <c r="H717" s="231">
        <f>H629</f>
        <v>267130.68899816606</v>
      </c>
      <c r="I717" s="231">
        <f>I630</f>
        <v>395390.70856569149</v>
      </c>
      <c r="J717" s="231">
        <f>J631</f>
        <v>178576.53203645497</v>
      </c>
      <c r="K717" s="231">
        <f>K645</f>
        <v>2213416.5869544041</v>
      </c>
      <c r="L717" s="231">
        <f>L648</f>
        <v>815942.31426297699</v>
      </c>
      <c r="M717" s="231">
        <f>C649</f>
        <v>7389400</v>
      </c>
      <c r="N717" s="250" t="s">
        <v>670</v>
      </c>
    </row>
  </sheetData>
  <mergeCells count="1">
    <mergeCell ref="B237:C237"/>
  </mergeCells>
  <hyperlinks>
    <hyperlink ref="G43" r:id="rId1" xr:uid="{00000000-0004-0000-0B00-000000000000}"/>
    <hyperlink ref="A44" r:id="rId2" xr:uid="{00000000-0004-0000-0B00-000001000000}"/>
    <hyperlink ref="C31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5" t="str">
        <f>RIGHT(data!C97,3)</f>
        <v>096</v>
      </c>
      <c r="C2" s="12" t="str">
        <f>SUBSTITUTE(LEFT(data!C98,49),",","")</f>
        <v>Skyline Health</v>
      </c>
      <c r="D2" s="12" t="str">
        <f>LEFT(data!C99,49)</f>
        <v>PO Box 99</v>
      </c>
      <c r="E2" s="12" t="str">
        <f>RIGHT(data!C100,100)</f>
        <v>White Salmon</v>
      </c>
      <c r="F2" s="12" t="str">
        <f>RIGHT(data!C101,100)</f>
        <v>WA</v>
      </c>
      <c r="G2" s="12" t="str">
        <f>RIGHT(data!C102,100)</f>
        <v>98672</v>
      </c>
      <c r="H2" s="12" t="str">
        <f>RIGHT(data!C103,100)</f>
        <v>Klickitat</v>
      </c>
      <c r="I2" s="12" t="str">
        <f>LEFT(data!C104,49)</f>
        <v>Robb Kimmes</v>
      </c>
      <c r="J2" s="12" t="str">
        <f>LEFT(data!C105,49)</f>
        <v>Brenda Schneider</v>
      </c>
      <c r="K2" s="12" t="str">
        <f>LEFT(data!C107,49)</f>
        <v>509-493-1101</v>
      </c>
      <c r="L2" s="12" t="str">
        <f>LEFT(data!C108,49)</f>
        <v>509-493-4607</v>
      </c>
      <c r="M2" s="12" t="str">
        <f>LEFT(data!C109,49)</f>
        <v>Brenda Schneider</v>
      </c>
      <c r="N2" s="12" t="str">
        <f>LEFT(data!C110,49)</f>
        <v>brendaschneider@skylinehospital.org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5" customHeight="1" x14ac:dyDescent="0.35">
      <c r="A2" s="16" t="str">
        <f>RIGHT(data!C97,3)</f>
        <v>096</v>
      </c>
      <c r="B2" s="224" t="str">
        <f>RIGHT(data!C96,4)</f>
        <v>2022</v>
      </c>
      <c r="C2" s="16" t="s">
        <v>1122</v>
      </c>
      <c r="D2" s="223">
        <f>ROUND(data!C181,0)</f>
        <v>691065</v>
      </c>
      <c r="E2" s="223">
        <f>ROUND(data!C182,0)</f>
        <v>19529</v>
      </c>
      <c r="F2" s="223">
        <f>ROUND(data!C183,0)</f>
        <v>124077</v>
      </c>
      <c r="G2" s="223">
        <f>ROUND(data!C184,0)</f>
        <v>1404787</v>
      </c>
      <c r="H2" s="223">
        <f>ROUND(data!C185,0)</f>
        <v>7822</v>
      </c>
      <c r="I2" s="223">
        <f>ROUND(data!C186,0)</f>
        <v>210153</v>
      </c>
      <c r="J2" s="223">
        <f>ROUND(data!C187+data!C188,0)</f>
        <v>240041</v>
      </c>
      <c r="K2" s="223">
        <f>ROUND(data!C191,0)</f>
        <v>0</v>
      </c>
      <c r="L2" s="223">
        <f>ROUND(data!C192,0)</f>
        <v>61370</v>
      </c>
      <c r="M2" s="223">
        <f>ROUND(data!C195,0)</f>
        <v>88088</v>
      </c>
      <c r="N2" s="223">
        <f>ROUND(data!C196,0)</f>
        <v>122211</v>
      </c>
      <c r="O2" s="223">
        <f>ROUND(data!C199,0)</f>
        <v>7388</v>
      </c>
      <c r="P2" s="223">
        <f>ROUND(data!C200,0)</f>
        <v>81084</v>
      </c>
      <c r="Q2" s="223">
        <f>ROUND(data!C201,0)</f>
        <v>0</v>
      </c>
      <c r="R2" s="223">
        <f>ROUND(data!C204,0)</f>
        <v>0</v>
      </c>
      <c r="S2" s="223">
        <f>ROUND(data!C205,0)</f>
        <v>1002354</v>
      </c>
      <c r="T2" s="223">
        <f>ROUND(data!B211,0)</f>
        <v>474331</v>
      </c>
      <c r="U2" s="223">
        <f>ROUND(data!C211,0)</f>
        <v>0</v>
      </c>
      <c r="V2" s="223">
        <f>ROUND(data!D211,0)</f>
        <v>0</v>
      </c>
      <c r="W2" s="223">
        <f>ROUND(data!B212,0)</f>
        <v>199862</v>
      </c>
      <c r="X2" s="223">
        <f>ROUND(data!C212,0)</f>
        <v>0</v>
      </c>
      <c r="Y2" s="223">
        <f>ROUND(data!D212,0)</f>
        <v>0</v>
      </c>
      <c r="Z2" s="223">
        <f>ROUND(data!B213,0)</f>
        <v>25808201</v>
      </c>
      <c r="AA2" s="223">
        <f>ROUND(data!C213,0)</f>
        <v>375553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343342</v>
      </c>
      <c r="AG2" s="223">
        <f>ROUND(data!C215,0)</f>
        <v>194237</v>
      </c>
      <c r="AH2" s="223">
        <f>ROUND(data!D215,0)</f>
        <v>0</v>
      </c>
      <c r="AI2" s="223">
        <f>ROUND(data!B216,0)</f>
        <v>6239173</v>
      </c>
      <c r="AJ2" s="223">
        <f>ROUND(data!C216,0)</f>
        <v>472406</v>
      </c>
      <c r="AK2" s="223">
        <f>ROUND(data!D216,0)</f>
        <v>95170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1004255</v>
      </c>
      <c r="AS2" s="223">
        <f>ROUND(data!C219,0)</f>
        <v>0</v>
      </c>
      <c r="AT2" s="223">
        <f>ROUND(data!D219,0)</f>
        <v>1004255</v>
      </c>
      <c r="AU2" s="223">
        <v>0</v>
      </c>
      <c r="AV2" s="223">
        <v>0</v>
      </c>
      <c r="AW2" s="223">
        <v>0</v>
      </c>
      <c r="AX2" s="223">
        <f>ROUND(data!B225,0)</f>
        <v>79852</v>
      </c>
      <c r="AY2" s="223">
        <f>ROUND(data!C225,0)</f>
        <v>20002</v>
      </c>
      <c r="AZ2" s="223">
        <f>ROUND(data!D225,0)</f>
        <v>0</v>
      </c>
      <c r="BA2" s="223">
        <f>ROUND(data!B226,0)</f>
        <v>11280911</v>
      </c>
      <c r="BB2" s="223">
        <f>ROUND(data!C226,0)</f>
        <v>1140699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84135</v>
      </c>
      <c r="BH2" s="223">
        <f>ROUND(data!C228,0)</f>
        <v>45465</v>
      </c>
      <c r="BI2" s="223">
        <f>ROUND(data!D228,0)</f>
        <v>0</v>
      </c>
      <c r="BJ2" s="223">
        <f>ROUND(data!B229,0)</f>
        <v>5444255</v>
      </c>
      <c r="BK2" s="223">
        <f>ROUND(data!C229,0)</f>
        <v>244456</v>
      </c>
      <c r="BL2" s="223">
        <f>ROUND(data!D229,0)</f>
        <v>5122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5021493</v>
      </c>
      <c r="BW2" s="223">
        <f>ROUND(data!C240,0)</f>
        <v>3412761</v>
      </c>
      <c r="BX2" s="223">
        <f>ROUND(data!C241,0)</f>
        <v>122158</v>
      </c>
      <c r="BY2" s="223">
        <f>ROUND(data!C242,0)</f>
        <v>0</v>
      </c>
      <c r="BZ2" s="223">
        <f>ROUND(data!C243,0)</f>
        <v>0</v>
      </c>
      <c r="CA2" s="223">
        <f>ROUND(data!C244,0)</f>
        <v>4677954</v>
      </c>
      <c r="CB2" s="223">
        <f>ROUND(data!C247,0)</f>
        <v>82</v>
      </c>
      <c r="CC2" s="223">
        <f>ROUND(data!C249,0)</f>
        <v>24543</v>
      </c>
      <c r="CD2" s="223">
        <f>ROUND(data!C250,0)</f>
        <v>68227</v>
      </c>
      <c r="CE2" s="223">
        <f>ROUND(data!C254+data!C255,0)</f>
        <v>412090</v>
      </c>
      <c r="CF2" s="223">
        <f>data!D237</f>
        <v>665835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5" customHeight="1" x14ac:dyDescent="0.35">
      <c r="A2" s="16" t="str">
        <f>RIGHT(data!C97,3)</f>
        <v>096</v>
      </c>
      <c r="B2" s="16" t="str">
        <f>RIGHT(data!C96,4)</f>
        <v>2022</v>
      </c>
      <c r="C2" s="16" t="s">
        <v>1122</v>
      </c>
      <c r="D2" s="222">
        <f>ROUND(data!C127,0)</f>
        <v>183</v>
      </c>
      <c r="E2" s="222">
        <f>ROUND(data!C128,0)</f>
        <v>65</v>
      </c>
      <c r="F2" s="222">
        <f>ROUND(data!C129,0)</f>
        <v>0</v>
      </c>
      <c r="G2" s="222">
        <f>ROUND(data!C130,0)</f>
        <v>0</v>
      </c>
      <c r="H2" s="222">
        <f>ROUND(data!D127,0)</f>
        <v>709</v>
      </c>
      <c r="I2" s="222">
        <f>ROUND(data!D128,0)</f>
        <v>1003</v>
      </c>
      <c r="J2" s="222">
        <f>ROUND(data!D129,0)</f>
        <v>0</v>
      </c>
      <c r="K2" s="222">
        <f>ROUND(data!D130,0)</f>
        <v>0</v>
      </c>
      <c r="L2" s="222">
        <f>ROUND(data!C132,0)</f>
        <v>2</v>
      </c>
      <c r="M2" s="222">
        <f>ROUND(data!C133,0)</f>
        <v>0</v>
      </c>
      <c r="N2" s="222">
        <f>ROUND(data!C134,0)</f>
        <v>17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6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25</v>
      </c>
      <c r="X2" s="222">
        <f>ROUND(data!C145,0)</f>
        <v>0</v>
      </c>
      <c r="Y2" s="222">
        <f>ROUND(data!B154,0)</f>
        <v>108</v>
      </c>
      <c r="Z2" s="222">
        <f>ROUND(data!B155,0)</f>
        <v>389</v>
      </c>
      <c r="AA2" s="222">
        <f>ROUND(data!B156,0)</f>
        <v>7387</v>
      </c>
      <c r="AB2" s="222">
        <f>ROUND(data!B157,0)</f>
        <v>2484711</v>
      </c>
      <c r="AC2" s="222">
        <f>ROUND(data!B158,0)</f>
        <v>10245458</v>
      </c>
      <c r="AD2" s="222">
        <f>ROUND(data!C154,0)</f>
        <v>35</v>
      </c>
      <c r="AE2" s="222">
        <f>ROUND(data!C155,0)</f>
        <v>157</v>
      </c>
      <c r="AF2" s="222">
        <f>ROUND(data!C156,0)</f>
        <v>5451</v>
      </c>
      <c r="AG2" s="222">
        <f>ROUND(data!C157,0)</f>
        <v>1067218</v>
      </c>
      <c r="AH2" s="222">
        <f>ROUND(data!C158,0)</f>
        <v>6919032</v>
      </c>
      <c r="AI2" s="222">
        <f>ROUND(data!D154,0)</f>
        <v>40</v>
      </c>
      <c r="AJ2" s="222">
        <f>ROUND(data!D155,0)</f>
        <v>153</v>
      </c>
      <c r="AK2" s="222">
        <f>ROUND(data!D156,0)</f>
        <v>9223</v>
      </c>
      <c r="AL2" s="222">
        <f>ROUND(data!D157,0)</f>
        <v>783454</v>
      </c>
      <c r="AM2" s="222">
        <f>ROUND(data!D158,0)</f>
        <v>10701374</v>
      </c>
      <c r="AN2" s="222">
        <f>ROUND(data!B160,0)</f>
        <v>52</v>
      </c>
      <c r="AO2" s="222">
        <f>ROUND(data!B161,0)</f>
        <v>800</v>
      </c>
      <c r="AP2" s="222">
        <f>ROUND(data!B162,0)</f>
        <v>0</v>
      </c>
      <c r="AQ2" s="222">
        <f>ROUND(data!B163,0)</f>
        <v>3165468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13</v>
      </c>
      <c r="AY2" s="222">
        <f>ROUND(data!D161,0)</f>
        <v>230</v>
      </c>
      <c r="AZ2" s="222">
        <f>ROUND(data!D162,0)</f>
        <v>0</v>
      </c>
      <c r="BA2" s="222">
        <f>ROUND(data!D163,0)</f>
        <v>307593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4927864</v>
      </c>
      <c r="BS2" s="222">
        <f>ROUND(data!C173,0)</f>
        <v>3327886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5" customHeight="1" x14ac:dyDescent="0.35">
      <c r="A2" s="223" t="str">
        <f>RIGHT(data!C97,3)</f>
        <v>096</v>
      </c>
      <c r="B2" s="224" t="str">
        <f>RIGHT(data!C96,4)</f>
        <v>2022</v>
      </c>
      <c r="C2" s="16" t="s">
        <v>1122</v>
      </c>
      <c r="D2" s="222">
        <f>ROUND(data!C266,0)</f>
        <v>6651792</v>
      </c>
      <c r="E2" s="222">
        <f>ROUND(data!C267,0)</f>
        <v>0</v>
      </c>
      <c r="F2" s="222">
        <f>ROUND(data!C268,0)</f>
        <v>12829713</v>
      </c>
      <c r="G2" s="222">
        <f>ROUND(data!C269,0)</f>
        <v>8023365</v>
      </c>
      <c r="H2" s="222">
        <f>ROUND(data!C270,0)</f>
        <v>338822</v>
      </c>
      <c r="I2" s="222">
        <f>ROUND(data!C271,0)</f>
        <v>68786</v>
      </c>
      <c r="J2" s="222">
        <f>ROUND(data!C272,0)</f>
        <v>0</v>
      </c>
      <c r="K2" s="222">
        <f>ROUND(data!C273,0)</f>
        <v>196372</v>
      </c>
      <c r="L2" s="222">
        <f>ROUND(data!C274,0)</f>
        <v>249874</v>
      </c>
      <c r="M2" s="222">
        <f>ROUND(data!C275,0)</f>
        <v>0</v>
      </c>
      <c r="N2" s="222">
        <f>ROUND(data!C278,0)</f>
        <v>1710396</v>
      </c>
      <c r="O2" s="222">
        <f>ROUND(data!C279,0)</f>
        <v>0</v>
      </c>
      <c r="P2" s="222">
        <f>ROUND(data!C280,0)</f>
        <v>0</v>
      </c>
      <c r="Q2" s="222">
        <f>ROUND(data!C283,0)</f>
        <v>474331</v>
      </c>
      <c r="R2" s="222">
        <f>ROUND(data!C284,0)</f>
        <v>199862</v>
      </c>
      <c r="S2" s="222">
        <f>ROUND(data!C285,0)</f>
        <v>26183754</v>
      </c>
      <c r="T2" s="222">
        <f>ROUND(data!C286,0)</f>
        <v>0</v>
      </c>
      <c r="U2" s="222">
        <f>ROUND(data!C287,0)</f>
        <v>537579</v>
      </c>
      <c r="V2" s="222">
        <f>ROUND(data!C288,0)</f>
        <v>6616409</v>
      </c>
      <c r="W2" s="222">
        <f>ROUND(data!C289,0)</f>
        <v>0</v>
      </c>
      <c r="X2" s="222">
        <f>ROUND(data!C290,0)</f>
        <v>0</v>
      </c>
      <c r="Y2" s="222">
        <f>ROUND(data!C291,0)</f>
        <v>0</v>
      </c>
      <c r="Z2" s="222">
        <f>ROUND(data!C292,0)</f>
        <v>18336547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1090188</v>
      </c>
      <c r="AK2" s="222">
        <f>ROUND(data!C316,0)</f>
        <v>1161548</v>
      </c>
      <c r="AL2" s="222">
        <f>ROUND(data!C317,0)</f>
        <v>0</v>
      </c>
      <c r="AM2" s="222">
        <f>ROUND(data!C318,0)</f>
        <v>0</v>
      </c>
      <c r="AN2" s="222">
        <f>ROUND(data!C319,0)</f>
        <v>2137151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570000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51906</v>
      </c>
      <c r="AZ2" s="222">
        <f>ROUND(data!C335,0)</f>
        <v>18495000</v>
      </c>
      <c r="BA2" s="222">
        <f>ROUND(data!C336,0)</f>
        <v>0</v>
      </c>
      <c r="BB2" s="222">
        <f>ROUND(data!C337,0)</f>
        <v>0</v>
      </c>
      <c r="BC2" s="222">
        <f>ROUND(data!C338,0)</f>
        <v>558449</v>
      </c>
      <c r="BD2" s="222">
        <f>ROUND(data!C339,0)</f>
        <v>0</v>
      </c>
      <c r="BE2" s="222">
        <f>ROUND(data!C343,0)</f>
        <v>6203536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111.92</v>
      </c>
      <c r="BL2" s="222">
        <f>ROUND(data!C358,0)</f>
        <v>7809293</v>
      </c>
      <c r="BM2" s="222">
        <f>ROUND(data!C359,0)</f>
        <v>27952197</v>
      </c>
      <c r="BN2" s="222">
        <f>ROUND(data!C363,0)</f>
        <v>13234366</v>
      </c>
      <c r="BO2" s="222">
        <f>ROUND(data!C364,0)</f>
        <v>92770</v>
      </c>
      <c r="BP2" s="222">
        <f>ROUND(data!C365,0)</f>
        <v>412090</v>
      </c>
      <c r="BQ2" s="222">
        <f>ROUND(data!D381,0)</f>
        <v>959891</v>
      </c>
      <c r="BR2" s="222">
        <f>ROUND(data!C370,0)</f>
        <v>10315</v>
      </c>
      <c r="BS2" s="222">
        <f>ROUND(data!C371,0)</f>
        <v>943656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5920</v>
      </c>
      <c r="CA2" s="222">
        <f>ROUND(data!C379,0)</f>
        <v>0</v>
      </c>
      <c r="CB2" s="222">
        <f>ROUND(data!C380,0)</f>
        <v>0</v>
      </c>
      <c r="CC2" s="222">
        <f>ROUND(data!C382,0)</f>
        <v>1470253</v>
      </c>
      <c r="CD2" s="222">
        <f>ROUND(data!C389,0)</f>
        <v>9488954</v>
      </c>
      <c r="CE2" s="222">
        <f>ROUND(data!C390,0)</f>
        <v>2697474</v>
      </c>
      <c r="CF2" s="222">
        <f>ROUND(data!C391,0)</f>
        <v>1971764</v>
      </c>
      <c r="CG2" s="222">
        <f>ROUND(data!C392,0)</f>
        <v>1888781</v>
      </c>
      <c r="CH2" s="222">
        <f>ROUND(data!C393,0)</f>
        <v>344810</v>
      </c>
      <c r="CI2" s="222">
        <f>ROUND(data!C394,0)</f>
        <v>4069848</v>
      </c>
      <c r="CJ2" s="222">
        <f>ROUND(data!C395,0)</f>
        <v>1450623</v>
      </c>
      <c r="CK2" s="222">
        <f>ROUND(data!C396,0)</f>
        <v>61370</v>
      </c>
      <c r="CL2" s="222">
        <f>ROUND(data!C397,0)</f>
        <v>210299</v>
      </c>
      <c r="CM2" s="222">
        <f>ROUND(data!C398,0)</f>
        <v>124000</v>
      </c>
      <c r="CN2" s="222">
        <f>ROUND(data!C399,0)</f>
        <v>1002354</v>
      </c>
      <c r="CO2" s="222">
        <f>ROUND(data!C362,0)</f>
        <v>665835</v>
      </c>
      <c r="CP2" s="222">
        <f>ROUND(data!D415,0)</f>
        <v>355474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355474</v>
      </c>
      <c r="DE2" s="65">
        <f>ROUND(data!C419,0)</f>
        <v>0</v>
      </c>
      <c r="DF2" s="222">
        <f>ROUND(data!D420,0)</f>
        <v>215237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096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23721</v>
      </c>
      <c r="AF2" s="222">
        <f>ROUND(data!C87,0)</f>
        <v>27486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096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096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709</v>
      </c>
      <c r="F4" s="212">
        <f>ROUND(data!E60,2)</f>
        <v>17.63</v>
      </c>
      <c r="G4" s="222">
        <f>ROUND(data!E61,0)</f>
        <v>1887090</v>
      </c>
      <c r="H4" s="222">
        <f>ROUND(data!E62,0)</f>
        <v>535326</v>
      </c>
      <c r="I4" s="222">
        <f>ROUND(data!E63,0)</f>
        <v>1635</v>
      </c>
      <c r="J4" s="222">
        <f>ROUND(data!E64,0)</f>
        <v>56763</v>
      </c>
      <c r="K4" s="222">
        <f>ROUND(data!E65,0)</f>
        <v>0</v>
      </c>
      <c r="L4" s="222">
        <f>ROUND(data!E66,0)</f>
        <v>1450793</v>
      </c>
      <c r="M4" s="66">
        <f>ROUND(data!E67,0)</f>
        <v>222969</v>
      </c>
      <c r="N4" s="222">
        <f>ROUND(data!E68,0)</f>
        <v>7748</v>
      </c>
      <c r="O4" s="222">
        <f>ROUND(data!E69,0)</f>
        <v>11913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11913</v>
      </c>
      <c r="AD4" s="222">
        <f>ROUND(data!E84,0)</f>
        <v>0</v>
      </c>
      <c r="AE4" s="222">
        <f>ROUND(data!E89,0)</f>
        <v>2458652</v>
      </c>
      <c r="AF4" s="222">
        <f>ROUND(data!E87,0)</f>
        <v>2082187</v>
      </c>
      <c r="AG4" s="222">
        <f>IF(data!E90&gt;0,ROUND(data!E90,0),0)</f>
        <v>10104</v>
      </c>
      <c r="AH4" s="222">
        <f>IF(data!E91&gt;0,ROUND(data!E91,0),0)</f>
        <v>5261</v>
      </c>
      <c r="AI4" s="222">
        <f>IF(data!E92&gt;0,ROUND(data!E92,0),0)</f>
        <v>1264</v>
      </c>
      <c r="AJ4" s="222">
        <f>IF(data!E93&gt;0,ROUND(data!E93,0),0)</f>
        <v>0</v>
      </c>
      <c r="AK4" s="212">
        <f>IF(data!E94&gt;0,ROUND(data!E94,2),0)</f>
        <v>9.9700000000000006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096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096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096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096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096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096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096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1003</v>
      </c>
      <c r="F11" s="212">
        <f>ROUND(data!L60,2)</f>
        <v>0.77</v>
      </c>
      <c r="G11" s="222">
        <f>ROUND(data!L61,0)</f>
        <v>37686</v>
      </c>
      <c r="H11" s="222">
        <f>ROUND(data!L62,0)</f>
        <v>10691</v>
      </c>
      <c r="I11" s="222">
        <f>ROUND(data!L63,0)</f>
        <v>0</v>
      </c>
      <c r="J11" s="222">
        <f>ROUND(data!L64,0)</f>
        <v>240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2356367</v>
      </c>
      <c r="AF11" s="222">
        <f>ROUND(data!L87,0)</f>
        <v>2356367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096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096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096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096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619</v>
      </c>
      <c r="F15" s="212">
        <f>ROUND(data!P60,2)</f>
        <v>6.34</v>
      </c>
      <c r="G15" s="222">
        <f>ROUND(data!P61,0)</f>
        <v>656791</v>
      </c>
      <c r="H15" s="222">
        <f>ROUND(data!P62,0)</f>
        <v>186317</v>
      </c>
      <c r="I15" s="222">
        <f>ROUND(data!P63,0)</f>
        <v>0</v>
      </c>
      <c r="J15" s="222">
        <f>ROUND(data!P64,0)</f>
        <v>145674</v>
      </c>
      <c r="K15" s="222">
        <f>ROUND(data!P65,0)</f>
        <v>0</v>
      </c>
      <c r="L15" s="222">
        <f>ROUND(data!P66,0)</f>
        <v>87902</v>
      </c>
      <c r="M15" s="66">
        <f>ROUND(data!P67,0)</f>
        <v>84231</v>
      </c>
      <c r="N15" s="222">
        <f>ROUND(data!P68,0)</f>
        <v>40</v>
      </c>
      <c r="O15" s="222">
        <f>ROUND(data!P69,0)</f>
        <v>888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888</v>
      </c>
      <c r="AD15" s="222">
        <f>ROUND(data!P84,0)</f>
        <v>0</v>
      </c>
      <c r="AE15" s="222">
        <f>ROUND(data!P89,0)</f>
        <v>3204990</v>
      </c>
      <c r="AF15" s="222">
        <f>ROUND(data!P87,0)</f>
        <v>52013</v>
      </c>
      <c r="AG15" s="222">
        <f>IF(data!P90&gt;0,ROUND(data!P90,0),0)</f>
        <v>3817</v>
      </c>
      <c r="AH15" s="222">
        <f>IF(data!P91&gt;0,ROUND(data!P91,0),0)</f>
        <v>0</v>
      </c>
      <c r="AI15" s="222">
        <f>IF(data!P92&gt;0,ROUND(data!P92,0),0)</f>
        <v>668</v>
      </c>
      <c r="AJ15" s="222">
        <f>IF(data!P93&gt;0,ROUND(data!P93,0),0)</f>
        <v>0</v>
      </c>
      <c r="AK15" s="212">
        <f>IF(data!P94&gt;0,ROUND(data!P94,2),0)</f>
        <v>3.4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096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103739</v>
      </c>
      <c r="AF16" s="222">
        <f>ROUND(data!Q87,0)</f>
        <v>13507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096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391463</v>
      </c>
      <c r="J17" s="222">
        <f>ROUND(data!R64,0)</f>
        <v>3711</v>
      </c>
      <c r="K17" s="222">
        <f>ROUND(data!R65,0)</f>
        <v>0</v>
      </c>
      <c r="L17" s="222">
        <f>ROUND(data!R66,0)</f>
        <v>2207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096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292314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11</v>
      </c>
      <c r="O18" s="222">
        <f>ROUND(data!S69,0)</f>
        <v>1221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1221</v>
      </c>
      <c r="AD18" s="222">
        <f>ROUND(data!S84,0)</f>
        <v>0</v>
      </c>
      <c r="AE18" s="222">
        <f>ROUND(data!S89,0)</f>
        <v>470203</v>
      </c>
      <c r="AF18" s="222">
        <f>ROUND(data!S87,0)</f>
        <v>104049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096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096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31024</v>
      </c>
      <c r="F20" s="212">
        <f>ROUND(data!U60,2)</f>
        <v>6.2</v>
      </c>
      <c r="G20" s="222">
        <f>ROUND(data!U61,0)</f>
        <v>459395</v>
      </c>
      <c r="H20" s="222">
        <f>ROUND(data!U62,0)</f>
        <v>130320</v>
      </c>
      <c r="I20" s="222">
        <f>ROUND(data!U63,0)</f>
        <v>11504</v>
      </c>
      <c r="J20" s="222">
        <f>ROUND(data!U64,0)</f>
        <v>329590</v>
      </c>
      <c r="K20" s="222">
        <f>ROUND(data!U65,0)</f>
        <v>0</v>
      </c>
      <c r="L20" s="222">
        <f>ROUND(data!U66,0)</f>
        <v>482372</v>
      </c>
      <c r="M20" s="66">
        <f>ROUND(data!U67,0)</f>
        <v>25223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3953</v>
      </c>
      <c r="AD20" s="222">
        <f>ROUND(data!U84,0)</f>
        <v>0</v>
      </c>
      <c r="AE20" s="222">
        <f>ROUND(data!U89,0)</f>
        <v>3223891</v>
      </c>
      <c r="AF20" s="222">
        <f>ROUND(data!U87,0)</f>
        <v>440997</v>
      </c>
      <c r="AG20" s="222">
        <f>IF(data!U90&gt;0,ROUND(data!U90,0),0)</f>
        <v>1143</v>
      </c>
      <c r="AH20" s="222">
        <f>IF(data!U91&gt;0,ROUND(data!U91,0),0)</f>
        <v>0</v>
      </c>
      <c r="AI20" s="222">
        <f>IF(data!U92&gt;0,ROUND(data!U92,0),0)</f>
        <v>370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096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096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096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096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8923</v>
      </c>
      <c r="F24" s="212">
        <f>ROUND(data!Y60,2)</f>
        <v>6.11</v>
      </c>
      <c r="G24" s="222">
        <f>ROUND(data!Y61,0)</f>
        <v>506515</v>
      </c>
      <c r="H24" s="222">
        <f>ROUND(data!Y62,0)</f>
        <v>143687</v>
      </c>
      <c r="I24" s="222">
        <f>ROUND(data!Y63,0)</f>
        <v>267868</v>
      </c>
      <c r="J24" s="222">
        <f>ROUND(data!Y64,0)</f>
        <v>86825</v>
      </c>
      <c r="K24" s="222">
        <f>ROUND(data!Y65,0)</f>
        <v>6657</v>
      </c>
      <c r="L24" s="222">
        <f>ROUND(data!Y66,0)</f>
        <v>402115</v>
      </c>
      <c r="M24" s="66">
        <f>ROUND(data!Y67,0)</f>
        <v>107380</v>
      </c>
      <c r="N24" s="222">
        <f>ROUND(data!Y68,0)</f>
        <v>29000</v>
      </c>
      <c r="O24" s="222">
        <f>ROUND(data!Y69,0)</f>
        <v>3244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3244</v>
      </c>
      <c r="AD24" s="222">
        <f>ROUND(data!Y84,0)</f>
        <v>0</v>
      </c>
      <c r="AE24" s="222">
        <f>ROUND(data!Y89,0)</f>
        <v>8388545</v>
      </c>
      <c r="AF24" s="222">
        <f>ROUND(data!Y87,0)</f>
        <v>485605</v>
      </c>
      <c r="AG24" s="222">
        <f>IF(data!Y90&gt;0,ROUND(data!Y90,0),0)</f>
        <v>4866</v>
      </c>
      <c r="AH24" s="222">
        <f>IF(data!Y91&gt;0,ROUND(data!Y91,0),0)</f>
        <v>0</v>
      </c>
      <c r="AI24" s="222">
        <f>IF(data!Y92&gt;0,ROUND(data!Y92,0),0)</f>
        <v>364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096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096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096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2.38</v>
      </c>
      <c r="G27" s="222">
        <f>ROUND(data!AB61,0)</f>
        <v>253291</v>
      </c>
      <c r="H27" s="222">
        <f>ROUND(data!AB62,0)</f>
        <v>71853</v>
      </c>
      <c r="I27" s="222">
        <f>ROUND(data!AB63,0)</f>
        <v>0</v>
      </c>
      <c r="J27" s="222">
        <f>ROUND(data!AB64,0)</f>
        <v>515979</v>
      </c>
      <c r="K27" s="222">
        <f>ROUND(data!AB65,0)</f>
        <v>0</v>
      </c>
      <c r="L27" s="222">
        <f>ROUND(data!AB66,0)</f>
        <v>86550</v>
      </c>
      <c r="M27" s="66">
        <f>ROUND(data!AB67,0)</f>
        <v>12667</v>
      </c>
      <c r="N27" s="222">
        <f>ROUND(data!AB68,0)</f>
        <v>0</v>
      </c>
      <c r="O27" s="222">
        <f>ROUND(data!AB69,0)</f>
        <v>19963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19963</v>
      </c>
      <c r="AD27" s="222">
        <f>ROUND(data!AB84,0)</f>
        <v>0</v>
      </c>
      <c r="AE27" s="222">
        <f>ROUND(data!AB89,0)</f>
        <v>3368572</v>
      </c>
      <c r="AF27" s="222">
        <f>ROUND(data!AB87,0)</f>
        <v>1134014</v>
      </c>
      <c r="AG27" s="222">
        <f>IF(data!AB90&gt;0,ROUND(data!AB90,0),0)</f>
        <v>574</v>
      </c>
      <c r="AH27" s="222">
        <f>IF(data!AB91&gt;0,ROUND(data!AB91,0),0)</f>
        <v>0</v>
      </c>
      <c r="AI27" s="222">
        <f>IF(data!AB92&gt;0,ROUND(data!AB92,0),0)</f>
        <v>60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096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1061</v>
      </c>
      <c r="F28" s="212">
        <f>ROUND(data!AC60,2)</f>
        <v>1.6</v>
      </c>
      <c r="G28" s="222">
        <f>ROUND(data!AC61,0)</f>
        <v>145003</v>
      </c>
      <c r="H28" s="222">
        <f>ROUND(data!AC62,0)</f>
        <v>41134</v>
      </c>
      <c r="I28" s="222">
        <f>ROUND(data!AC63,0)</f>
        <v>-697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7702</v>
      </c>
      <c r="N28" s="222">
        <f>ROUND(data!AC68,0)</f>
        <v>12933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843954</v>
      </c>
      <c r="AF28" s="222">
        <f>ROUND(data!AC87,0)</f>
        <v>217544</v>
      </c>
      <c r="AG28" s="222">
        <f>IF(data!AC90&gt;0,ROUND(data!AC90,0),0)</f>
        <v>349</v>
      </c>
      <c r="AH28" s="222">
        <f>IF(data!AC91&gt;0,ROUND(data!AC91,0),0)</f>
        <v>0</v>
      </c>
      <c r="AI28" s="222">
        <f>IF(data!AC92&gt;0,ROUND(data!AC92,0),0)</f>
        <v>36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096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096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8031</v>
      </c>
      <c r="F30" s="212">
        <f>ROUND(data!AE60,2)</f>
        <v>9.61</v>
      </c>
      <c r="G30" s="222">
        <f>ROUND(data!AE61,0)</f>
        <v>828828</v>
      </c>
      <c r="H30" s="222">
        <f>ROUND(data!AE62,0)</f>
        <v>235120</v>
      </c>
      <c r="I30" s="222">
        <f>ROUND(data!AE63,0)</f>
        <v>0</v>
      </c>
      <c r="J30" s="222">
        <f>ROUND(data!AE64,0)</f>
        <v>12198</v>
      </c>
      <c r="K30" s="222">
        <f>ROUND(data!AE65,0)</f>
        <v>3554</v>
      </c>
      <c r="L30" s="222">
        <f>ROUND(data!AE66,0)</f>
        <v>29917</v>
      </c>
      <c r="M30" s="66">
        <f>ROUND(data!AE67,0)</f>
        <v>71940</v>
      </c>
      <c r="N30" s="222">
        <f>ROUND(data!AE68,0)</f>
        <v>0</v>
      </c>
      <c r="O30" s="222">
        <f>ROUND(data!AE69,0)</f>
        <v>3398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3398</v>
      </c>
      <c r="AD30" s="222">
        <f>ROUND(data!AE84,0)</f>
        <v>0</v>
      </c>
      <c r="AE30" s="222">
        <f>ROUND(data!AE89,0)</f>
        <v>2417069</v>
      </c>
      <c r="AF30" s="222">
        <f>ROUND(data!AE87,0)</f>
        <v>589883</v>
      </c>
      <c r="AG30" s="222">
        <f>IF(data!AE90&gt;0,ROUND(data!AE90,0),0)</f>
        <v>3260</v>
      </c>
      <c r="AH30" s="222">
        <f>IF(data!AE91&gt;0,ROUND(data!AE91,0),0)</f>
        <v>0</v>
      </c>
      <c r="AI30" s="222">
        <f>IF(data!AE92&gt;0,ROUND(data!AE92,0),0)</f>
        <v>518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096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096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4204</v>
      </c>
      <c r="F32" s="212">
        <f>ROUND(data!AG60,2)</f>
        <v>6.12</v>
      </c>
      <c r="G32" s="222">
        <f>ROUND(data!AG61,0)</f>
        <v>551637</v>
      </c>
      <c r="H32" s="222">
        <f>ROUND(data!AG62,0)</f>
        <v>156487</v>
      </c>
      <c r="I32" s="222">
        <f>ROUND(data!AG63,0)</f>
        <v>1299295</v>
      </c>
      <c r="J32" s="222">
        <f>ROUND(data!AG64,0)</f>
        <v>45943</v>
      </c>
      <c r="K32" s="222">
        <f>ROUND(data!AG65,0)</f>
        <v>0</v>
      </c>
      <c r="L32" s="222">
        <f>ROUND(data!AG66,0)</f>
        <v>127373</v>
      </c>
      <c r="M32" s="66">
        <f>ROUND(data!AG67,0)</f>
        <v>0</v>
      </c>
      <c r="N32" s="222">
        <f>ROUND(data!AG68,0)</f>
        <v>0</v>
      </c>
      <c r="O32" s="222">
        <f>ROUND(data!AG69,0)</f>
        <v>4167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4167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096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096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096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4562</v>
      </c>
      <c r="F35" s="212">
        <f>ROUND(data!AJ60,2)</f>
        <v>12.16</v>
      </c>
      <c r="G35" s="222">
        <f>ROUND(data!AJ61,0)</f>
        <v>1053663</v>
      </c>
      <c r="H35" s="222">
        <f>ROUND(data!AJ62,0)</f>
        <v>298901</v>
      </c>
      <c r="I35" s="222">
        <f>ROUND(data!AJ63,0)</f>
        <v>0</v>
      </c>
      <c r="J35" s="222">
        <f>ROUND(data!AJ64,0)</f>
        <v>124054</v>
      </c>
      <c r="K35" s="222">
        <f>ROUND(data!AJ65,0)</f>
        <v>5539</v>
      </c>
      <c r="L35" s="222">
        <f>ROUND(data!AJ66,0)</f>
        <v>14413</v>
      </c>
      <c r="M35" s="66">
        <f>ROUND(data!AJ67,0)</f>
        <v>117994</v>
      </c>
      <c r="N35" s="222">
        <f>ROUND(data!AJ68,0)</f>
        <v>0</v>
      </c>
      <c r="O35" s="222">
        <f>ROUND(data!AJ69,0)</f>
        <v>15682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15682</v>
      </c>
      <c r="AD35" s="222">
        <f>ROUND(data!AJ84,0)</f>
        <v>0</v>
      </c>
      <c r="AE35" s="222">
        <f>ROUND(data!AJ89,0)</f>
        <v>1854748</v>
      </c>
      <c r="AF35" s="222">
        <f>ROUND(data!AJ87,0)</f>
        <v>4720</v>
      </c>
      <c r="AG35" s="222">
        <f>IF(data!AJ90&gt;0,ROUND(data!AJ90,0),0)</f>
        <v>5347</v>
      </c>
      <c r="AH35" s="222">
        <f>IF(data!AJ91&gt;0,ROUND(data!AJ91,0),0)</f>
        <v>0</v>
      </c>
      <c r="AI35" s="222">
        <f>IF(data!AJ92&gt;0,ROUND(data!AJ92,0),0)</f>
        <v>1494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096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096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096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096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096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096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096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096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096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096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096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096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096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096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096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5470</v>
      </c>
      <c r="F50" s="212">
        <f>ROUND(data!AY60,2)</f>
        <v>4.46</v>
      </c>
      <c r="G50" s="222">
        <f>ROUND(data!AY61,0)</f>
        <v>200905</v>
      </c>
      <c r="H50" s="222">
        <f>ROUND(data!AY62,0)</f>
        <v>56992</v>
      </c>
      <c r="I50" s="222">
        <f>ROUND(data!AY63,0)</f>
        <v>0</v>
      </c>
      <c r="J50" s="222">
        <f>ROUND(data!AY64,0)</f>
        <v>131045</v>
      </c>
      <c r="K50" s="222">
        <f>ROUND(data!AY65,0)</f>
        <v>0</v>
      </c>
      <c r="L50" s="222">
        <f>ROUND(data!AY66,0)</f>
        <v>6081</v>
      </c>
      <c r="M50" s="66">
        <f>ROUND(data!AY67,0)</f>
        <v>0</v>
      </c>
      <c r="N50" s="222">
        <f>ROUND(data!AY68,0)</f>
        <v>2610</v>
      </c>
      <c r="O50" s="222">
        <f>ROUND(data!AY69,0)</f>
        <v>39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39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096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096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13465</v>
      </c>
      <c r="K52" s="222">
        <f>ROUND(data!BA65,0)</f>
        <v>0</v>
      </c>
      <c r="L52" s="222">
        <f>ROUND(data!BA66,0)</f>
        <v>2033</v>
      </c>
      <c r="M52" s="66">
        <f>ROUND(data!BA67,0)</f>
        <v>3443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156</v>
      </c>
      <c r="AH52" s="222">
        <f>IFERROR(IF(data!BA$91&gt;0,ROUND(data!BA$91,0),0),0)</f>
        <v>0</v>
      </c>
      <c r="AI52" s="222">
        <f>IFERROR(IF(data!BA$92&gt;0,ROUND(data!BA$92,0),0),0)</f>
        <v>3721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096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096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096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2</v>
      </c>
      <c r="G55" s="222">
        <f>ROUND(data!BD61,0)</f>
        <v>123414</v>
      </c>
      <c r="H55" s="222">
        <f>ROUND(data!BD62,0)</f>
        <v>35010</v>
      </c>
      <c r="I55" s="222">
        <f>ROUND(data!BD63,0)</f>
        <v>0</v>
      </c>
      <c r="J55" s="222">
        <f>ROUND(data!BD64,0)</f>
        <v>803</v>
      </c>
      <c r="K55" s="222">
        <f>ROUND(data!BD65,0)</f>
        <v>0</v>
      </c>
      <c r="L55" s="222">
        <f>ROUND(data!BD66,0)</f>
        <v>0</v>
      </c>
      <c r="M55" s="66">
        <f>ROUND(data!BD67,0)</f>
        <v>35837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1624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096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65736</v>
      </c>
      <c r="F56" s="212">
        <f>ROUND(data!BE60,2)</f>
        <v>3.79</v>
      </c>
      <c r="G56" s="222">
        <f>ROUND(data!BE61,0)</f>
        <v>282510</v>
      </c>
      <c r="H56" s="222">
        <f>ROUND(data!BE62,0)</f>
        <v>80142</v>
      </c>
      <c r="I56" s="222">
        <f>ROUND(data!BE63,0)</f>
        <v>0</v>
      </c>
      <c r="J56" s="222">
        <f>ROUND(data!BE64,0)</f>
        <v>44955</v>
      </c>
      <c r="K56" s="222">
        <f>ROUND(data!BE65,0)</f>
        <v>239854</v>
      </c>
      <c r="L56" s="222">
        <f>ROUND(data!BE66,0)</f>
        <v>97130</v>
      </c>
      <c r="M56" s="66">
        <f>ROUND(data!BE67,0)</f>
        <v>140547</v>
      </c>
      <c r="N56" s="222">
        <f>ROUND(data!BE68,0)</f>
        <v>152</v>
      </c>
      <c r="O56" s="222">
        <f>ROUND(data!BE69,0)</f>
        <v>10479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10479</v>
      </c>
      <c r="AD56" s="222">
        <f>ROUND(data!BE84,0)</f>
        <v>0</v>
      </c>
      <c r="AE56" s="222"/>
      <c r="AF56" s="222"/>
      <c r="AG56" s="222">
        <f>IF(data!BE90&gt;0,ROUND(data!BE90,0),0)</f>
        <v>6369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096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7.42</v>
      </c>
      <c r="G57" s="222">
        <f>ROUND(data!BF61,0)</f>
        <v>292696</v>
      </c>
      <c r="H57" s="222">
        <f>ROUND(data!BF62,0)</f>
        <v>83031</v>
      </c>
      <c r="I57" s="222">
        <f>ROUND(data!BF63,0)</f>
        <v>0</v>
      </c>
      <c r="J57" s="222">
        <f>ROUND(data!BF64,0)</f>
        <v>31217</v>
      </c>
      <c r="K57" s="222">
        <f>ROUND(data!BF65,0)</f>
        <v>0</v>
      </c>
      <c r="L57" s="222">
        <f>ROUND(data!BF66,0)</f>
        <v>1062</v>
      </c>
      <c r="M57" s="66">
        <f>ROUND(data!BF67,0)</f>
        <v>17345</v>
      </c>
      <c r="N57" s="222">
        <f>ROUND(data!BF68,0)</f>
        <v>0</v>
      </c>
      <c r="O57" s="222">
        <f>ROUND(data!BF69,0)</f>
        <v>98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98</v>
      </c>
      <c r="AD57" s="222">
        <f>ROUND(data!BF84,0)</f>
        <v>0</v>
      </c>
      <c r="AE57" s="222"/>
      <c r="AF57" s="222"/>
      <c r="AG57" s="222">
        <f>IF(data!BF90&gt;0,ROUND(data!BF90,0),0)</f>
        <v>786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096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096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4.0999999999999996</v>
      </c>
      <c r="G59" s="222">
        <f>ROUND(data!BH61,0)</f>
        <v>393800</v>
      </c>
      <c r="H59" s="222">
        <f>ROUND(data!BH62,0)</f>
        <v>111713</v>
      </c>
      <c r="I59" s="222">
        <f>ROUND(data!BH63,0)</f>
        <v>0</v>
      </c>
      <c r="J59" s="222">
        <f>ROUND(data!BH64,0)</f>
        <v>41780</v>
      </c>
      <c r="K59" s="222">
        <f>ROUND(data!BH65,0)</f>
        <v>81747</v>
      </c>
      <c r="L59" s="222">
        <f>ROUND(data!BH66,0)</f>
        <v>580648</v>
      </c>
      <c r="M59" s="66">
        <f>ROUND(data!BH67,0)</f>
        <v>0</v>
      </c>
      <c r="N59" s="222">
        <f>ROUND(data!BH68,0)</f>
        <v>0</v>
      </c>
      <c r="O59" s="222">
        <f>ROUND(data!BH69,0)</f>
        <v>1488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1488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096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096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2.62</v>
      </c>
      <c r="G61" s="222">
        <f>ROUND(data!BJ61,0)</f>
        <v>289826</v>
      </c>
      <c r="H61" s="222">
        <f>ROUND(data!BJ62,0)</f>
        <v>82217</v>
      </c>
      <c r="I61" s="222">
        <f>ROUND(data!BJ63,0)</f>
        <v>0</v>
      </c>
      <c r="J61" s="222">
        <f>ROUND(data!BJ64,0)</f>
        <v>470</v>
      </c>
      <c r="K61" s="222">
        <f>ROUND(data!BJ65,0)</f>
        <v>0</v>
      </c>
      <c r="L61" s="222">
        <f>ROUND(data!BJ66,0)</f>
        <v>175933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096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5.96</v>
      </c>
      <c r="G62" s="222">
        <f>ROUND(data!BK61,0)</f>
        <v>258250</v>
      </c>
      <c r="H62" s="222">
        <f>ROUND(data!BK62,0)</f>
        <v>73260</v>
      </c>
      <c r="I62" s="222">
        <f>ROUND(data!BK63,0)</f>
        <v>0</v>
      </c>
      <c r="J62" s="222">
        <f>ROUND(data!BK64,0)</f>
        <v>13064</v>
      </c>
      <c r="K62" s="222">
        <f>ROUND(data!BK65,0)</f>
        <v>0</v>
      </c>
      <c r="L62" s="222">
        <f>ROUND(data!BK66,0)</f>
        <v>58659</v>
      </c>
      <c r="M62" s="66">
        <f>ROUND(data!BK67,0)</f>
        <v>0</v>
      </c>
      <c r="N62" s="222">
        <f>ROUND(data!BK68,0)</f>
        <v>3372</v>
      </c>
      <c r="O62" s="222">
        <f>ROUND(data!BK69,0)</f>
        <v>236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236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096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096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096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1.07</v>
      </c>
      <c r="G65" s="222">
        <f>ROUND(data!BN61,0)</f>
        <v>227108</v>
      </c>
      <c r="H65" s="222">
        <f>ROUND(data!BN62,0)</f>
        <v>64426</v>
      </c>
      <c r="I65" s="222">
        <f>ROUND(data!BN63,0)</f>
        <v>0</v>
      </c>
      <c r="J65" s="222">
        <f>ROUND(data!BN64,0)</f>
        <v>2622</v>
      </c>
      <c r="K65" s="222">
        <f>ROUND(data!BN65,0)</f>
        <v>960</v>
      </c>
      <c r="L65" s="222">
        <f>ROUND(data!BN66,0)</f>
        <v>66595</v>
      </c>
      <c r="M65" s="66">
        <f>ROUND(data!BN67,0)</f>
        <v>441238</v>
      </c>
      <c r="N65" s="222">
        <f>ROUND(data!BN68,0)</f>
        <v>1490</v>
      </c>
      <c r="O65" s="222">
        <f>ROUND(data!BN69,0)</f>
        <v>93122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93122</v>
      </c>
      <c r="AD65" s="222">
        <f>ROUND(data!BN84,0)</f>
        <v>0</v>
      </c>
      <c r="AE65" s="222"/>
      <c r="AF65" s="222"/>
      <c r="AG65" s="222">
        <f>IF(data!BN90&gt;0,ROUND(data!BN90,0),0)</f>
        <v>19995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096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096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0.98</v>
      </c>
      <c r="G67" s="222">
        <f>ROUND(data!BP61,0)</f>
        <v>89000</v>
      </c>
      <c r="H67" s="222">
        <f>ROUND(data!BP62,0)</f>
        <v>25247</v>
      </c>
      <c r="I67" s="222">
        <f>ROUND(data!BP63,0)</f>
        <v>0</v>
      </c>
      <c r="J67" s="222">
        <f>ROUND(data!BP64,0)</f>
        <v>8389</v>
      </c>
      <c r="K67" s="222">
        <f>ROUND(data!BP65,0)</f>
        <v>0</v>
      </c>
      <c r="L67" s="222">
        <f>ROUND(data!BP66,0)</f>
        <v>120189</v>
      </c>
      <c r="M67" s="66">
        <f>ROUND(data!BP67,0)</f>
        <v>0</v>
      </c>
      <c r="N67" s="222">
        <f>ROUND(data!BP68,0)</f>
        <v>0</v>
      </c>
      <c r="O67" s="222">
        <f>ROUND(data!BP69,0)</f>
        <v>177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177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096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096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1.57</v>
      </c>
      <c r="G69" s="222">
        <f>ROUND(data!BR61,0)</f>
        <v>145096</v>
      </c>
      <c r="H69" s="222">
        <f>ROUND(data!BR62,0)</f>
        <v>41161</v>
      </c>
      <c r="I69" s="222">
        <f>ROUND(data!BR63,0)</f>
        <v>0</v>
      </c>
      <c r="J69" s="222">
        <f>ROUND(data!BR64,0)</f>
        <v>1458</v>
      </c>
      <c r="K69" s="222">
        <f>ROUND(data!BR65,0)</f>
        <v>0</v>
      </c>
      <c r="L69" s="222">
        <f>ROUND(data!BR66,0)</f>
        <v>18840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096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096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096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096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1.97</v>
      </c>
      <c r="G73" s="222">
        <f>ROUND(data!BV61,0)</f>
        <v>80780</v>
      </c>
      <c r="H73" s="222">
        <f>ROUND(data!BV62,0)</f>
        <v>22916</v>
      </c>
      <c r="I73" s="222">
        <f>ROUND(data!BV63,0)</f>
        <v>0</v>
      </c>
      <c r="J73" s="222">
        <f>ROUND(data!BV64,0)</f>
        <v>4076</v>
      </c>
      <c r="K73" s="222">
        <f>ROUND(data!BV65,0)</f>
        <v>0</v>
      </c>
      <c r="L73" s="222">
        <f>ROUND(data!BV66,0)</f>
        <v>235205</v>
      </c>
      <c r="M73" s="66">
        <f>ROUND(data!BV67,0)</f>
        <v>22465</v>
      </c>
      <c r="N73" s="222">
        <f>ROUND(data!BV68,0)</f>
        <v>4013</v>
      </c>
      <c r="O73" s="222">
        <f>ROUND(data!BV69,0)</f>
        <v>1578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1578</v>
      </c>
      <c r="AD73" s="222">
        <f>ROUND(data!BV84,0)</f>
        <v>0</v>
      </c>
      <c r="AE73" s="222"/>
      <c r="AF73" s="222"/>
      <c r="AG73" s="222">
        <f>IF(data!BV90&gt;0,ROUND(data!BV90,0),0)</f>
        <v>1018</v>
      </c>
      <c r="AH73" s="222">
        <f>IF(data!BV91&gt;0,ROUND(data!BV91,0),0)</f>
        <v>0</v>
      </c>
      <c r="AI73" s="222">
        <f>IF(data!BV92&gt;0,ROUND(data!BV92,0),0)</f>
        <v>22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096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096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1.23</v>
      </c>
      <c r="G75" s="222">
        <f>ROUND(data!BX61,0)</f>
        <v>122949</v>
      </c>
      <c r="H75" s="222">
        <f>ROUND(data!BX62,0)</f>
        <v>34878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7519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7519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096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2.86</v>
      </c>
      <c r="G76" s="222">
        <f>ROUND(data!BY61,0)</f>
        <v>380918</v>
      </c>
      <c r="H76" s="222">
        <f>ROUND(data!BY62,0)</f>
        <v>108058</v>
      </c>
      <c r="I76" s="222">
        <f>ROUND(data!BY63,0)</f>
        <v>0</v>
      </c>
      <c r="J76" s="222">
        <f>ROUND(data!BY64,0)</f>
        <v>3388</v>
      </c>
      <c r="K76" s="222">
        <f>ROUND(data!BY65,0)</f>
        <v>1920</v>
      </c>
      <c r="L76" s="222">
        <f>ROUND(data!BY66,0)</f>
        <v>719</v>
      </c>
      <c r="M76" s="66">
        <f>ROUND(data!BY67,0)</f>
        <v>0</v>
      </c>
      <c r="N76" s="222">
        <f>ROUND(data!BY68,0)</f>
        <v>0</v>
      </c>
      <c r="O76" s="222">
        <f>ROUND(data!BY69,0)</f>
        <v>999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999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096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096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0.12</v>
      </c>
      <c r="G78" s="222">
        <f>ROUND(data!CA61,0)</f>
        <v>12672</v>
      </c>
      <c r="H78" s="222">
        <f>ROUND(data!CA62,0)</f>
        <v>3595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096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1</v>
      </c>
      <c r="G79" s="222">
        <f>ROUND(data!CB61,0)</f>
        <v>63306</v>
      </c>
      <c r="H79" s="222">
        <f>ROUND(data!CB62,0)</f>
        <v>17959</v>
      </c>
      <c r="I79" s="222">
        <f>ROUND(data!CB63,0)</f>
        <v>0</v>
      </c>
      <c r="J79" s="222">
        <f>ROUND(data!CB64,0)</f>
        <v>2724</v>
      </c>
      <c r="K79" s="222">
        <f>ROUND(data!CB65,0)</f>
        <v>0</v>
      </c>
      <c r="L79" s="222">
        <f>ROUND(data!CB66,0)</f>
        <v>139</v>
      </c>
      <c r="M79" s="66">
        <f>ROUND(data!CB67,0)</f>
        <v>0</v>
      </c>
      <c r="N79" s="222">
        <f>ROUND(data!CB68,0)</f>
        <v>0</v>
      </c>
      <c r="O79" s="222">
        <f>ROUND(data!CB69,0)</f>
        <v>1280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1280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096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1.85</v>
      </c>
      <c r="G80" s="222">
        <f>ROUND(data!CC61,0)</f>
        <v>165791</v>
      </c>
      <c r="H80" s="222">
        <f>ROUND(data!CC62,0)</f>
        <v>47031</v>
      </c>
      <c r="I80" s="222">
        <f>ROUND(data!CC63,0)</f>
        <v>0</v>
      </c>
      <c r="J80" s="222">
        <f>ROUND(data!CC64,0)</f>
        <v>-24135</v>
      </c>
      <c r="K80" s="222">
        <f>ROUND(data!CC65,0)</f>
        <v>0</v>
      </c>
      <c r="L80" s="222">
        <f>ROUND(data!CC66,0)</f>
        <v>22959</v>
      </c>
      <c r="M80" s="66">
        <f>ROUND(data!CC67,0)</f>
        <v>0</v>
      </c>
      <c r="N80" s="222">
        <f>ROUND(data!CC68,0)</f>
        <v>0</v>
      </c>
      <c r="O80" s="222">
        <f>ROUND(data!CC69,0)</f>
        <v>285661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285661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25" workbookViewId="0">
      <selection activeCell="B1" sqref="B1:J42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Skyline Health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H-096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PO Box 99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White Salmon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 t="s">
        <v>1377</v>
      </c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 t="s">
        <v>1378</v>
      </c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G22" sqref="G2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0.58203125" style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096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3243356</v>
      </c>
      <c r="C17" s="275">
        <f>data!E85</f>
        <v>4174237</v>
      </c>
      <c r="D17" s="275">
        <f>'Prior Year'!E60</f>
        <v>568</v>
      </c>
      <c r="E17" s="1">
        <f>data!E59</f>
        <v>709</v>
      </c>
      <c r="F17" s="238">
        <f t="shared" si="0"/>
        <v>5710.1338028169012</v>
      </c>
      <c r="G17" s="238">
        <f t="shared" si="1"/>
        <v>5887.4992947813826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44424</v>
      </c>
      <c r="C24" s="275">
        <f>data!L85</f>
        <v>48617</v>
      </c>
      <c r="D24" s="275">
        <f>'Prior Year'!L60</f>
        <v>1168</v>
      </c>
      <c r="E24" s="1">
        <f>data!L59</f>
        <v>1003</v>
      </c>
      <c r="F24" s="238">
        <f t="shared" si="0"/>
        <v>38.034246575342465</v>
      </c>
      <c r="G24" s="238">
        <f t="shared" si="1"/>
        <v>48.471585244267196</v>
      </c>
      <c r="H24" s="6">
        <f t="shared" si="2"/>
        <v>0.27441949318620762</v>
      </c>
      <c r="I24" s="275" t="s">
        <v>1386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784723</v>
      </c>
      <c r="C28" s="275">
        <f>data!P85</f>
        <v>1161843</v>
      </c>
      <c r="D28" s="275">
        <f>'Prior Year'!P60</f>
        <v>419</v>
      </c>
      <c r="E28" s="1">
        <f>data!P59</f>
        <v>619</v>
      </c>
      <c r="F28" s="238">
        <f t="shared" si="0"/>
        <v>1872.8472553699285</v>
      </c>
      <c r="G28" s="238">
        <f t="shared" si="1"/>
        <v>1876.967689822294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394417</v>
      </c>
      <c r="C30" s="275">
        <f>data!R85</f>
        <v>397381</v>
      </c>
      <c r="D30" s="275">
        <f>'Prior Year'!R60</f>
        <v>16780</v>
      </c>
      <c r="E30" s="1">
        <f>data!R59</f>
        <v>0</v>
      </c>
      <c r="F30" s="238">
        <f t="shared" si="0"/>
        <v>23.50518474374255</v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162560</v>
      </c>
      <c r="C31" s="275">
        <f>data!S85</f>
        <v>293546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1388479</v>
      </c>
      <c r="C33" s="275">
        <f>data!U85</f>
        <v>1438404</v>
      </c>
      <c r="D33" s="275">
        <f>'Prior Year'!U60</f>
        <v>27226</v>
      </c>
      <c r="E33" s="1">
        <f>data!U59</f>
        <v>31024</v>
      </c>
      <c r="F33" s="238">
        <f t="shared" si="0"/>
        <v>50.998273708954677</v>
      </c>
      <c r="G33" s="238">
        <f t="shared" ref="G33:G69" si="5">IF(C33=0,"",IF(E33=0,"",C33/E33))</f>
        <v>46.36423414130995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1537352</v>
      </c>
      <c r="C37" s="275">
        <f>data!Y85</f>
        <v>1553291</v>
      </c>
      <c r="D37" s="275">
        <f>'Prior Year'!Y60</f>
        <v>8335</v>
      </c>
      <c r="E37" s="1">
        <f>data!Y59</f>
        <v>8923</v>
      </c>
      <c r="F37" s="238">
        <f t="shared" si="0"/>
        <v>184.44535092981403</v>
      </c>
      <c r="G37" s="238">
        <f t="shared" si="5"/>
        <v>174.07721618289813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896353</v>
      </c>
      <c r="C40" s="275">
        <f>data!AB85</f>
        <v>960303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185879</v>
      </c>
      <c r="C41" s="275">
        <f>data!AC85</f>
        <v>206075</v>
      </c>
      <c r="D41" s="275">
        <f>'Prior Year'!AC60</f>
        <v>933</v>
      </c>
      <c r="E41" s="1">
        <f>data!AC59</f>
        <v>1061</v>
      </c>
      <c r="F41" s="238">
        <f t="shared" si="0"/>
        <v>199.2272240085745</v>
      </c>
      <c r="G41" s="238">
        <f t="shared" si="5"/>
        <v>194.22714420358153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1129504</v>
      </c>
      <c r="C43" s="275">
        <f>data!AE85</f>
        <v>1184955</v>
      </c>
      <c r="D43" s="275">
        <f>'Prior Year'!AE60</f>
        <v>7805</v>
      </c>
      <c r="E43" s="1">
        <f>data!AE59</f>
        <v>8031</v>
      </c>
      <c r="F43" s="238">
        <f t="shared" si="0"/>
        <v>144.71543882126841</v>
      </c>
      <c r="G43" s="238">
        <f t="shared" si="5"/>
        <v>147.54762794172581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2153870</v>
      </c>
      <c r="C45" s="275">
        <f>data!AG85</f>
        <v>2184902</v>
      </c>
      <c r="D45" s="275">
        <f>'Prior Year'!AG60</f>
        <v>3453</v>
      </c>
      <c r="E45" s="1">
        <f>data!AG59</f>
        <v>4204</v>
      </c>
      <c r="F45" s="238">
        <f t="shared" si="0"/>
        <v>623.76773819866787</v>
      </c>
      <c r="G45" s="238">
        <f t="shared" si="5"/>
        <v>519.71979067554707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1547140</v>
      </c>
      <c r="C48" s="275">
        <f>data!AJ85</f>
        <v>1630246</v>
      </c>
      <c r="D48" s="275">
        <f>'Prior Year'!AJ60</f>
        <v>4051</v>
      </c>
      <c r="E48" s="1">
        <f>data!AJ59</f>
        <v>4562</v>
      </c>
      <c r="F48" s="238">
        <f t="shared" si="0"/>
        <v>381.91557640088865</v>
      </c>
      <c r="G48" s="238">
        <f t="shared" si="5"/>
        <v>357.3533537921964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418253</v>
      </c>
      <c r="C63" s="275">
        <f>data!AY85</f>
        <v>397672</v>
      </c>
      <c r="D63" s="275">
        <f>'Prior Year'!AY60</f>
        <v>5485</v>
      </c>
      <c r="E63" s="1">
        <f>data!AY59</f>
        <v>5470</v>
      </c>
      <c r="F63" s="238">
        <f>IF(B63=0,"",IF(D63=0,"",B63/D63))</f>
        <v>76.253965360072925</v>
      </c>
      <c r="G63" s="238">
        <f t="shared" si="5"/>
        <v>72.700548446069476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10161</v>
      </c>
      <c r="C65" s="275">
        <f>data!BA85</f>
        <v>18941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153214</v>
      </c>
      <c r="C68" s="275">
        <f>data!BD85</f>
        <v>195064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818683</v>
      </c>
      <c r="C69" s="275">
        <f>data!BE85</f>
        <v>895769</v>
      </c>
      <c r="D69" s="275">
        <f>'Prior Year'!BE60</f>
        <v>65736</v>
      </c>
      <c r="E69" s="1">
        <f>data!BE59</f>
        <v>65736</v>
      </c>
      <c r="F69" s="238">
        <f>IF(B69=0,"",IF(D69=0,"",B69/D69))</f>
        <v>12.454104295971765</v>
      </c>
      <c r="G69" s="238">
        <f t="shared" si="5"/>
        <v>13.626764634294755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318855</v>
      </c>
      <c r="C70" s="275">
        <f>data!BF85</f>
        <v>425449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1141310</v>
      </c>
      <c r="C72" s="275">
        <f>data!BH85</f>
        <v>1211176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472011</v>
      </c>
      <c r="C74" s="275">
        <f>data!BJ85</f>
        <v>548446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355542</v>
      </c>
      <c r="C75" s="275">
        <f>data!BK85</f>
        <v>406841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0</v>
      </c>
      <c r="C76" s="275">
        <f>data!BL85</f>
        <v>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732957</v>
      </c>
      <c r="C78" s="275">
        <f>data!BN85</f>
        <v>897561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227825</v>
      </c>
      <c r="C80" s="275">
        <f>data!BP85</f>
        <v>243002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236074</v>
      </c>
      <c r="C82" s="275">
        <f>data!BR85</f>
        <v>206555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257412</v>
      </c>
      <c r="C86" s="275">
        <f>data!BV85</f>
        <v>371033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161323</v>
      </c>
      <c r="C88" s="275">
        <f>data!BX85</f>
        <v>165346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520874</v>
      </c>
      <c r="C89" s="275">
        <f>data!BY85</f>
        <v>496002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16263</v>
      </c>
      <c r="C91" s="275">
        <f>data!CA85</f>
        <v>16267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75791</v>
      </c>
      <c r="C92" s="275">
        <f>data!CB85</f>
        <v>85408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247266</v>
      </c>
      <c r="C93" s="275">
        <f>data!CC85</f>
        <v>497307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1225586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0" tint="-0.249977111117893"/>
  </sheetPr>
  <dimension ref="A1:D35"/>
  <sheetViews>
    <sheetView topLeftCell="A28" workbookViewId="0">
      <selection activeCell="F20" sqref="F20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1347</v>
      </c>
    </row>
    <row r="3" spans="1:4" x14ac:dyDescent="0.35">
      <c r="A3" s="11" t="s">
        <v>789</v>
      </c>
    </row>
    <row r="4" spans="1:4" x14ac:dyDescent="0.35">
      <c r="A4" s="330" t="s">
        <v>1345</v>
      </c>
    </row>
    <row r="5" spans="1:4" x14ac:dyDescent="0.35">
      <c r="A5" s="331" t="s">
        <v>1343</v>
      </c>
    </row>
    <row r="6" spans="1:4" x14ac:dyDescent="0.35">
      <c r="A6" s="329"/>
    </row>
    <row r="7" spans="1:4" x14ac:dyDescent="0.35">
      <c r="A7" s="330" t="s">
        <v>1346</v>
      </c>
    </row>
    <row r="8" spans="1:4" x14ac:dyDescent="0.35">
      <c r="A8" s="331" t="s">
        <v>1344</v>
      </c>
    </row>
    <row r="11" spans="1:4" x14ac:dyDescent="0.35">
      <c r="A11" s="13" t="s">
        <v>790</v>
      </c>
      <c r="D11" s="276">
        <f>data!C380</f>
        <v>0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355474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1380</v>
      </c>
      <c r="D29" s="15">
        <f>5056+22871+0</f>
        <v>27927</v>
      </c>
    </row>
    <row r="30" spans="1:4" x14ac:dyDescent="0.35">
      <c r="A30" s="12" t="s">
        <v>1381</v>
      </c>
      <c r="D30" s="15">
        <f>102108+2040+69985</f>
        <v>174133</v>
      </c>
    </row>
    <row r="31" spans="1:4" x14ac:dyDescent="0.35">
      <c r="A31" s="12" t="s">
        <v>1382</v>
      </c>
      <c r="D31" s="15">
        <v>8979</v>
      </c>
    </row>
    <row r="32" spans="1:4" x14ac:dyDescent="0.35">
      <c r="A32" s="12" t="s">
        <v>1383</v>
      </c>
      <c r="D32" s="15">
        <v>93729</v>
      </c>
    </row>
    <row r="33" spans="1:4" x14ac:dyDescent="0.35">
      <c r="A33" s="12" t="s">
        <v>1384</v>
      </c>
      <c r="D33" s="15">
        <f>1225+8473</f>
        <v>9698</v>
      </c>
    </row>
    <row r="34" spans="1:4" x14ac:dyDescent="0.35">
      <c r="A34" s="12" t="s">
        <v>1385</v>
      </c>
      <c r="D34" s="15">
        <f>40814+192+2</f>
        <v>41008</v>
      </c>
    </row>
    <row r="35" spans="1:4" x14ac:dyDescent="0.35"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5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796</v>
      </c>
    </row>
    <row r="2" spans="1:7" ht="20.149999999999999" customHeight="1" x14ac:dyDescent="0.35">
      <c r="A2" s="76" t="s">
        <v>797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H-96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Skyline Health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98672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798</v>
      </c>
      <c r="C7" s="81"/>
      <c r="D7" s="78" t="str">
        <f>"  "&amp;data!C103</f>
        <v xml:space="preserve">  Klickitat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799</v>
      </c>
      <c r="C8" s="81"/>
      <c r="D8" s="78" t="str">
        <f>"  "&amp;data!C104</f>
        <v xml:space="preserve">  Robb Kimmes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800</v>
      </c>
      <c r="C9" s="81"/>
      <c r="D9" s="78" t="str">
        <f>"  "&amp;data!C105</f>
        <v xml:space="preserve">  Brenda Schneider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801</v>
      </c>
      <c r="C10" s="81"/>
      <c r="D10" s="78" t="str">
        <f>"  "&amp;data!C107</f>
        <v xml:space="preserve">  509-493-1101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802</v>
      </c>
      <c r="C11" s="81"/>
      <c r="D11" s="78" t="str">
        <f>"  "&amp;data!C108</f>
        <v xml:space="preserve">  509-493-4607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805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808</v>
      </c>
      <c r="C23" s="78"/>
      <c r="D23" s="78"/>
      <c r="E23" s="78"/>
      <c r="F23" s="77">
        <f>data!C127</f>
        <v>183</v>
      </c>
      <c r="G23" s="81">
        <f>data!D127</f>
        <v>709</v>
      </c>
    </row>
    <row r="24" spans="1:7" ht="20.149999999999999" customHeight="1" x14ac:dyDescent="0.35">
      <c r="A24" s="77"/>
      <c r="B24" s="78" t="s">
        <v>809</v>
      </c>
      <c r="C24" s="78"/>
      <c r="D24" s="78"/>
      <c r="E24" s="78"/>
      <c r="F24" s="77">
        <f>data!C128</f>
        <v>65</v>
      </c>
      <c r="G24" s="81">
        <f>data!D128</f>
        <v>1003</v>
      </c>
    </row>
    <row r="25" spans="1:7" ht="20.149999999999999" customHeight="1" x14ac:dyDescent="0.3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2</v>
      </c>
      <c r="E30" s="78" t="s">
        <v>321</v>
      </c>
      <c r="F30" s="81"/>
      <c r="G30" s="81">
        <f>data!C139</f>
        <v>6</v>
      </c>
    </row>
    <row r="31" spans="1:7" ht="20.149999999999999" customHeight="1" x14ac:dyDescent="0.3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813</v>
      </c>
      <c r="C32" s="81"/>
      <c r="D32" s="81">
        <f>data!C134</f>
        <v>17</v>
      </c>
      <c r="E32" s="78" t="s">
        <v>814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25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820</v>
      </c>
      <c r="C40" s="105" t="s">
        <v>284</v>
      </c>
      <c r="D40" s="86">
        <f>data!C147</f>
        <v>1116694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821</v>
      </c>
      <c r="G1" s="75" t="s">
        <v>822</v>
      </c>
    </row>
    <row r="2" spans="1:7" ht="20.149999999999999" customHeight="1" x14ac:dyDescent="0.35">
      <c r="A2" s="1" t="str">
        <f>"Hospital: "&amp;data!C98</f>
        <v>Hospital: Skyline Health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824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108</v>
      </c>
      <c r="C7" s="141">
        <f>data!B155</f>
        <v>389</v>
      </c>
      <c r="D7" s="141">
        <f>data!B156</f>
        <v>7387</v>
      </c>
      <c r="E7" s="141">
        <f>data!B157</f>
        <v>2484711</v>
      </c>
      <c r="F7" s="141">
        <f>data!B158</f>
        <v>10245458</v>
      </c>
      <c r="G7" s="141">
        <f>data!B157+data!B158</f>
        <v>12730169</v>
      </c>
    </row>
    <row r="8" spans="1:7" ht="20.149999999999999" customHeight="1" x14ac:dyDescent="0.35">
      <c r="A8" s="77" t="s">
        <v>331</v>
      </c>
      <c r="B8" s="141">
        <f>data!C154</f>
        <v>35</v>
      </c>
      <c r="C8" s="141">
        <f>data!C155</f>
        <v>157</v>
      </c>
      <c r="D8" s="141">
        <f>data!C156</f>
        <v>5451</v>
      </c>
      <c r="E8" s="141">
        <f>data!C157</f>
        <v>1067218</v>
      </c>
      <c r="F8" s="141">
        <f>data!C158</f>
        <v>6919032</v>
      </c>
      <c r="G8" s="141">
        <f>data!C157+data!C158</f>
        <v>7986250</v>
      </c>
    </row>
    <row r="9" spans="1:7" ht="20.149999999999999" customHeight="1" x14ac:dyDescent="0.35">
      <c r="A9" s="77" t="s">
        <v>828</v>
      </c>
      <c r="B9" s="141">
        <f>data!D154</f>
        <v>40</v>
      </c>
      <c r="C9" s="141">
        <f>data!D155</f>
        <v>153</v>
      </c>
      <c r="D9" s="141">
        <f>data!D156</f>
        <v>9223</v>
      </c>
      <c r="E9" s="141">
        <f>data!D157</f>
        <v>783454</v>
      </c>
      <c r="F9" s="141">
        <f>data!D158</f>
        <v>10701374</v>
      </c>
      <c r="G9" s="141">
        <f>data!D157+data!D158</f>
        <v>11484828</v>
      </c>
    </row>
    <row r="10" spans="1:7" ht="20.149999999999999" customHeight="1" x14ac:dyDescent="0.35">
      <c r="A10" s="92" t="s">
        <v>215</v>
      </c>
      <c r="B10" s="141">
        <f>data!E154</f>
        <v>183</v>
      </c>
      <c r="C10" s="141">
        <f>data!E155</f>
        <v>699</v>
      </c>
      <c r="D10" s="141">
        <f>data!E156</f>
        <v>22061</v>
      </c>
      <c r="E10" s="141">
        <f>data!E157</f>
        <v>4335383</v>
      </c>
      <c r="F10" s="141">
        <f>data!E158</f>
        <v>27865864</v>
      </c>
      <c r="G10" s="141">
        <f>E10+F10</f>
        <v>32201247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829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52</v>
      </c>
      <c r="C16" s="141">
        <f>data!B161</f>
        <v>800</v>
      </c>
      <c r="D16" s="141">
        <f>data!B162</f>
        <v>0</v>
      </c>
      <c r="E16" s="141">
        <f>data!B163</f>
        <v>3165468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828</v>
      </c>
      <c r="B18" s="141">
        <f>data!D160</f>
        <v>13</v>
      </c>
      <c r="C18" s="141">
        <f>data!D161</f>
        <v>230</v>
      </c>
      <c r="D18" s="141">
        <f>data!D162</f>
        <v>0</v>
      </c>
      <c r="E18" s="141">
        <f>data!D163</f>
        <v>307593</v>
      </c>
      <c r="F18" s="141">
        <f>data!D164</f>
        <v>0</v>
      </c>
      <c r="G18" s="141">
        <f>data!D163+data!D164</f>
        <v>307593</v>
      </c>
    </row>
    <row r="19" spans="1:7" ht="20.149999999999999" customHeight="1" x14ac:dyDescent="0.35">
      <c r="A19" s="92" t="s">
        <v>215</v>
      </c>
      <c r="B19" s="141">
        <f>data!E160</f>
        <v>65</v>
      </c>
      <c r="C19" s="141">
        <f>data!E161</f>
        <v>1030</v>
      </c>
      <c r="D19" s="141">
        <f>data!E162</f>
        <v>0</v>
      </c>
      <c r="E19" s="141">
        <f>data!E163</f>
        <v>3473061</v>
      </c>
      <c r="F19" s="141">
        <f>data!E164</f>
        <v>0</v>
      </c>
      <c r="G19" s="141">
        <f>data!E163+data!E164</f>
        <v>3473061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830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831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832</v>
      </c>
      <c r="C32" s="153">
        <f>data!B173</f>
        <v>4927864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833</v>
      </c>
      <c r="C33" s="149">
        <f>data!C173</f>
        <v>3327886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834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Skyline Health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835</v>
      </c>
      <c r="C6" s="77">
        <f>data!C181</f>
        <v>691065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19529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124077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1404786.5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7822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210153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240041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836</v>
      </c>
      <c r="C14" s="77">
        <f>data!D189</f>
        <v>2697473.5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837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838</v>
      </c>
      <c r="C19" s="77">
        <f>data!C192</f>
        <v>61370</v>
      </c>
    </row>
    <row r="20" spans="1:3" ht="20.149999999999999" customHeight="1" x14ac:dyDescent="0.35">
      <c r="A20" s="77">
        <v>14</v>
      </c>
      <c r="B20" s="78" t="s">
        <v>839</v>
      </c>
      <c r="C20" s="77">
        <f>data!D193</f>
        <v>61370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840</v>
      </c>
      <c r="C24" s="162"/>
    </row>
    <row r="25" spans="1:3" ht="20.149999999999999" customHeight="1" x14ac:dyDescent="0.35">
      <c r="A25" s="77">
        <v>17</v>
      </c>
      <c r="B25" s="78" t="s">
        <v>841</v>
      </c>
      <c r="C25" s="77">
        <f>data!C195</f>
        <v>88088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122211</v>
      </c>
    </row>
    <row r="27" spans="1:3" ht="20.149999999999999" customHeight="1" x14ac:dyDescent="0.35">
      <c r="A27" s="77">
        <v>19</v>
      </c>
      <c r="B27" s="78" t="s">
        <v>842</v>
      </c>
      <c r="C27" s="77">
        <f>data!D197</f>
        <v>210299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843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7388</v>
      </c>
    </row>
    <row r="32" spans="1:3" ht="20.149999999999999" customHeight="1" x14ac:dyDescent="0.35">
      <c r="A32" s="77">
        <v>22</v>
      </c>
      <c r="B32" s="78" t="s">
        <v>844</v>
      </c>
      <c r="C32" s="77">
        <f>data!C200</f>
        <v>81084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845</v>
      </c>
      <c r="C34" s="77">
        <f>data!D202</f>
        <v>88472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846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1002354</v>
      </c>
    </row>
    <row r="40" spans="1:3" ht="20.149999999999999" customHeight="1" x14ac:dyDescent="0.35">
      <c r="A40" s="77">
        <v>28</v>
      </c>
      <c r="B40" s="78" t="s">
        <v>847</v>
      </c>
      <c r="C40" s="77">
        <f>data!D206</f>
        <v>1002354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4" workbookViewId="0">
      <selection activeCell="C11" sqref="C11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848</v>
      </c>
    </row>
    <row r="3" spans="1:6" ht="20.149999999999999" customHeight="1" x14ac:dyDescent="0.35">
      <c r="A3" s="134" t="str">
        <f>"Hospital: "&amp;data!C98</f>
        <v>Hospital: Skyline Health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849</v>
      </c>
      <c r="D5" s="165"/>
      <c r="E5" s="165"/>
      <c r="F5" s="165" t="s">
        <v>850</v>
      </c>
    </row>
    <row r="6" spans="1:6" ht="20.149999999999999" customHeight="1" x14ac:dyDescent="0.3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474331</v>
      </c>
      <c r="D7" s="81">
        <f>data!C211</f>
        <v>0</v>
      </c>
      <c r="E7" s="81">
        <f>data!D211</f>
        <v>0</v>
      </c>
      <c r="F7" s="81">
        <f>data!E211</f>
        <v>474331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199862</v>
      </c>
      <c r="D8" s="81">
        <f>data!C212</f>
        <v>0</v>
      </c>
      <c r="E8" s="81">
        <f>data!D212</f>
        <v>0</v>
      </c>
      <c r="F8" s="81">
        <f>data!E212</f>
        <v>199862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25808201</v>
      </c>
      <c r="D9" s="81">
        <f>data!C213</f>
        <v>375553</v>
      </c>
      <c r="E9" s="81">
        <f>data!D213</f>
        <v>0</v>
      </c>
      <c r="F9" s="81">
        <f>data!E213</f>
        <v>26183754</v>
      </c>
    </row>
    <row r="10" spans="1:6" ht="20.149999999999999" customHeight="1" x14ac:dyDescent="0.35">
      <c r="A10" s="77">
        <v>4</v>
      </c>
      <c r="B10" s="81" t="s">
        <v>853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854</v>
      </c>
      <c r="C11" s="81">
        <f>data!B215</f>
        <v>343342</v>
      </c>
      <c r="D11" s="81">
        <f>data!C215</f>
        <v>194237</v>
      </c>
      <c r="E11" s="81">
        <f>data!D215</f>
        <v>0</v>
      </c>
      <c r="F11" s="81">
        <f>data!E215</f>
        <v>537579</v>
      </c>
    </row>
    <row r="12" spans="1:6" ht="20.149999999999999" customHeight="1" x14ac:dyDescent="0.35">
      <c r="A12" s="77">
        <v>6</v>
      </c>
      <c r="B12" s="81" t="s">
        <v>855</v>
      </c>
      <c r="C12" s="81">
        <f>data!B216</f>
        <v>6239173</v>
      </c>
      <c r="D12" s="81">
        <f>data!C216</f>
        <v>472406</v>
      </c>
      <c r="E12" s="81">
        <f>data!D216</f>
        <v>95170</v>
      </c>
      <c r="F12" s="81">
        <f>data!E216</f>
        <v>6616409</v>
      </c>
    </row>
    <row r="13" spans="1:6" ht="20.149999999999999" customHeight="1" x14ac:dyDescent="0.3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857</v>
      </c>
      <c r="C15" s="81">
        <f>data!B219</f>
        <v>1004255</v>
      </c>
      <c r="D15" s="81">
        <f>data!C219</f>
        <v>0</v>
      </c>
      <c r="E15" s="81">
        <f>data!D219</f>
        <v>1004255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34069164</v>
      </c>
      <c r="D16" s="81">
        <f>data!C220</f>
        <v>1042196</v>
      </c>
      <c r="E16" s="81">
        <f>data!D220</f>
        <v>1099425</v>
      </c>
      <c r="F16" s="81">
        <f>data!E220</f>
        <v>34011935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49999999999999" customHeight="1" x14ac:dyDescent="0.3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79852</v>
      </c>
      <c r="D24" s="81">
        <f>data!C225</f>
        <v>20002</v>
      </c>
      <c r="E24" s="81">
        <f>data!D225</f>
        <v>0</v>
      </c>
      <c r="F24" s="81">
        <f>data!E225</f>
        <v>99854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11280911</v>
      </c>
      <c r="D25" s="81">
        <f>data!C226</f>
        <v>1140699</v>
      </c>
      <c r="E25" s="81">
        <f>data!D226</f>
        <v>0</v>
      </c>
      <c r="F25" s="81">
        <f>data!E226</f>
        <v>12421610</v>
      </c>
    </row>
    <row r="26" spans="1:6" ht="20.149999999999999" customHeight="1" x14ac:dyDescent="0.35">
      <c r="A26" s="77">
        <v>14</v>
      </c>
      <c r="B26" s="81" t="s">
        <v>853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854</v>
      </c>
      <c r="C27" s="81">
        <f>data!B228</f>
        <v>84135</v>
      </c>
      <c r="D27" s="81">
        <f>data!C228</f>
        <v>45465</v>
      </c>
      <c r="E27" s="81">
        <f>data!D228</f>
        <v>0</v>
      </c>
      <c r="F27" s="81">
        <f>data!E228</f>
        <v>129600</v>
      </c>
    </row>
    <row r="28" spans="1:6" ht="20.149999999999999" customHeight="1" x14ac:dyDescent="0.35">
      <c r="A28" s="77">
        <v>16</v>
      </c>
      <c r="B28" s="81" t="s">
        <v>855</v>
      </c>
      <c r="C28" s="81">
        <f>data!B229</f>
        <v>5444255</v>
      </c>
      <c r="D28" s="81">
        <f>data!C229</f>
        <v>244456</v>
      </c>
      <c r="E28" s="81">
        <f>data!D229</f>
        <v>5122</v>
      </c>
      <c r="F28" s="81">
        <f>data!E229</f>
        <v>5683589</v>
      </c>
    </row>
    <row r="29" spans="1:6" ht="20.149999999999999" customHeight="1" x14ac:dyDescent="0.3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16889153</v>
      </c>
      <c r="D32" s="81">
        <f>data!C233</f>
        <v>1450622</v>
      </c>
      <c r="E32" s="81">
        <f>data!D233</f>
        <v>5122</v>
      </c>
      <c r="F32" s="81">
        <f>data!E233</f>
        <v>18334653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859</v>
      </c>
      <c r="B1" s="76"/>
      <c r="C1" s="76"/>
      <c r="D1" s="75" t="s">
        <v>860</v>
      </c>
    </row>
    <row r="2" spans="1:4" ht="20.149999999999999" customHeight="1" x14ac:dyDescent="0.35">
      <c r="A2" s="134" t="str">
        <f>"Hospital: "&amp;data!C98</f>
        <v>Hospital: Skyline Health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861</v>
      </c>
      <c r="C4" s="170" t="s">
        <v>862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665835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5021493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3412761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122158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4677954</v>
      </c>
    </row>
    <row r="13" spans="1:4" ht="20.149999999999999" customHeight="1" x14ac:dyDescent="0.35">
      <c r="A13" s="77">
        <v>9</v>
      </c>
      <c r="B13" s="81"/>
      <c r="C13" s="81" t="s">
        <v>864</v>
      </c>
      <c r="D13" s="81">
        <f>data!D245</f>
        <v>13234366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865</v>
      </c>
      <c r="D16" s="77">
        <f>data!C247</f>
        <v>82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24543</v>
      </c>
    </row>
    <row r="19" spans="1:4" ht="20.149999999999999" customHeight="1" x14ac:dyDescent="0.35">
      <c r="A19" s="175">
        <v>15</v>
      </c>
      <c r="B19" s="172">
        <v>5910</v>
      </c>
      <c r="C19" s="94" t="s">
        <v>866</v>
      </c>
      <c r="D19" s="81">
        <f>data!C250</f>
        <v>68227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867</v>
      </c>
      <c r="D22" s="81">
        <f>data!D252</f>
        <v>92770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241646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868</v>
      </c>
      <c r="D26" s="81">
        <f>data!C255</f>
        <v>170444</v>
      </c>
    </row>
    <row r="27" spans="1:4" ht="20.149999999999999" customHeight="1" x14ac:dyDescent="0.35">
      <c r="A27" s="158">
        <v>23</v>
      </c>
      <c r="B27" s="177" t="s">
        <v>869</v>
      </c>
      <c r="C27" s="93"/>
      <c r="D27" s="81">
        <f>data!D256</f>
        <v>412090</v>
      </c>
    </row>
    <row r="28" spans="1:4" ht="20.149999999999999" customHeight="1" x14ac:dyDescent="0.35">
      <c r="A28" s="86">
        <v>24</v>
      </c>
      <c r="B28" s="152" t="s">
        <v>870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2023-06-08T20:10:40Z</cp:lastPrinted>
  <dcterms:created xsi:type="dcterms:W3CDTF">1999-06-02T22:01:56Z</dcterms:created>
  <dcterms:modified xsi:type="dcterms:W3CDTF">2023-06-22T17:29:11Z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