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C2ED5D08-C4AB-415D-9AA0-8CE2F44BEA5C}" xr6:coauthVersionLast="47" xr6:coauthVersionMax="47" xr10:uidLastSave="{00000000-0000-0000-0000-000000000000}"/>
  <workbookProtection workbookAlgorithmName="SHA-512" workbookHashValue="365AA3IYheuyvRcqr8mE/NoPQlh7j3jBV7+NPf6L4g0v9VGTu87jEsAX9C3/N4U0S2OiWNNdLdkW2BApKaBpRA==" workbookSaltValue="cd6DtpWUxDk1LjTuR5nv5g==" workbookSpinCount="100000" lockStructure="1"/>
  <bookViews>
    <workbookView xWindow="-19310" yWindow="-110" windowWidth="19420" windowHeight="104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FS!$A$106:$C$178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8" l="1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BY92" i="24"/>
  <c r="P92" i="24"/>
  <c r="E92" i="24"/>
  <c r="Y92" i="24"/>
  <c r="X92" i="24"/>
  <c r="BN90" i="24" l="1"/>
  <c r="AJ90" i="24"/>
  <c r="BX90" i="24" l="1"/>
  <c r="BO90" i="24"/>
  <c r="BP90" i="24"/>
  <c r="AY61" i="24" l="1"/>
  <c r="AJ61" i="24"/>
  <c r="C247" i="24" l="1"/>
  <c r="C249" i="24"/>
  <c r="BX83" i="24" l="1"/>
  <c r="BO83" i="24"/>
  <c r="BY83" i="24"/>
  <c r="BN83" i="24"/>
  <c r="BV83" i="24"/>
  <c r="AY83" i="24"/>
  <c r="BL83" i="24"/>
  <c r="BK83" i="24"/>
  <c r="BJ83" i="24"/>
  <c r="BH83" i="24"/>
  <c r="BF83" i="24"/>
  <c r="BE83" i="24"/>
  <c r="P83" i="24"/>
  <c r="S83" i="24"/>
  <c r="Y83" i="24"/>
  <c r="BD83" i="24"/>
  <c r="AC83" i="24"/>
  <c r="AB83" i="24"/>
  <c r="AE83" i="24"/>
  <c r="AG83" i="24"/>
  <c r="U83" i="24"/>
  <c r="BR83" i="24"/>
  <c r="BP83" i="24"/>
  <c r="AJ83" i="24"/>
  <c r="AR83" i="24"/>
  <c r="B173" i="24" l="1"/>
  <c r="O88" i="24"/>
  <c r="O87" i="24"/>
  <c r="AY60" i="24" l="1"/>
  <c r="AY64" i="24"/>
  <c r="AJ93" i="24" l="1"/>
  <c r="C231" i="24" l="1"/>
  <c r="C218" i="24"/>
  <c r="C219" i="24"/>
  <c r="C213" i="24"/>
  <c r="BY60" i="24" l="1"/>
  <c r="BX60" i="24"/>
  <c r="BR60" i="24"/>
  <c r="BN60" i="24"/>
  <c r="AJ60" i="24"/>
  <c r="BD60" i="24"/>
  <c r="AR60" i="24"/>
  <c r="AG60" i="24"/>
  <c r="AE60" i="24"/>
  <c r="AB60" i="24"/>
  <c r="Y60" i="24"/>
  <c r="P60" i="24"/>
  <c r="O60" i="24"/>
  <c r="AJ94" i="24"/>
  <c r="AR94" i="24"/>
  <c r="O61" i="24"/>
  <c r="E59" i="24"/>
  <c r="BX51" i="24" l="1"/>
  <c r="AR51" i="24"/>
  <c r="AJ51" i="24"/>
  <c r="BY51" i="24"/>
  <c r="BR51" i="24"/>
  <c r="BO51" i="24"/>
  <c r="BN51" i="24"/>
  <c r="AG51" i="24"/>
  <c r="AE51" i="24"/>
  <c r="AB51" i="24"/>
  <c r="P51" i="24"/>
  <c r="C380" i="24" l="1"/>
  <c r="C371" i="24"/>
  <c r="C389" i="24" l="1"/>
  <c r="C335" i="24"/>
  <c r="C328" i="24"/>
  <c r="C316" i="24"/>
  <c r="C269" i="24"/>
  <c r="C288" i="24"/>
  <c r="C286" i="24"/>
  <c r="C266" i="24"/>
  <c r="BY71" i="24" l="1"/>
  <c r="BK71" i="24"/>
  <c r="BJ71" i="24"/>
  <c r="AG71" i="24"/>
  <c r="Y71" i="24"/>
  <c r="P71" i="24"/>
  <c r="AJ71" i="24"/>
  <c r="C71" i="24"/>
  <c r="BY61" i="24"/>
  <c r="BX61" i="24"/>
  <c r="BW61" i="24"/>
  <c r="BV61" i="24"/>
  <c r="BR61" i="24"/>
  <c r="BP61" i="24"/>
  <c r="BO61" i="24"/>
  <c r="BN61" i="24"/>
  <c r="BL61" i="24"/>
  <c r="BK61" i="24"/>
  <c r="BJ61" i="24"/>
  <c r="BF61" i="24"/>
  <c r="BE61" i="24"/>
  <c r="BD61" i="24"/>
  <c r="BB61" i="24"/>
  <c r="BA61" i="24"/>
  <c r="AG61" i="24"/>
  <c r="E61" i="24"/>
  <c r="BY64" i="24"/>
  <c r="BX64" i="24"/>
  <c r="BR64" i="24" l="1"/>
  <c r="BW64" i="24" l="1"/>
  <c r="BV64" i="24"/>
  <c r="BO64" i="24"/>
  <c r="BP64" i="24"/>
  <c r="AR64" i="24"/>
  <c r="AJ64" i="24"/>
  <c r="BN64" i="24"/>
  <c r="BK64" i="24"/>
  <c r="BL64" i="24"/>
  <c r="BJ64" i="24"/>
  <c r="BH64" i="24"/>
  <c r="BF64" i="24"/>
  <c r="BE64" i="24"/>
  <c r="BD64" i="24"/>
  <c r="BB64" i="24"/>
  <c r="BA64" i="24"/>
  <c r="AG64" i="24"/>
  <c r="AL64" i="24"/>
  <c r="AK64" i="24"/>
  <c r="AE64" i="24"/>
  <c r="AC64" i="24"/>
  <c r="AB64" i="24"/>
  <c r="Y64" i="24"/>
  <c r="U64" i="24"/>
  <c r="R64" i="24"/>
  <c r="Q64" i="24"/>
  <c r="S64" i="24"/>
  <c r="P64" i="24"/>
  <c r="AJ63" i="24" l="1"/>
  <c r="Y66" i="24" l="1"/>
  <c r="X66" i="24"/>
  <c r="W66" i="24"/>
  <c r="AG63" i="24"/>
  <c r="Y63" i="24"/>
  <c r="BY66" i="24"/>
  <c r="BR66" i="24"/>
  <c r="AJ66" i="24" l="1"/>
  <c r="BN66" i="24"/>
  <c r="BE66" i="24"/>
  <c r="AY66" i="24"/>
  <c r="AG66" i="24"/>
  <c r="AE66" i="24"/>
  <c r="AB66" i="24"/>
  <c r="U66" i="24"/>
  <c r="R66" i="24"/>
  <c r="S66" i="24"/>
  <c r="P66" i="24"/>
  <c r="E66" i="24"/>
  <c r="AJ65" i="24"/>
  <c r="BE65" i="24"/>
  <c r="AJ88" i="24" l="1"/>
  <c r="AC88" i="24"/>
  <c r="Y88" i="24"/>
  <c r="U88" i="24"/>
  <c r="Q88" i="24"/>
  <c r="P88" i="24"/>
  <c r="E88" i="24" l="1"/>
  <c r="C88" i="24"/>
  <c r="AG88" i="24"/>
  <c r="AC87" i="24"/>
  <c r="E87" i="24"/>
  <c r="AE61" i="24" l="1"/>
  <c r="AB61" i="24"/>
  <c r="S61" i="24"/>
  <c r="U61" i="24"/>
  <c r="AR59" i="24"/>
  <c r="AR88" i="24"/>
  <c r="AR61" i="24"/>
  <c r="AG87" i="24"/>
  <c r="AG59" i="24"/>
  <c r="AL59" i="24"/>
  <c r="AL61" i="24"/>
  <c r="AK59" i="24"/>
  <c r="AE59" i="24"/>
  <c r="AE88" i="24"/>
  <c r="AC61" i="24"/>
  <c r="AB88" i="24"/>
  <c r="AB87" i="24"/>
  <c r="Y59" i="24"/>
  <c r="Y61" i="24"/>
  <c r="Y87" i="24"/>
  <c r="X59" i="24"/>
  <c r="W59" i="24"/>
  <c r="U59" i="24"/>
  <c r="Q61" i="24"/>
  <c r="P87" i="24"/>
  <c r="P61" i="24"/>
  <c r="P59" i="24"/>
  <c r="C187" i="24" l="1"/>
  <c r="C184" i="24" l="1"/>
  <c r="C414" i="24"/>
  <c r="C374" i="24"/>
  <c r="G37" i="3"/>
  <c r="D34" i="3"/>
  <c r="D32" i="3"/>
  <c r="D30" i="3"/>
  <c r="E20" i="27"/>
  <c r="A19" i="3"/>
  <c r="D11" i="3"/>
  <c r="D10" i="3"/>
  <c r="D9" i="3"/>
  <c r="D8" i="3"/>
  <c r="D7" i="3"/>
  <c r="D6" i="3"/>
  <c r="B157" i="24" l="1"/>
  <c r="B158" i="24" l="1"/>
  <c r="D158" i="24"/>
  <c r="C158" i="24"/>
  <c r="D157" i="24"/>
  <c r="C157" i="24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H58" i="32" s="1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5" i="8"/>
  <c r="C164" i="8"/>
  <c r="C163" i="8"/>
  <c r="C162" i="8"/>
  <c r="C161" i="8"/>
  <c r="C160" i="8"/>
  <c r="C159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6" i="3"/>
  <c r="D36" i="3"/>
  <c r="D35" i="3"/>
  <c r="G33" i="3"/>
  <c r="D33" i="3"/>
  <c r="G32" i="3"/>
  <c r="G31" i="3"/>
  <c r="D31" i="3"/>
  <c r="G30" i="3"/>
  <c r="G26" i="3"/>
  <c r="F26" i="3"/>
  <c r="G25" i="3"/>
  <c r="F25" i="3"/>
  <c r="G24" i="3"/>
  <c r="F24" i="3"/>
  <c r="G23" i="3"/>
  <c r="F23" i="3"/>
  <c r="E18" i="3"/>
  <c r="E17" i="3"/>
  <c r="C17" i="3"/>
  <c r="A17" i="3"/>
  <c r="E16" i="3"/>
  <c r="C16" i="3"/>
  <c r="A1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U48" i="24" l="1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D44" i="32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AV52" i="24" l="1"/>
  <c r="AV67" i="24" s="1"/>
  <c r="AV85" i="24" s="1"/>
  <c r="C60" i="15" s="1"/>
  <c r="BX52" i="24"/>
  <c r="BX67" i="24" s="1"/>
  <c r="BX85" i="24" s="1"/>
  <c r="X52" i="24"/>
  <c r="X67" i="24" s="1"/>
  <c r="M23" i="31" s="1"/>
  <c r="L52" i="24"/>
  <c r="L67" i="24" s="1"/>
  <c r="E49" i="32" s="1"/>
  <c r="H23" i="31"/>
  <c r="H18" i="31"/>
  <c r="D300" i="32"/>
  <c r="F300" i="32"/>
  <c r="G268" i="32"/>
  <c r="C44" i="32"/>
  <c r="I12" i="32"/>
  <c r="I76" i="32"/>
  <c r="I172" i="32"/>
  <c r="D76" i="32"/>
  <c r="H39" i="31"/>
  <c r="H74" i="31"/>
  <c r="H268" i="32"/>
  <c r="H45" i="31"/>
  <c r="G332" i="32"/>
  <c r="H35" i="31"/>
  <c r="C300" i="32"/>
  <c r="H37" i="31"/>
  <c r="H71" i="31"/>
  <c r="G236" i="32"/>
  <c r="G204" i="32"/>
  <c r="E236" i="32"/>
  <c r="G76" i="32"/>
  <c r="D332" i="32"/>
  <c r="H7" i="31"/>
  <c r="C236" i="32"/>
  <c r="C12" i="32"/>
  <c r="E12" i="32"/>
  <c r="H10" i="31"/>
  <c r="F44" i="32"/>
  <c r="AW86" i="25"/>
  <c r="C632" i="25" s="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B58" i="1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P53" i="25"/>
  <c r="BP68" i="25" s="1"/>
  <c r="BP86" i="25" s="1"/>
  <c r="AZ53" i="25"/>
  <c r="AZ68" i="25" s="1"/>
  <c r="AZ86" i="25" s="1"/>
  <c r="C629" i="25" s="1"/>
  <c r="AR53" i="25"/>
  <c r="AR68" i="25" s="1"/>
  <c r="AR86" i="25" s="1"/>
  <c r="C710" i="25" s="1"/>
  <c r="AB53" i="25"/>
  <c r="AB68" i="25" s="1"/>
  <c r="AB86" i="25" s="1"/>
  <c r="L53" i="25"/>
  <c r="L68" i="25" s="1"/>
  <c r="L86" i="25" s="1"/>
  <c r="C678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C687" i="25" s="1"/>
  <c r="M53" i="25"/>
  <c r="M68" i="25" s="1"/>
  <c r="M86" i="25" s="1"/>
  <c r="E53" i="25"/>
  <c r="E68" i="25" s="1"/>
  <c r="E86" i="25" s="1"/>
  <c r="BH53" i="25"/>
  <c r="BH68" i="25" s="1"/>
  <c r="BH86" i="25" s="1"/>
  <c r="AJ53" i="25"/>
  <c r="AJ68" i="25" s="1"/>
  <c r="AJ86" i="25" s="1"/>
  <c r="T53" i="25"/>
  <c r="T68" i="25" s="1"/>
  <c r="T86" i="25" s="1"/>
  <c r="D53" i="25"/>
  <c r="D68" i="25" s="1"/>
  <c r="D86" i="25" s="1"/>
  <c r="BX53" i="25"/>
  <c r="BX68" i="25" s="1"/>
  <c r="BX86" i="25" s="1"/>
  <c r="C645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C62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BU53" i="25"/>
  <c r="BU68" i="25" s="1"/>
  <c r="BU86" i="25" s="1"/>
  <c r="BM53" i="25"/>
  <c r="BM68" i="25" s="1"/>
  <c r="BM86" i="25" s="1"/>
  <c r="AW53" i="25"/>
  <c r="AW68" i="25" s="1"/>
  <c r="Y53" i="25"/>
  <c r="Y68" i="25" s="1"/>
  <c r="Y86" i="25" s="1"/>
  <c r="C691" i="25" s="1"/>
  <c r="I53" i="25"/>
  <c r="I68" i="25" s="1"/>
  <c r="I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C700" i="25" s="1"/>
  <c r="Z53" i="25"/>
  <c r="Z68" i="25" s="1"/>
  <c r="Z86" i="25" s="1"/>
  <c r="R53" i="25"/>
  <c r="R68" i="25" s="1"/>
  <c r="R86" i="25" s="1"/>
  <c r="J53" i="25"/>
  <c r="J68" i="25" s="1"/>
  <c r="J86" i="25" s="1"/>
  <c r="CC53" i="25"/>
  <c r="CC68" i="25" s="1"/>
  <c r="CC86" i="25" s="1"/>
  <c r="BE53" i="25"/>
  <c r="BE68" i="25" s="1"/>
  <c r="BE86" i="25" s="1"/>
  <c r="AO53" i="25"/>
  <c r="AO68" i="25" s="1"/>
  <c r="AO86" i="25" s="1"/>
  <c r="AG53" i="25"/>
  <c r="AG68" i="25" s="1"/>
  <c r="AG86" i="25" s="1"/>
  <c r="Q53" i="25"/>
  <c r="Q68" i="25" s="1"/>
  <c r="Q86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C625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C690" i="25" s="1"/>
  <c r="P53" i="25"/>
  <c r="P68" i="25" s="1"/>
  <c r="P86" i="25" s="1"/>
  <c r="C682" i="25" s="1"/>
  <c r="H53" i="25"/>
  <c r="H68" i="25" s="1"/>
  <c r="H86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W53" i="25"/>
  <c r="W68" i="25" s="1"/>
  <c r="W86" i="25" s="1"/>
  <c r="B35" i="15" s="1"/>
  <c r="O53" i="25"/>
  <c r="O68" i="25" s="1"/>
  <c r="O86" i="25" s="1"/>
  <c r="G53" i="25"/>
  <c r="G68" i="25" s="1"/>
  <c r="G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E49" i="25"/>
  <c r="C63" i="25"/>
  <c r="Y52" i="24"/>
  <c r="Y67" i="24" s="1"/>
  <c r="BN52" i="24"/>
  <c r="BN67" i="24" s="1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X85" i="24" l="1"/>
  <c r="C689" i="24" s="1"/>
  <c r="F209" i="32"/>
  <c r="M47" i="31"/>
  <c r="F337" i="32"/>
  <c r="M75" i="31"/>
  <c r="M61" i="31"/>
  <c r="L85" i="24"/>
  <c r="C24" i="15" s="1"/>
  <c r="G24" i="15" s="1"/>
  <c r="C113" i="32"/>
  <c r="M11" i="31"/>
  <c r="S85" i="24"/>
  <c r="C684" i="24" s="1"/>
  <c r="E17" i="32"/>
  <c r="E85" i="24"/>
  <c r="E21" i="32" s="1"/>
  <c r="B45" i="15"/>
  <c r="C699" i="25"/>
  <c r="B52" i="15"/>
  <c r="F52" i="15" s="1"/>
  <c r="C706" i="25"/>
  <c r="B62" i="15"/>
  <c r="C617" i="25"/>
  <c r="C705" i="25"/>
  <c r="B51" i="15"/>
  <c r="F51" i="15" s="1"/>
  <c r="C677" i="25"/>
  <c r="B23" i="15"/>
  <c r="B47" i="15"/>
  <c r="F47" i="15" s="1"/>
  <c r="C701" i="25"/>
  <c r="B37" i="15"/>
  <c r="F37" i="15" s="1"/>
  <c r="C689" i="25"/>
  <c r="B28" i="15"/>
  <c r="B61" i="15"/>
  <c r="C633" i="25"/>
  <c r="B66" i="15"/>
  <c r="B59" i="15"/>
  <c r="F59" i="15" s="1"/>
  <c r="C713" i="25"/>
  <c r="C702" i="25"/>
  <c r="B48" i="15"/>
  <c r="F48" i="15" s="1"/>
  <c r="B74" i="15"/>
  <c r="C618" i="25"/>
  <c r="B53" i="15"/>
  <c r="H53" i="15" s="1"/>
  <c r="I53" i="15" s="1"/>
  <c r="C707" i="25"/>
  <c r="B73" i="15"/>
  <c r="F73" i="15" s="1"/>
  <c r="C635" i="25"/>
  <c r="C615" i="25"/>
  <c r="D616" i="25" s="1"/>
  <c r="B69" i="15"/>
  <c r="F69" i="15" s="1"/>
  <c r="C619" i="25"/>
  <c r="B71" i="15"/>
  <c r="F71" i="15" s="1"/>
  <c r="C647" i="25"/>
  <c r="B90" i="15"/>
  <c r="F90" i="15" s="1"/>
  <c r="C673" i="25"/>
  <c r="B19" i="15"/>
  <c r="H19" i="15" s="1"/>
  <c r="I19" i="15" s="1"/>
  <c r="C640" i="25"/>
  <c r="B83" i="15"/>
  <c r="C621" i="25"/>
  <c r="B93" i="15"/>
  <c r="B78" i="15"/>
  <c r="C620" i="25"/>
  <c r="C628" i="25"/>
  <c r="B79" i="15"/>
  <c r="F79" i="15" s="1"/>
  <c r="C679" i="25"/>
  <c r="B25" i="15"/>
  <c r="H25" i="15" s="1"/>
  <c r="I25" i="15" s="1"/>
  <c r="B89" i="15"/>
  <c r="C646" i="25"/>
  <c r="C688" i="25"/>
  <c r="B34" i="15"/>
  <c r="F34" i="15" s="1"/>
  <c r="B29" i="15"/>
  <c r="F29" i="15" s="1"/>
  <c r="C683" i="25"/>
  <c r="C711" i="25"/>
  <c r="B57" i="15"/>
  <c r="H57" i="15" s="1"/>
  <c r="I57" i="15" s="1"/>
  <c r="C709" i="25"/>
  <c r="B55" i="15"/>
  <c r="F55" i="15" s="1"/>
  <c r="C631" i="25"/>
  <c r="B65" i="15"/>
  <c r="F65" i="15" s="1"/>
  <c r="C634" i="25"/>
  <c r="B67" i="15"/>
  <c r="C637" i="25"/>
  <c r="B72" i="15"/>
  <c r="B82" i="15"/>
  <c r="C627" i="25"/>
  <c r="B60" i="15"/>
  <c r="C714" i="25"/>
  <c r="B85" i="15"/>
  <c r="F85" i="15" s="1"/>
  <c r="C642" i="25"/>
  <c r="C680" i="25"/>
  <c r="B26" i="15"/>
  <c r="H26" i="15" s="1"/>
  <c r="I26" i="15" s="1"/>
  <c r="B27" i="15"/>
  <c r="C681" i="25"/>
  <c r="B91" i="15"/>
  <c r="F91" i="15" s="1"/>
  <c r="H91" i="15" s="1"/>
  <c r="I91" i="15" s="1"/>
  <c r="C648" i="25"/>
  <c r="C638" i="25"/>
  <c r="B76" i="15"/>
  <c r="F76" i="15" s="1"/>
  <c r="C676" i="25"/>
  <c r="B22" i="15"/>
  <c r="F22" i="15" s="1"/>
  <c r="C643" i="25"/>
  <c r="B86" i="15"/>
  <c r="F86" i="15" s="1"/>
  <c r="B87" i="15"/>
  <c r="F87" i="15" s="1"/>
  <c r="C644" i="25"/>
  <c r="B42" i="15"/>
  <c r="F42" i="15" s="1"/>
  <c r="C696" i="25"/>
  <c r="C672" i="25"/>
  <c r="B18" i="15"/>
  <c r="F18" i="15" s="1"/>
  <c r="B75" i="15"/>
  <c r="C636" i="25"/>
  <c r="B17" i="15"/>
  <c r="F17" i="15" s="1"/>
  <c r="C671" i="25"/>
  <c r="C674" i="25"/>
  <c r="B20" i="15"/>
  <c r="H20" i="15" s="1"/>
  <c r="I20" i="15" s="1"/>
  <c r="C641" i="25"/>
  <c r="B84" i="15"/>
  <c r="H84" i="15" s="1"/>
  <c r="I84" i="15" s="1"/>
  <c r="B30" i="15"/>
  <c r="C684" i="25"/>
  <c r="C685" i="25"/>
  <c r="B31" i="15"/>
  <c r="B41" i="15"/>
  <c r="F41" i="15" s="1"/>
  <c r="C695" i="25"/>
  <c r="B40" i="15"/>
  <c r="F40" i="15" s="1"/>
  <c r="C694" i="25"/>
  <c r="C704" i="25"/>
  <c r="B50" i="15"/>
  <c r="F50" i="15" s="1"/>
  <c r="B32" i="15"/>
  <c r="F32" i="15" s="1"/>
  <c r="C686" i="25"/>
  <c r="B44" i="15"/>
  <c r="H44" i="15" s="1"/>
  <c r="I44" i="15" s="1"/>
  <c r="C698" i="25"/>
  <c r="C622" i="25"/>
  <c r="B80" i="15"/>
  <c r="B77" i="15"/>
  <c r="C639" i="25"/>
  <c r="B70" i="15"/>
  <c r="F70" i="15" s="1"/>
  <c r="C630" i="25"/>
  <c r="C624" i="25"/>
  <c r="B81" i="15"/>
  <c r="F81" i="15" s="1"/>
  <c r="C697" i="25"/>
  <c r="B43" i="15"/>
  <c r="F43" i="15" s="1"/>
  <c r="B92" i="15"/>
  <c r="C623" i="25"/>
  <c r="B38" i="15"/>
  <c r="C692" i="25"/>
  <c r="B21" i="15"/>
  <c r="H21" i="15" s="1"/>
  <c r="I21" i="15" s="1"/>
  <c r="C675" i="25"/>
  <c r="B39" i="15"/>
  <c r="C693" i="25"/>
  <c r="C670" i="25"/>
  <c r="B16" i="15"/>
  <c r="H16" i="15" s="1"/>
  <c r="I16" i="15" s="1"/>
  <c r="B49" i="15"/>
  <c r="F49" i="15" s="1"/>
  <c r="C703" i="25"/>
  <c r="B36" i="15"/>
  <c r="F36" i="15" s="1"/>
  <c r="C712" i="25"/>
  <c r="B68" i="15"/>
  <c r="B56" i="15"/>
  <c r="F56" i="15" s="1"/>
  <c r="B46" i="15"/>
  <c r="C68" i="25"/>
  <c r="CE68" i="25" s="1"/>
  <c r="CE53" i="25"/>
  <c r="B24" i="15"/>
  <c r="B88" i="15"/>
  <c r="F88" i="15" s="1"/>
  <c r="B63" i="15"/>
  <c r="F63" i="15" s="1"/>
  <c r="B33" i="15"/>
  <c r="F33" i="15" s="1"/>
  <c r="B64" i="15"/>
  <c r="F64" i="15" s="1"/>
  <c r="B54" i="15"/>
  <c r="F54" i="15" s="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D49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M6" i="31"/>
  <c r="G17" i="32"/>
  <c r="G85" i="24"/>
  <c r="F38" i="15"/>
  <c r="M54" i="31"/>
  <c r="F241" i="32"/>
  <c r="BC85" i="24"/>
  <c r="F74" i="15"/>
  <c r="M80" i="31"/>
  <c r="D369" i="32"/>
  <c r="CC85" i="24"/>
  <c r="M21" i="31"/>
  <c r="H81" i="32"/>
  <c r="V85" i="24"/>
  <c r="M28" i="31"/>
  <c r="H113" i="32"/>
  <c r="AC85" i="24"/>
  <c r="F93" i="15"/>
  <c r="M69" i="31"/>
  <c r="G305" i="32"/>
  <c r="BR85" i="24"/>
  <c r="M35" i="31"/>
  <c r="H145" i="32"/>
  <c r="AJ85" i="24"/>
  <c r="M16" i="31"/>
  <c r="C81" i="32"/>
  <c r="Q85" i="24"/>
  <c r="H23" i="15"/>
  <c r="I23" i="15" s="1"/>
  <c r="F23" i="15"/>
  <c r="M59" i="31"/>
  <c r="D273" i="32"/>
  <c r="BH85" i="24"/>
  <c r="F46" i="15"/>
  <c r="H46" i="15"/>
  <c r="I46" i="15" s="1"/>
  <c r="M60" i="31"/>
  <c r="E273" i="32"/>
  <c r="BI85" i="24"/>
  <c r="M32" i="31"/>
  <c r="E145" i="32"/>
  <c r="AG85" i="24"/>
  <c r="M68" i="31"/>
  <c r="F305" i="32"/>
  <c r="BQ85" i="24"/>
  <c r="F28" i="15"/>
  <c r="M76" i="31"/>
  <c r="G337" i="32"/>
  <c r="BY85" i="24"/>
  <c r="M31" i="31"/>
  <c r="D145" i="32"/>
  <c r="AF85" i="24"/>
  <c r="M45" i="31"/>
  <c r="D209" i="32"/>
  <c r="AT85" i="24"/>
  <c r="F45" i="15"/>
  <c r="M19" i="31"/>
  <c r="F81" i="32"/>
  <c r="T85" i="24"/>
  <c r="M17" i="31"/>
  <c r="D81" i="32"/>
  <c r="R85" i="24"/>
  <c r="F78" i="15"/>
  <c r="M5" i="31"/>
  <c r="F17" i="32"/>
  <c r="F85" i="24"/>
  <c r="F77" i="15"/>
  <c r="H77" i="15"/>
  <c r="I77" i="15" s="1"/>
  <c r="M12" i="31"/>
  <c r="F49" i="32"/>
  <c r="M85" i="24"/>
  <c r="F39" i="15"/>
  <c r="C138" i="8"/>
  <c r="D417" i="24"/>
  <c r="M38" i="31"/>
  <c r="D177" i="32"/>
  <c r="AM85" i="24"/>
  <c r="M43" i="31"/>
  <c r="I177" i="32"/>
  <c r="AR85" i="24"/>
  <c r="M65" i="31"/>
  <c r="C305" i="32"/>
  <c r="BN85" i="24"/>
  <c r="F27" i="15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F31" i="15"/>
  <c r="F53" i="15"/>
  <c r="C67" i="24"/>
  <c r="CE52" i="24"/>
  <c r="F30" i="15"/>
  <c r="M62" i="31"/>
  <c r="G273" i="32"/>
  <c r="BK85" i="24"/>
  <c r="F75" i="15"/>
  <c r="M50" i="31"/>
  <c r="I209" i="32"/>
  <c r="AY85" i="24"/>
  <c r="F82" i="15"/>
  <c r="H94" i="15"/>
  <c r="I94" i="15" s="1"/>
  <c r="G94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H52" i="15"/>
  <c r="I52" i="15" s="1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M72" i="31"/>
  <c r="C337" i="32"/>
  <c r="BU85" i="24"/>
  <c r="F92" i="15"/>
  <c r="F89" i="15"/>
  <c r="M51" i="31"/>
  <c r="C241" i="32"/>
  <c r="AZ85" i="24"/>
  <c r="M58" i="31"/>
  <c r="C273" i="32"/>
  <c r="BG85" i="24"/>
  <c r="M42" i="31"/>
  <c r="H177" i="32"/>
  <c r="AQ85" i="24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F44" i="15"/>
  <c r="CE63" i="25"/>
  <c r="M9" i="31"/>
  <c r="C49" i="32"/>
  <c r="J85" i="24"/>
  <c r="M36" i="31"/>
  <c r="I145" i="32"/>
  <c r="AK85" i="24"/>
  <c r="F35" i="15"/>
  <c r="M34" i="31"/>
  <c r="G145" i="32"/>
  <c r="AI85" i="24"/>
  <c r="M44" i="31"/>
  <c r="C209" i="32"/>
  <c r="AS85" i="24"/>
  <c r="M8" i="31"/>
  <c r="I17" i="32"/>
  <c r="I85" i="24"/>
  <c r="C92" i="15"/>
  <c r="G92" i="15" s="1"/>
  <c r="C373" i="32"/>
  <c r="C622" i="24"/>
  <c r="H55" i="15" l="1"/>
  <c r="I55" i="15" s="1"/>
  <c r="H71" i="15"/>
  <c r="I71" i="15" s="1"/>
  <c r="H47" i="15"/>
  <c r="I47" i="15" s="1"/>
  <c r="H51" i="15"/>
  <c r="I51" i="15" s="1"/>
  <c r="C36" i="15"/>
  <c r="G36" i="15" s="1"/>
  <c r="C117" i="32"/>
  <c r="C670" i="24"/>
  <c r="C17" i="15"/>
  <c r="G17" i="15" s="1"/>
  <c r="E53" i="32"/>
  <c r="C677" i="24"/>
  <c r="E85" i="32"/>
  <c r="C31" i="15"/>
  <c r="G31" i="15" s="1"/>
  <c r="H277" i="32"/>
  <c r="I117" i="32"/>
  <c r="C695" i="24"/>
  <c r="H27" i="15"/>
  <c r="I27" i="15" s="1"/>
  <c r="C74" i="15"/>
  <c r="C86" i="25"/>
  <c r="F83" i="15"/>
  <c r="H59" i="15"/>
  <c r="I59" i="15" s="1"/>
  <c r="F21" i="15"/>
  <c r="H85" i="15"/>
  <c r="I85" i="15" s="1"/>
  <c r="F20" i="15"/>
  <c r="H87" i="15"/>
  <c r="I87" i="15" s="1"/>
  <c r="F26" i="15"/>
  <c r="F19" i="15"/>
  <c r="F57" i="15"/>
  <c r="F25" i="15"/>
  <c r="H81" i="15"/>
  <c r="I81" i="15" s="1"/>
  <c r="H18" i="15"/>
  <c r="I18" i="15" s="1"/>
  <c r="C649" i="25"/>
  <c r="M717" i="25" s="1"/>
  <c r="F84" i="15"/>
  <c r="F72" i="15"/>
  <c r="F80" i="15"/>
  <c r="F16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D309" i="32"/>
  <c r="C627" i="24"/>
  <c r="C79" i="15"/>
  <c r="G79" i="15" s="1"/>
  <c r="G245" i="32"/>
  <c r="C68" i="15"/>
  <c r="G68" i="15" s="1"/>
  <c r="C624" i="24"/>
  <c r="H36" i="15" l="1"/>
  <c r="I36" i="15" s="1"/>
  <c r="H17" i="15"/>
  <c r="I17" i="15" s="1"/>
  <c r="H31" i="15"/>
  <c r="I31" i="15" s="1"/>
  <c r="H69" i="15"/>
  <c r="I69" i="15" s="1"/>
  <c r="H40" i="15"/>
  <c r="I40" i="15" s="1"/>
  <c r="H76" i="15"/>
  <c r="I76" i="15" s="1"/>
  <c r="H50" i="15"/>
  <c r="I50" i="15" s="1"/>
  <c r="G30" i="15"/>
  <c r="H30" i="15"/>
  <c r="I30" i="15" s="1"/>
  <c r="H83" i="15"/>
  <c r="I83" i="15" s="1"/>
  <c r="H79" i="15"/>
  <c r="I79" i="15" s="1"/>
  <c r="H72" i="15"/>
  <c r="I72" i="15" s="1"/>
  <c r="H80" i="15"/>
  <c r="I80" i="15" s="1"/>
  <c r="H22" i="15"/>
  <c r="I22" i="15" s="1"/>
  <c r="G74" i="15"/>
  <c r="H74" i="15" s="1"/>
  <c r="I74" i="1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 s="1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16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M710" i="25" s="1"/>
  <c r="K702" i="25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K684" i="25"/>
  <c r="K714" i="25"/>
  <c r="M714" i="25" s="1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K703" i="25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92" i="25" l="1"/>
  <c r="M706" i="25"/>
  <c r="M684" i="25"/>
  <c r="M697" i="25"/>
  <c r="M708" i="25"/>
  <c r="M703" i="25"/>
  <c r="M713" i="25"/>
  <c r="M683" i="25"/>
  <c r="L671" i="24"/>
  <c r="L713" i="24"/>
  <c r="L672" i="24"/>
  <c r="L694" i="24"/>
  <c r="L670" i="24"/>
  <c r="L707" i="24"/>
  <c r="L680" i="24"/>
  <c r="L683" i="24"/>
  <c r="L702" i="24"/>
  <c r="L688" i="24"/>
  <c r="L703" i="24"/>
  <c r="L668" i="24"/>
  <c r="L686" i="24"/>
  <c r="L696" i="24"/>
  <c r="L674" i="24"/>
  <c r="L700" i="24"/>
  <c r="L709" i="24"/>
  <c r="L677" i="24"/>
  <c r="L712" i="24"/>
  <c r="L676" i="24"/>
  <c r="L697" i="24"/>
  <c r="L681" i="24"/>
  <c r="L678" i="24"/>
  <c r="L708" i="24"/>
  <c r="L695" i="24"/>
  <c r="L685" i="24"/>
  <c r="L698" i="24"/>
  <c r="L691" i="24"/>
  <c r="L682" i="24"/>
  <c r="L711" i="24"/>
  <c r="L704" i="24"/>
  <c r="L675" i="24"/>
  <c r="L684" i="24"/>
  <c r="L690" i="24"/>
  <c r="L699" i="24"/>
  <c r="L705" i="24"/>
  <c r="L687" i="24"/>
  <c r="L669" i="24"/>
  <c r="L710" i="24"/>
  <c r="L689" i="24"/>
  <c r="L679" i="24"/>
  <c r="L701" i="24"/>
  <c r="L673" i="24"/>
  <c r="L706" i="24"/>
  <c r="L692" i="24"/>
  <c r="L693" i="24"/>
  <c r="M672" i="25"/>
  <c r="M689" i="25"/>
  <c r="M693" i="25"/>
  <c r="M674" i="25"/>
  <c r="M681" i="25"/>
  <c r="M696" i="25"/>
  <c r="M678" i="25"/>
  <c r="M702" i="25"/>
  <c r="M682" i="25"/>
  <c r="L716" i="25"/>
  <c r="M709" i="25"/>
  <c r="M712" i="25"/>
  <c r="K713" i="24"/>
  <c r="K703" i="24"/>
  <c r="K695" i="24"/>
  <c r="M695" i="24" s="1"/>
  <c r="I119" i="32" s="1"/>
  <c r="K712" i="24"/>
  <c r="K711" i="24"/>
  <c r="K707" i="24"/>
  <c r="K699" i="24"/>
  <c r="K691" i="24"/>
  <c r="K683" i="24"/>
  <c r="K694" i="24"/>
  <c r="K689" i="24"/>
  <c r="K684" i="24"/>
  <c r="K679" i="24"/>
  <c r="M679" i="24" s="1"/>
  <c r="G55" i="32" s="1"/>
  <c r="K672" i="24"/>
  <c r="K693" i="24"/>
  <c r="K688" i="24"/>
  <c r="K669" i="24"/>
  <c r="K716" i="24"/>
  <c r="K678" i="24"/>
  <c r="K674" i="24"/>
  <c r="K708" i="24"/>
  <c r="K668" i="24"/>
  <c r="K701" i="24"/>
  <c r="K706" i="24"/>
  <c r="K705" i="24"/>
  <c r="K704" i="24"/>
  <c r="K686" i="24"/>
  <c r="M686" i="24" s="1"/>
  <c r="G87" i="32" s="1"/>
  <c r="K681" i="24"/>
  <c r="K676" i="24"/>
  <c r="K673" i="24"/>
  <c r="K709" i="24"/>
  <c r="M709" i="24" s="1"/>
  <c r="I183" i="32" s="1"/>
  <c r="K702" i="24"/>
  <c r="K700" i="24"/>
  <c r="K696" i="24"/>
  <c r="M696" i="24" s="1"/>
  <c r="C151" i="32" s="1"/>
  <c r="K677" i="24"/>
  <c r="K675" i="24"/>
  <c r="K671" i="24"/>
  <c r="M671" i="24" s="1"/>
  <c r="F23" i="32" s="1"/>
  <c r="K690" i="24"/>
  <c r="K692" i="24"/>
  <c r="K685" i="24"/>
  <c r="M685" i="24" s="1"/>
  <c r="F87" i="32" s="1"/>
  <c r="K710" i="24"/>
  <c r="K698" i="24"/>
  <c r="K687" i="24"/>
  <c r="K670" i="24"/>
  <c r="K680" i="24"/>
  <c r="M680" i="24" s="1"/>
  <c r="H55" i="32" s="1"/>
  <c r="K697" i="24"/>
  <c r="K682" i="24"/>
  <c r="K716" i="25"/>
  <c r="M669" i="25"/>
  <c r="M678" i="24" l="1"/>
  <c r="F55" i="32" s="1"/>
  <c r="M716" i="25"/>
  <c r="M699" i="24"/>
  <c r="F151" i="32" s="1"/>
  <c r="M670" i="24"/>
  <c r="E23" i="32" s="1"/>
  <c r="M681" i="24"/>
  <c r="I55" i="32" s="1"/>
  <c r="M688" i="24"/>
  <c r="I87" i="32" s="1"/>
  <c r="M694" i="24"/>
  <c r="H119" i="32" s="1"/>
  <c r="M700" i="24"/>
  <c r="G151" i="32" s="1"/>
  <c r="M677" i="24"/>
  <c r="E55" i="32" s="1"/>
  <c r="M676" i="24"/>
  <c r="D55" i="32" s="1"/>
  <c r="M669" i="24"/>
  <c r="D23" i="32" s="1"/>
  <c r="M668" i="24"/>
  <c r="C23" i="32" s="1"/>
  <c r="M683" i="24"/>
  <c r="D87" i="32" s="1"/>
  <c r="M710" i="24"/>
  <c r="C215" i="32" s="1"/>
  <c r="M672" i="24"/>
  <c r="G23" i="32" s="1"/>
  <c r="M713" i="24"/>
  <c r="F215" i="32" s="1"/>
  <c r="M707" i="24"/>
  <c r="G183" i="32" s="1"/>
  <c r="M702" i="24"/>
  <c r="I151" i="32" s="1"/>
  <c r="M708" i="24"/>
  <c r="H183" i="32" s="1"/>
  <c r="M703" i="24"/>
  <c r="C183" i="32" s="1"/>
  <c r="M711" i="24"/>
  <c r="D215" i="32" s="1"/>
  <c r="M712" i="24"/>
  <c r="E215" i="32" s="1"/>
  <c r="M692" i="24"/>
  <c r="F119" i="32" s="1"/>
  <c r="M674" i="24"/>
  <c r="I23" i="32" s="1"/>
  <c r="M697" i="24"/>
  <c r="D151" i="32" s="1"/>
  <c r="M704" i="24"/>
  <c r="D183" i="32" s="1"/>
  <c r="L715" i="24"/>
  <c r="M687" i="24"/>
  <c r="H87" i="32" s="1"/>
  <c r="M690" i="24"/>
  <c r="D119" i="32" s="1"/>
  <c r="M691" i="24"/>
  <c r="E119" i="32" s="1"/>
  <c r="M682" i="24"/>
  <c r="C87" i="32" s="1"/>
  <c r="M693" i="24"/>
  <c r="G119" i="32" s="1"/>
  <c r="M705" i="24"/>
  <c r="E183" i="32" s="1"/>
  <c r="M701" i="24"/>
  <c r="H151" i="32" s="1"/>
  <c r="M689" i="24"/>
  <c r="C119" i="32" s="1"/>
  <c r="M698" i="24"/>
  <c r="E151" i="32" s="1"/>
  <c r="M675" i="24"/>
  <c r="C55" i="32" s="1"/>
  <c r="M673" i="24"/>
  <c r="H23" i="32" s="1"/>
  <c r="M706" i="24"/>
  <c r="F183" i="32" s="1"/>
  <c r="M684" i="24"/>
  <c r="E87" i="32" s="1"/>
  <c r="K715" i="24"/>
  <c r="M715" i="24" l="1"/>
</calcChain>
</file>

<file path=xl/sharedStrings.xml><?xml version="1.0" encoding="utf-8"?>
<sst xmlns="http://schemas.openxmlformats.org/spreadsheetml/2006/main" count="5779" uniqueCount="1384">
  <si>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</si>
  <si>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</si>
  <si>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</si>
  <si>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</si>
  <si>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</si>
  <si>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</si>
  <si>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</si>
  <si>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</si>
  <si>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</si>
  <si>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</si>
  <si>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</si>
  <si>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</si>
  <si>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</si>
  <si>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</si>
  <si>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</si>
  <si>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</si>
  <si>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</si>
  <si>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</si>
  <si>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</si>
  <si>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</si>
  <si>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</si>
  <si>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</si>
  <si>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</si>
  <si>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</si>
  <si>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</si>
  <si>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</si>
  <si>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</si>
  <si>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</si>
  <si>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</si>
  <si>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</si>
  <si>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</si>
  <si>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</si>
  <si>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</si>
  <si>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</si>
  <si>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</si>
  <si>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</si>
  <si>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</si>
  <si>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</si>
  <si>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</si>
  <si>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</si>
  <si>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</si>
  <si>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</si>
  <si>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</si>
  <si>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</si>
  <si>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</si>
  <si>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</si>
  <si>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</si>
  <si>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</si>
  <si>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</si>
  <si>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</si>
  <si>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</si>
  <si>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</si>
  <si>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</si>
  <si>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</si>
  <si>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</si>
  <si>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</si>
  <si>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</si>
  <si>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</si>
  <si>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</si>
  <si>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</si>
  <si>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</si>
  <si>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</si>
  <si>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</si>
  <si>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</si>
  <si>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</si>
  <si>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</si>
  <si>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</si>
  <si>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</si>
  <si>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</si>
  <si>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</si>
  <si>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</si>
  <si>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</si>
  <si>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</si>
  <si>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</si>
  <si>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</si>
  <si>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</si>
  <si>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</si>
  <si>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</si>
  <si>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</si>
  <si>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</si>
  <si>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</si>
  <si>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</si>
  <si>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</si>
  <si>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</si>
  <si>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</si>
  <si>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</si>
  <si>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</si>
  <si>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</si>
  <si>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</si>
  <si>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</si>
  <si>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</si>
  <si>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</si>
  <si>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</si>
  <si>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</si>
  <si>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</si>
  <si>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</si>
  <si>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</si>
  <si>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</si>
  <si>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</si>
  <si>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</si>
  <si>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</si>
  <si>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</si>
  <si>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</si>
  <si>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</si>
  <si>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</si>
  <si>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</si>
  <si>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</si>
  <si>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</si>
  <si>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</si>
  <si>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</si>
  <si>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</si>
  <si>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</si>
  <si>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</si>
  <si>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</si>
  <si>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</si>
  <si>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</si>
  <si>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</si>
  <si>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</si>
  <si>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</si>
  <si>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</si>
  <si>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</si>
  <si>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</si>
  <si>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</si>
  <si>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</si>
  <si>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</si>
  <si>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</si>
  <si>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</si>
  <si>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</si>
  <si>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</si>
  <si>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</si>
  <si>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</si>
  <si>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</si>
  <si>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</si>
  <si>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</si>
  <si>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</si>
  <si>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</si>
  <si>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</si>
  <si>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</si>
  <si>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</si>
  <si>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</si>
  <si>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</si>
  <si>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</si>
  <si>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</si>
  <si>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</si>
  <si>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</si>
  <si>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</si>
  <si>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</si>
  <si>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</si>
  <si>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</si>
  <si>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</si>
  <si>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</si>
  <si>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</si>
  <si>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</si>
  <si>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</si>
  <si>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</si>
  <si>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</si>
  <si>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</si>
  <si>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</si>
  <si>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</si>
  <si>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</si>
  <si>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</si>
  <si>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</si>
  <si>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</si>
  <si>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</si>
  <si>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</si>
  <si>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</si>
  <si>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</si>
  <si>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</si>
  <si>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</si>
  <si>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</si>
  <si>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</si>
  <si>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</si>
  <si>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</si>
  <si>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</si>
  <si>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</si>
  <si>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</si>
  <si>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</si>
  <si>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</si>
  <si>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</si>
  <si>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</si>
  <si>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</si>
  <si>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</si>
  <si>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</si>
  <si>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</si>
  <si>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</si>
  <si>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</si>
  <si>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</si>
  <si>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</si>
  <si>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</si>
  <si>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</si>
  <si>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</si>
  <si>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</si>
  <si>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</si>
  <si>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</si>
  <si>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</si>
  <si>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</si>
  <si>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</si>
  <si>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</si>
  <si>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</si>
  <si>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</si>
  <si>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</si>
  <si>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</si>
  <si>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</si>
  <si>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</si>
  <si>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</si>
  <si>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</si>
  <si>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</si>
  <si>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</si>
  <si>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</si>
  <si>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</si>
  <si>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</si>
  <si>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</si>
  <si>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</si>
  <si>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</si>
  <si>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</si>
  <si>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</si>
  <si>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</si>
  <si>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</si>
  <si>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</si>
  <si>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</si>
  <si>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</si>
  <si>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</si>
  <si>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</si>
  <si>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</si>
  <si>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</si>
  <si>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</si>
  <si>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</si>
  <si>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</si>
  <si>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</si>
  <si>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</si>
  <si>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</si>
  <si>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</si>
  <si>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</si>
  <si>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</si>
  <si>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</si>
  <si>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</si>
  <si>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</si>
  <si>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</si>
  <si>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</si>
  <si>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</si>
  <si>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</si>
  <si>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</si>
  <si>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</si>
  <si>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</si>
  <si>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</si>
  <si>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</si>
  <si>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</si>
  <si>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</si>
  <si>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</si>
  <si>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</si>
  <si>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</si>
  <si>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</si>
  <si>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</si>
  <si>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</si>
  <si>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</si>
  <si>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</si>
  <si>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</si>
  <si>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</si>
  <si>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</si>
  <si>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</si>
  <si>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</si>
  <si>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</si>
  <si>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</si>
  <si>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</si>
  <si>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</si>
  <si>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</si>
  <si>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</si>
  <si>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</si>
  <si>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</si>
  <si>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</si>
  <si>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</si>
  <si>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</si>
  <si>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</si>
  <si>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</si>
  <si>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</si>
  <si>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</si>
  <si>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</si>
  <si>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</si>
  <si>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</si>
  <si>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</si>
  <si>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</si>
  <si>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</si>
  <si>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</si>
  <si>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</si>
  <si>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</si>
  <si>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</si>
  <si>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</si>
  <si>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</si>
  <si>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</si>
  <si>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</si>
  <si>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</si>
  <si>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</si>
  <si>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</si>
  <si>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</si>
  <si>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</si>
  <si>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</si>
  <si>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</si>
  <si>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</si>
  <si>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</si>
  <si>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</si>
  <si>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</si>
  <si>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</si>
  <si>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</si>
  <si>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</si>
  <si>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</si>
  <si>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</si>
  <si>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</si>
  <si>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</si>
  <si>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</si>
  <si>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</si>
  <si>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</si>
  <si>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</si>
  <si>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</si>
  <si>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</si>
  <si>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</si>
  <si>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</si>
  <si>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</si>
  <si>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</si>
  <si>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</si>
  <si>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</si>
  <si>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</si>
  <si>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</si>
  <si>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</si>
  <si>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</si>
  <si>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</si>
  <si>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</si>
  <si>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</si>
  <si>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</si>
  <si>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</si>
  <si>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</si>
  <si>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</si>
  <si>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</si>
  <si>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</si>
  <si>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</si>
  <si>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</si>
  <si>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</si>
  <si>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</si>
  <si>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</si>
  <si>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</si>
  <si>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</si>
  <si>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</si>
  <si>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</si>
  <si>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</si>
  <si>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</si>
  <si>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</si>
  <si>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</si>
  <si>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</si>
  <si>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</si>
  <si>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</si>
  <si>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</si>
  <si>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</si>
  <si>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</si>
  <si>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</si>
  <si>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</si>
  <si>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</si>
  <si>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</si>
  <si>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</si>
  <si>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</si>
  <si>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</si>
  <si>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</si>
  <si>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</si>
  <si>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</si>
  <si>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</si>
  <si>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</si>
  <si>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</si>
  <si>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</si>
  <si>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</si>
  <si>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</si>
  <si>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</si>
  <si>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</si>
  <si>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</si>
  <si>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</si>
  <si>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</si>
  <si>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</si>
  <si>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</si>
  <si>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</si>
  <si>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</si>
  <si>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</si>
  <si>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</si>
  <si>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</si>
  <si>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</si>
  <si>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</si>
  <si>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</si>
  <si>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</si>
  <si>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</si>
  <si>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</si>
  <si>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</si>
  <si>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</si>
  <si>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</si>
  <si>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</si>
  <si>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</si>
  <si>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</si>
  <si>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</si>
  <si>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</si>
  <si>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</si>
  <si>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</si>
  <si>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</si>
  <si>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</si>
  <si>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</si>
  <si>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</si>
  <si>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</si>
  <si>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</si>
  <si>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</si>
  <si>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</si>
  <si>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</si>
  <si>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</si>
  <si>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</si>
  <si>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</si>
  <si>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</si>
  <si>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</si>
  <si>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</si>
  <si>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</si>
  <si>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</si>
  <si>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</si>
  <si>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</si>
  <si>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</si>
  <si>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</si>
  <si>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</si>
  <si>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</si>
  <si>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</si>
  <si>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</si>
  <si>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</si>
  <si>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</si>
  <si>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</si>
  <si>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</si>
  <si>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</si>
  <si>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</si>
  <si>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</si>
  <si>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</si>
  <si>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</si>
  <si>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</si>
  <si>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</si>
  <si>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</si>
  <si>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</si>
  <si>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</si>
  <si>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</si>
  <si>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</si>
  <si>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</si>
  <si>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</si>
  <si>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</si>
  <si>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</si>
  <si>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</si>
  <si>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</si>
  <si>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</si>
  <si>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</si>
  <si>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</si>
  <si>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</si>
  <si>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</si>
  <si>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</si>
  <si>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</si>
  <si>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</si>
  <si>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</si>
  <si>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</si>
  <si>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</si>
  <si>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</si>
  <si>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</si>
  <si>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</si>
  <si>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</si>
  <si>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</si>
  <si>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</si>
  <si>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</si>
  <si>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</si>
  <si>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</si>
  <si>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</si>
  <si>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</si>
  <si>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</si>
  <si>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</si>
  <si>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</si>
  <si>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</si>
  <si>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</si>
  <si>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</si>
  <si>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</si>
  <si>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</si>
  <si>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</si>
  <si>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</si>
  <si>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</si>
  <si>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</si>
  <si>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</si>
  <si>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</si>
  <si>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</si>
  <si>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</si>
  <si>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</si>
  <si>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</si>
  <si>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</si>
  <si>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</si>
  <si>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</si>
  <si>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</si>
  <si>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</si>
  <si>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</si>
  <si>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</si>
  <si>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</si>
  <si>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</si>
  <si>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</si>
  <si>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</si>
  <si>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</si>
  <si>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</si>
  <si>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</si>
  <si>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</si>
  <si>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</si>
  <si>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</si>
  <si>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</si>
  <si>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</si>
  <si>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</si>
  <si>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</si>
  <si>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</si>
  <si>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</si>
  <si>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</si>
  <si>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</si>
  <si>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</si>
  <si>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</si>
  <si>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</si>
  <si>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</si>
  <si>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</si>
  <si>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</si>
  <si>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</si>
  <si>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</si>
  <si>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</si>
  <si>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</si>
  <si>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</si>
  <si>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</si>
  <si>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</si>
  <si>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</si>
  <si>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</si>
  <si>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</si>
  <si>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</si>
  <si>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</si>
  <si>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</si>
  <si>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</si>
  <si>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</si>
  <si>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</si>
  <si>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</si>
  <si>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</si>
  <si>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</si>
  <si>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</si>
  <si>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</si>
  <si>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</si>
  <si>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</si>
  <si>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</si>
  <si>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</si>
  <si>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</si>
  <si>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</si>
  <si>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</si>
  <si>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</si>
  <si>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</si>
  <si>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</si>
  <si>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</si>
  <si>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</si>
  <si>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</si>
  <si>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</si>
  <si>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</si>
  <si>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</si>
  <si>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</si>
  <si>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</si>
  <si>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</si>
  <si>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</si>
  <si>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</si>
  <si>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</si>
  <si>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</si>
  <si>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</si>
  <si>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</si>
  <si>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</si>
  <si>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</si>
  <si>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</si>
  <si>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</si>
  <si>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</si>
  <si>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</si>
  <si>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</si>
  <si>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</si>
  <si>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</si>
  <si>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</si>
  <si>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</si>
  <si>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</si>
  <si>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</si>
  <si>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</si>
  <si>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</si>
  <si>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</si>
  <si>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</si>
  <si>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</si>
  <si>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</si>
  <si>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</si>
  <si>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</si>
  <si>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</si>
  <si>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</si>
  <si>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</si>
  <si>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</si>
  <si>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</si>
  <si>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</si>
  <si>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</si>
  <si>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</si>
  <si>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</si>
  <si>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</si>
  <si>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</si>
  <si>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</si>
  <si>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</si>
  <si>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</si>
  <si>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</si>
  <si>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</si>
  <si>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</si>
  <si>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</si>
  <si>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</si>
  <si>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</si>
  <si>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</si>
  <si>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</si>
  <si>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</si>
  <si>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</si>
  <si>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</si>
  <si>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</si>
  <si>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</si>
  <si>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</si>
  <si>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</si>
  <si>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</si>
  <si>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</si>
  <si>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</si>
  <si>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</si>
  <si>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</si>
  <si>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</si>
  <si>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</si>
  <si>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</si>
  <si>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</si>
  <si>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</si>
  <si>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</si>
  <si>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</si>
  <si>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</si>
  <si>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</si>
  <si>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</si>
  <si>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</si>
  <si>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</si>
  <si>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</si>
  <si>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</si>
  <si>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</si>
  <si>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</si>
  <si>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</si>
  <si>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</si>
  <si>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</si>
  <si>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</si>
  <si>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</si>
  <si>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</si>
  <si>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</si>
  <si>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</si>
  <si>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</si>
  <si>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</si>
  <si>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</si>
  <si>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</si>
  <si>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</si>
  <si>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</si>
  <si>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</si>
  <si>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</si>
  <si>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</si>
  <si>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</si>
  <si>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</si>
  <si>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</si>
  <si>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</si>
  <si>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</si>
  <si>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</si>
  <si>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</si>
  <si>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</si>
  <si>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</si>
  <si>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</si>
  <si>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</si>
  <si>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</si>
  <si>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</si>
  <si>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</si>
  <si>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</si>
  <si>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</si>
  <si>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</si>
  <si>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</si>
  <si>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</si>
  <si>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</si>
  <si>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</si>
  <si>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</si>
  <si>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</si>
  <si>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</si>
  <si>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</si>
  <si>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</si>
  <si>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</si>
  <si>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</si>
  <si>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</si>
  <si>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</si>
  <si>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</si>
  <si>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</si>
  <si>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</si>
  <si>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</si>
  <si>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</si>
  <si>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</si>
  <si>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</si>
  <si>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</si>
  <si>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</si>
  <si>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</si>
  <si>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</si>
  <si>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</si>
  <si>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</si>
  <si>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</si>
  <si>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</si>
  <si>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</si>
  <si>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</si>
  <si>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</si>
  <si>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</si>
  <si>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</si>
  <si>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</si>
  <si>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</si>
  <si>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</si>
  <si>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</si>
  <si>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</si>
  <si>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</si>
  <si>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</si>
  <si>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</si>
  <si>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</si>
  <si>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</si>
  <si>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</si>
  <si>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</si>
  <si>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</si>
  <si>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</si>
  <si>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</si>
  <si>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</si>
  <si>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</si>
  <si>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</si>
  <si>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</si>
  <si>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</si>
  <si>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</si>
  <si>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</si>
  <si>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</si>
  <si>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</si>
  <si>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</si>
  <si>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</si>
  <si>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</si>
  <si>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</si>
  <si>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</si>
  <si>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</si>
  <si>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</si>
  <si>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</si>
  <si>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</si>
  <si>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</si>
  <si>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</si>
  <si>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</si>
  <si>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</si>
  <si>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</si>
  <si>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</si>
  <si>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</si>
  <si>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</si>
  <si>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</si>
  <si>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</si>
  <si>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</si>
  <si>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</si>
  <si>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</si>
  <si>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</si>
  <si>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</si>
  <si>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</si>
  <si>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</si>
  <si>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</si>
  <si>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</si>
  <si>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</si>
  <si>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</si>
  <si>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</si>
  <si>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</si>
  <si>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</si>
  <si>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</si>
  <si>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</si>
  <si>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</si>
  <si>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</si>
  <si>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</si>
  <si>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</si>
  <si>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</si>
  <si>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</si>
  <si>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</si>
  <si>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</si>
  <si>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</si>
  <si>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</si>
  <si>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</si>
  <si>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</si>
  <si>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</si>
  <si>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</si>
  <si>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</si>
  <si>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</si>
  <si>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</si>
  <si>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</si>
  <si>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</si>
  <si>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</si>
  <si>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</si>
  <si>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</si>
  <si>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</si>
  <si>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</si>
  <si>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</si>
  <si>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</si>
  <si>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</si>
  <si>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</si>
  <si>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</si>
  <si>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</si>
  <si>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</si>
  <si>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</si>
  <si>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</si>
  <si>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</si>
  <si>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</si>
  <si>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</si>
  <si>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</si>
  <si>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</si>
  <si>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</si>
  <si>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</si>
  <si>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</si>
  <si>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</si>
  <si>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</si>
  <si>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</si>
  <si>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</si>
  <si>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</si>
  <si>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</si>
  <si>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</si>
  <si>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</si>
  <si>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</si>
  <si>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</si>
  <si>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</si>
  <si>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</si>
  <si>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</si>
  <si>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</si>
  <si>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</si>
  <si>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</si>
  <si>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</si>
  <si>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</si>
  <si>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</si>
  <si>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</si>
  <si>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</si>
  <si>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</si>
  <si>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</si>
  <si>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</si>
  <si>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</si>
  <si>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</si>
  <si>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</si>
  <si>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</si>
  <si>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</si>
  <si>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</si>
  <si>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</si>
  <si>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</si>
  <si>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</si>
  <si>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</si>
  <si>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</si>
  <si>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</si>
  <si>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</si>
  <si>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</si>
  <si>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</si>
  <si>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</si>
  <si>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</si>
  <si>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</si>
  <si>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</si>
  <si>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</si>
  <si>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</si>
  <si>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</si>
  <si>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</si>
  <si>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</si>
  <si>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</si>
  <si>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</si>
  <si>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</si>
  <si>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</si>
  <si>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</si>
  <si>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</si>
  <si>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</si>
  <si>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</si>
  <si>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</si>
  <si>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</si>
  <si>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</si>
  <si>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</si>
  <si>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</si>
  <si>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</si>
  <si>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</si>
  <si>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</si>
  <si>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</si>
  <si>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</si>
  <si>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</si>
  <si>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</si>
  <si>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</si>
  <si>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</si>
  <si>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</si>
  <si>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</si>
  <si>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</si>
  <si>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</si>
  <si>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</si>
  <si>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</si>
  <si>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</si>
  <si>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</si>
  <si>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</si>
  <si>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</si>
  <si>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</si>
  <si>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</si>
  <si>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</si>
  <si>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</si>
  <si>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</si>
  <si>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</si>
  <si>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</si>
  <si>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</si>
  <si>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</si>
  <si>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</si>
  <si>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</si>
  <si>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</si>
  <si>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</si>
  <si>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</si>
  <si>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</si>
  <si>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</si>
  <si>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</si>
  <si>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</si>
  <si>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</si>
  <si>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</si>
  <si>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</si>
  <si>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</si>
  <si>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</si>
  <si>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</si>
  <si>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</si>
  <si>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</si>
  <si>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</si>
  <si>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</si>
  <si>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</si>
  <si>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</si>
  <si>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</si>
  <si>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</si>
  <si>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</si>
  <si>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</si>
  <si>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</si>
  <si>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</si>
  <si>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</si>
  <si>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</si>
  <si>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</si>
  <si>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</si>
  <si>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</si>
  <si>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</si>
  <si>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</si>
  <si>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</si>
  <si>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</si>
  <si>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</si>
  <si>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</si>
  <si>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</si>
  <si>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</si>
  <si>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</si>
  <si>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</si>
  <si>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</si>
  <si>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</si>
  <si>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</si>
  <si>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</si>
  <si>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</si>
  <si>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</si>
  <si>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</si>
  <si>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</si>
  <si>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</si>
  <si>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</si>
  <si>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</si>
  <si>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</si>
  <si>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</si>
  <si>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</si>
  <si>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</si>
  <si>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</si>
  <si>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</si>
  <si>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</si>
  <si>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</si>
  <si>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</si>
  <si>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</si>
  <si>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</si>
  <si>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</si>
  <si>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</si>
  <si>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</si>
  <si>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</si>
  <si>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</si>
  <si>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</si>
  <si>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</si>
  <si>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</si>
  <si>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</si>
  <si>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</si>
  <si>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</si>
  <si>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</si>
  <si>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</si>
  <si>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</si>
  <si>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</si>
  <si>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</si>
  <si>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</si>
  <si>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</si>
  <si>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</si>
  <si>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</si>
  <si>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</si>
  <si>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</si>
  <si>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</si>
  <si>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</si>
  <si>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</si>
  <si>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</si>
  <si>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</si>
  <si>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</si>
  <si>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</si>
  <si>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</si>
  <si>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</si>
  <si>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</si>
  <si>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</si>
  <si>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</si>
  <si>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</si>
  <si>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</si>
  <si>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</si>
  <si>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</si>
  <si>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</si>
  <si>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</si>
  <si>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</si>
  <si>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</si>
  <si>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</si>
  <si>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</si>
  <si>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</si>
  <si>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</si>
  <si>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</si>
  <si>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</si>
  <si>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</si>
  <si>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</si>
  <si>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</si>
  <si>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</si>
  <si>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</si>
  <si>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</si>
  <si>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</si>
  <si>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</si>
  <si>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</si>
  <si>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</si>
  <si>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</si>
  <si>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</si>
  <si>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</si>
  <si>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</si>
  <si>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</si>
  <si>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</si>
  <si>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</si>
  <si>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</si>
  <si>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</si>
  <si>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</si>
  <si>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</si>
  <si>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</si>
  <si>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</si>
  <si>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</si>
  <si>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</si>
  <si>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</si>
  <si>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</si>
  <si>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</si>
  <si>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</si>
  <si>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</si>
  <si>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</si>
  <si>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</si>
  <si>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</si>
  <si>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</si>
  <si>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</si>
  <si>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</si>
  <si>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</si>
  <si>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</si>
  <si>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</si>
  <si>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</si>
  <si>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</si>
  <si>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</si>
  <si>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</si>
  <si>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</si>
  <si>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</si>
  <si>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</si>
  <si>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</si>
  <si>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</si>
  <si>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</si>
  <si>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</si>
  <si>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</si>
  <si>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</si>
  <si>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</si>
  <si>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</si>
  <si>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</si>
  <si>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</si>
  <si>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</si>
  <si>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</si>
  <si>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</si>
  <si>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</si>
  <si>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</si>
  <si>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</si>
  <si>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</si>
  <si>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</si>
  <si>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</si>
  <si>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</si>
  <si>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</si>
  <si>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</si>
  <si>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</si>
  <si>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</si>
  <si>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</si>
  <si>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</si>
  <si>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</si>
  <si>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</si>
  <si>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</si>
  <si>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</si>
  <si>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</si>
  <si>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</si>
  <si>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</si>
  <si>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</si>
  <si>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</si>
  <si>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</si>
  <si>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</si>
  <si>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</si>
  <si>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</si>
  <si>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</si>
  <si>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</si>
  <si>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</si>
  <si>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</si>
  <si>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</si>
  <si>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</si>
  <si>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</si>
  <si>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</si>
  <si>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</si>
  <si>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</si>
  <si>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</si>
  <si>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</si>
  <si>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</si>
  <si>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</si>
  <si>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</si>
  <si>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</si>
  <si>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</si>
  <si>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</si>
  <si>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</si>
  <si>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</si>
  <si>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</si>
  <si>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</si>
  <si>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</si>
  <si>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</si>
  <si>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</si>
  <si>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</si>
  <si>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</si>
  <si>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</si>
  <si>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</si>
  <si>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</si>
  <si>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</si>
  <si>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</si>
  <si>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</si>
  <si>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</si>
  <si>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</si>
  <si>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</si>
  <si>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</si>
  <si>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</si>
  <si>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</si>
  <si>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</si>
  <si>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</si>
  <si>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</si>
  <si>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</si>
  <si>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</si>
  <si>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</si>
  <si>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</si>
  <si>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</si>
  <si>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</si>
  <si>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</si>
  <si>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</si>
  <si>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</si>
  <si>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</si>
  <si>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</si>
  <si>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</si>
  <si>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</si>
  <si>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</si>
  <si>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</si>
  <si>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</si>
  <si>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</si>
  <si>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</si>
  <si>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</si>
  <si>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</si>
  <si>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</si>
  <si>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</si>
  <si>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</si>
  <si>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</si>
  <si>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</si>
  <si>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</si>
  <si>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</si>
  <si>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</si>
  <si>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</si>
  <si>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</si>
  <si>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</si>
  <si>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</si>
  <si>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</si>
  <si>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</si>
  <si>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</si>
  <si>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</si>
  <si>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</si>
  <si>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</si>
  <si>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</si>
  <si>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</si>
  <si>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</si>
  <si>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</si>
  <si>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</si>
  <si>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</si>
  <si>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</si>
  <si>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</si>
  <si>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</si>
  <si>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</si>
  <si>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</si>
  <si>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</si>
  <si>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</si>
  <si>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</si>
  <si>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</si>
  <si>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</si>
  <si>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</si>
  <si>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</si>
  <si>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</si>
  <si>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</si>
  <si>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</si>
  <si>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</si>
  <si>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</si>
  <si>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</si>
  <si>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</si>
  <si>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</si>
  <si>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</si>
  <si>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</si>
  <si>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</si>
  <si>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</si>
  <si>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</si>
  <si>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</si>
  <si>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</si>
  <si>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</si>
  <si>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</si>
  <si>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</si>
  <si>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</si>
  <si>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</si>
  <si>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</si>
  <si>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</si>
  <si>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</si>
  <si>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</si>
  <si>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</si>
  <si>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</si>
  <si>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</si>
  <si>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</si>
  <si>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</si>
  <si>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</si>
  <si>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</si>
  <si>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</si>
  <si>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</si>
  <si>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</si>
  <si>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</si>
  <si>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</si>
  <si>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</si>
  <si>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</si>
  <si>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</si>
  <si>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</si>
  <si>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</si>
  <si>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</si>
  <si>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</si>
  <si>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</si>
  <si>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</si>
  <si>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</si>
  <si>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</si>
  <si>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</si>
  <si>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</si>
  <si>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</si>
  <si>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</si>
  <si>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</si>
  <si>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</si>
  <si>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</si>
  <si>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</si>
  <si>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</si>
  <si>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</si>
  <si>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</si>
  <si>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</si>
  <si>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</si>
  <si>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</si>
  <si>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</si>
  <si>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</si>
  <si>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</si>
  <si>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</si>
  <si>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</si>
  <si>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</si>
  <si>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</si>
  <si>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</si>
  <si>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</si>
  <si>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</si>
  <si>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</si>
  <si>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</si>
  <si>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</si>
  <si>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</si>
  <si>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</si>
  <si>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</si>
  <si>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</si>
  <si>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</si>
  <si>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</si>
  <si>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</si>
  <si>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</si>
  <si>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</si>
  <si>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</si>
  <si>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</si>
  <si>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</si>
  <si>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</si>
  <si>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</si>
  <si>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</si>
  <si>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</si>
  <si>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</si>
  <si>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</si>
  <si>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</si>
  <si>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</si>
  <si>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</si>
  <si>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</si>
  <si>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</si>
  <si>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</si>
  <si>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</si>
  <si>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</si>
  <si>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</si>
  <si>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</si>
  <si>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</si>
  <si>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</si>
  <si>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</si>
  <si>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</si>
  <si>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</si>
  <si>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</si>
  <si>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</si>
  <si>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</si>
  <si>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</si>
  <si>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</si>
  <si>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</si>
  <si>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</si>
  <si>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</si>
  <si>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</si>
  <si>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</si>
  <si>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</si>
  <si>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</si>
  <si>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</si>
  <si>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</si>
  <si>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</si>
  <si>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</si>
  <si>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</si>
  <si>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</si>
  <si>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</si>
  <si>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</si>
  <si>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</si>
  <si>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</si>
  <si>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</si>
  <si>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</si>
  <si>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</si>
  <si>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</si>
  <si>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</si>
  <si>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</si>
  <si>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</si>
  <si>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</si>
  <si>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</si>
  <si>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</si>
  <si>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</si>
  <si>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</si>
  <si>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</si>
  <si>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</si>
  <si>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</si>
  <si>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</si>
  <si>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</si>
  <si>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</si>
  <si>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</si>
  <si>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</si>
  <si>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</si>
  <si>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</si>
  <si>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</si>
  <si>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</si>
  <si>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</si>
  <si>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</si>
  <si>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</si>
  <si>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</si>
  <si>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</si>
  <si>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</si>
  <si>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</si>
  <si>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</si>
  <si>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</si>
  <si>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</si>
  <si>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</si>
  <si>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</si>
  <si>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</si>
  <si>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</si>
  <si>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</si>
  <si>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</si>
  <si>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</si>
  <si>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</si>
  <si>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</si>
  <si>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</si>
  <si>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</si>
  <si>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</si>
  <si>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</si>
  <si>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</si>
  <si>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</si>
  <si>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</si>
  <si>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</si>
  <si>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</si>
  <si>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</si>
  <si>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 xml:space="preserve"> </t>
  </si>
  <si>
    <t>140</t>
  </si>
  <si>
    <t>Kittitas Valley Healthcare</t>
  </si>
  <si>
    <t>603 South Chestnut Street</t>
  </si>
  <si>
    <t>Ellensburg</t>
  </si>
  <si>
    <t>WA</t>
  </si>
  <si>
    <t>Kittitas</t>
  </si>
  <si>
    <t>Julie A. Petersen</t>
  </si>
  <si>
    <t>Dale Scott Olander</t>
  </si>
  <si>
    <t>Erica Libenow</t>
  </si>
  <si>
    <t>(509) 962-9841</t>
  </si>
  <si>
    <t>(509) 962-7351</t>
  </si>
  <si>
    <t>12/31/2022</t>
  </si>
  <si>
    <t>Matthew Altman</t>
  </si>
  <si>
    <t xml:space="preserve">Kittitas  </t>
  </si>
  <si>
    <t>(509 962-7351</t>
  </si>
  <si>
    <t>solander@kvhealthcare.org</t>
  </si>
  <si>
    <t>Ellensburg, WA 98926</t>
  </si>
  <si>
    <t>https://mft.wa.gov</t>
  </si>
  <si>
    <t>Submit report via hospitals Managed File Transfer account: https://mft.wa.gov/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</si>
</sst>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8" fontId="15" fillId="4" borderId="14" xfId="0" quotePrefix="1" applyNumberFormat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https://m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lander@kvhealthcare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0" transitionEvaluation="1" transitionEntry="1" codeName="Sheet1">
    <tabColor rgb="FF92D050"/>
    <pageSetUpPr autoPageBreaks="0" fitToPage="1"/>
  </sheetPr>
  <dimension ref="A1:CF716"/>
  <sheetViews>
    <sheetView tabSelected="1" topLeftCell="A10" zoomScaleNormal="100" workbookViewId="0">
      <selection activeCell="A32" sqref="A32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2" t="s">
        <v>1382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3" t="s">
        <v>18</v>
      </c>
      <c r="B36" s="334"/>
      <c r="C36" s="335"/>
      <c r="D36" s="334"/>
      <c r="E36" s="334"/>
      <c r="F36" s="334"/>
      <c r="G36" s="334"/>
    </row>
    <row r="37" spans="1:83" x14ac:dyDescent="0.35">
      <c r="A37" s="336" t="s">
        <v>1342</v>
      </c>
      <c r="B37" s="337"/>
      <c r="C37" s="335"/>
      <c r="D37" s="334"/>
      <c r="E37" s="334"/>
      <c r="F37" s="334"/>
      <c r="G37" s="334"/>
    </row>
    <row r="38" spans="1:83" x14ac:dyDescent="0.35">
      <c r="A38" s="340" t="s">
        <v>1361</v>
      </c>
      <c r="B38" s="337"/>
      <c r="C38" s="335"/>
      <c r="D38" s="334"/>
      <c r="E38" s="334"/>
      <c r="F38" s="334"/>
      <c r="G38" s="334"/>
    </row>
    <row r="39" spans="1:83" x14ac:dyDescent="0.35">
      <c r="A39" s="339" t="s">
        <v>1343</v>
      </c>
      <c r="B39" s="334"/>
      <c r="C39" s="335"/>
      <c r="D39" s="334"/>
      <c r="E39" s="334"/>
      <c r="F39" s="334"/>
      <c r="G39" s="334"/>
    </row>
    <row r="40" spans="1:83" x14ac:dyDescent="0.35">
      <c r="A40" s="340" t="s">
        <v>1362</v>
      </c>
      <c r="B40" s="334"/>
      <c r="C40" s="335"/>
      <c r="D40" s="334"/>
      <c r="E40" s="334"/>
      <c r="F40" s="334"/>
      <c r="G40" s="334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332" t="s">
        <v>1383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1">
        <v>13048651</v>
      </c>
      <c r="C48" s="32">
        <f>IF($B$48,(ROUND((($B$48/$CE$61)*C61),0)))</f>
        <v>347780</v>
      </c>
      <c r="D48" s="32">
        <f t="shared" ref="D48:BO48" si="0">IF($B$48,(ROUND((($B$48/$CE$61)*D61),0)))</f>
        <v>0</v>
      </c>
      <c r="E48" s="32">
        <f t="shared" si="0"/>
        <v>445782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35381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376324</v>
      </c>
      <c r="P48" s="32">
        <f t="shared" si="0"/>
        <v>658007</v>
      </c>
      <c r="Q48" s="32">
        <f t="shared" si="0"/>
        <v>23683</v>
      </c>
      <c r="R48" s="32">
        <f t="shared" si="0"/>
        <v>0</v>
      </c>
      <c r="S48" s="32">
        <f t="shared" si="0"/>
        <v>67835</v>
      </c>
      <c r="T48" s="32">
        <f t="shared" si="0"/>
        <v>0</v>
      </c>
      <c r="U48" s="32">
        <f t="shared" si="0"/>
        <v>443853</v>
      </c>
      <c r="V48" s="32">
        <f t="shared" si="0"/>
        <v>0</v>
      </c>
      <c r="W48" s="32">
        <f t="shared" si="0"/>
        <v>0</v>
      </c>
      <c r="X48" s="32">
        <f t="shared" si="0"/>
        <v>198075</v>
      </c>
      <c r="Y48" s="32">
        <f t="shared" si="0"/>
        <v>254338</v>
      </c>
      <c r="Z48" s="32">
        <f t="shared" si="0"/>
        <v>0</v>
      </c>
      <c r="AA48" s="32">
        <f t="shared" si="0"/>
        <v>0</v>
      </c>
      <c r="AB48" s="32">
        <f t="shared" si="0"/>
        <v>359432</v>
      </c>
      <c r="AC48" s="32">
        <f t="shared" si="0"/>
        <v>159758</v>
      </c>
      <c r="AD48" s="32">
        <f t="shared" si="0"/>
        <v>0</v>
      </c>
      <c r="AE48" s="32">
        <f t="shared" si="0"/>
        <v>69683</v>
      </c>
      <c r="AF48" s="32">
        <f t="shared" si="0"/>
        <v>0</v>
      </c>
      <c r="AG48" s="32">
        <f t="shared" si="0"/>
        <v>1289480</v>
      </c>
      <c r="AH48" s="32">
        <f t="shared" si="0"/>
        <v>0</v>
      </c>
      <c r="AI48" s="32">
        <f t="shared" si="0"/>
        <v>0</v>
      </c>
      <c r="AJ48" s="32">
        <f t="shared" si="0"/>
        <v>4406785</v>
      </c>
      <c r="AK48" s="32">
        <f t="shared" si="0"/>
        <v>38</v>
      </c>
      <c r="AL48" s="32">
        <f t="shared" si="0"/>
        <v>-117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337018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54210</v>
      </c>
      <c r="AZ48" s="32">
        <f t="shared" si="0"/>
        <v>132305</v>
      </c>
      <c r="BA48" s="32">
        <f t="shared" si="0"/>
        <v>44774</v>
      </c>
      <c r="BB48" s="32">
        <f t="shared" si="0"/>
        <v>26832</v>
      </c>
      <c r="BC48" s="32">
        <f t="shared" si="0"/>
        <v>0</v>
      </c>
      <c r="BD48" s="32">
        <f t="shared" si="0"/>
        <v>79567</v>
      </c>
      <c r="BE48" s="32">
        <f t="shared" si="0"/>
        <v>151035</v>
      </c>
      <c r="BF48" s="32">
        <f t="shared" si="0"/>
        <v>275442</v>
      </c>
      <c r="BG48" s="32">
        <f t="shared" si="0"/>
        <v>0</v>
      </c>
      <c r="BH48" s="32">
        <f t="shared" si="0"/>
        <v>414489</v>
      </c>
      <c r="BI48" s="32">
        <f t="shared" si="0"/>
        <v>0</v>
      </c>
      <c r="BJ48" s="32">
        <f t="shared" si="0"/>
        <v>144599</v>
      </c>
      <c r="BK48" s="32">
        <f t="shared" si="0"/>
        <v>287133</v>
      </c>
      <c r="BL48" s="32">
        <f t="shared" si="0"/>
        <v>195346</v>
      </c>
      <c r="BM48" s="32">
        <f t="shared" si="0"/>
        <v>0</v>
      </c>
      <c r="BN48" s="32">
        <f t="shared" si="0"/>
        <v>284131</v>
      </c>
      <c r="BO48" s="32">
        <f t="shared" si="0"/>
        <v>58898</v>
      </c>
      <c r="BP48" s="32">
        <f t="shared" ref="BP48:CD48" si="1">IF($B$48,(ROUND((($B$48/$CE$61)*BP61),0)))</f>
        <v>93093</v>
      </c>
      <c r="BQ48" s="32">
        <f t="shared" si="1"/>
        <v>0</v>
      </c>
      <c r="BR48" s="32">
        <f t="shared" si="1"/>
        <v>164735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354165</v>
      </c>
      <c r="BW48" s="32">
        <f t="shared" si="1"/>
        <v>206461</v>
      </c>
      <c r="BX48" s="32">
        <f t="shared" si="1"/>
        <v>212309</v>
      </c>
      <c r="BY48" s="32">
        <f t="shared" si="1"/>
        <v>395991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13048650</v>
      </c>
    </row>
    <row r="49" spans="1:83" x14ac:dyDescent="0.35">
      <c r="A49" s="20" t="s">
        <v>218</v>
      </c>
      <c r="B49" s="32">
        <f>B47+B48</f>
        <v>13048651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>
        <v>18169</v>
      </c>
      <c r="D51" s="24"/>
      <c r="E51" s="24">
        <v>32670</v>
      </c>
      <c r="F51" s="24"/>
      <c r="G51" s="24"/>
      <c r="H51" s="24"/>
      <c r="I51" s="24"/>
      <c r="J51" s="24"/>
      <c r="K51" s="24"/>
      <c r="L51" s="24"/>
      <c r="M51" s="24"/>
      <c r="N51" s="24"/>
      <c r="O51" s="24">
        <v>53351</v>
      </c>
      <c r="P51" s="24">
        <f>303906+9340</f>
        <v>313246</v>
      </c>
      <c r="Q51" s="24">
        <v>11404</v>
      </c>
      <c r="R51" s="24">
        <v>13454</v>
      </c>
      <c r="S51" s="24">
        <v>51721</v>
      </c>
      <c r="T51" s="24"/>
      <c r="U51" s="24">
        <v>225109</v>
      </c>
      <c r="V51" s="24"/>
      <c r="W51" s="24"/>
      <c r="X51" s="24"/>
      <c r="Y51" s="24">
        <v>738790</v>
      </c>
      <c r="Z51" s="24"/>
      <c r="AA51" s="24"/>
      <c r="AB51" s="24">
        <f>155010+43642</f>
        <v>198652</v>
      </c>
      <c r="AC51" s="24">
        <v>56949</v>
      </c>
      <c r="AD51" s="24"/>
      <c r="AE51" s="24">
        <f>130795+13084</f>
        <v>143879</v>
      </c>
      <c r="AF51" s="24"/>
      <c r="AG51" s="24">
        <f>31644</f>
        <v>31644</v>
      </c>
      <c r="AH51" s="24"/>
      <c r="AI51" s="24"/>
      <c r="AJ51" s="24">
        <f>7444+550441</f>
        <v>557885</v>
      </c>
      <c r="AK51" s="24">
        <v>42034</v>
      </c>
      <c r="AL51" s="24">
        <v>11775</v>
      </c>
      <c r="AM51" s="24"/>
      <c r="AN51" s="24"/>
      <c r="AO51" s="24"/>
      <c r="AP51" s="24"/>
      <c r="AQ51" s="24"/>
      <c r="AR51" s="24">
        <f>21300</f>
        <v>21300</v>
      </c>
      <c r="AS51" s="24"/>
      <c r="AT51" s="24"/>
      <c r="AU51" s="24"/>
      <c r="AV51" s="24"/>
      <c r="AW51" s="24"/>
      <c r="AX51" s="24"/>
      <c r="AY51" s="24">
        <v>9048</v>
      </c>
      <c r="AZ51" s="24"/>
      <c r="BA51" s="24">
        <v>6344</v>
      </c>
      <c r="BB51" s="24"/>
      <c r="BC51" s="24"/>
      <c r="BD51" s="24"/>
      <c r="BE51" s="24">
        <v>70163</v>
      </c>
      <c r="BF51" s="24">
        <v>2595</v>
      </c>
      <c r="BG51" s="24"/>
      <c r="BH51" s="24">
        <v>990352</v>
      </c>
      <c r="BI51" s="24"/>
      <c r="BJ51" s="24">
        <v>741</v>
      </c>
      <c r="BK51" s="24">
        <v>2577</v>
      </c>
      <c r="BL51" s="24"/>
      <c r="BM51" s="24"/>
      <c r="BN51" s="24">
        <f>53647</f>
        <v>53647</v>
      </c>
      <c r="BO51" s="24">
        <f>39074</f>
        <v>39074</v>
      </c>
      <c r="BP51" s="24"/>
      <c r="BQ51" s="24"/>
      <c r="BR51" s="24">
        <f>1007+1637</f>
        <v>2644</v>
      </c>
      <c r="BS51" s="24"/>
      <c r="BT51" s="24"/>
      <c r="BU51" s="24"/>
      <c r="BV51" s="24">
        <v>2186</v>
      </c>
      <c r="BW51" s="24"/>
      <c r="BX51" s="24">
        <f>4599+3</f>
        <v>4602</v>
      </c>
      <c r="BY51" s="24">
        <f>55</f>
        <v>55</v>
      </c>
      <c r="BZ51" s="24"/>
      <c r="CA51" s="24"/>
      <c r="CB51" s="24"/>
      <c r="CC51" s="24"/>
      <c r="CD51" s="20"/>
      <c r="CE51" s="32">
        <f>SUM(C51:CD51)</f>
        <v>3706060</v>
      </c>
    </row>
    <row r="52" spans="1:83" x14ac:dyDescent="0.35">
      <c r="A52" s="39" t="s">
        <v>220</v>
      </c>
      <c r="B52" s="312">
        <v>1955875</v>
      </c>
      <c r="C52" s="32">
        <f>IF($B$52,ROUND(($B$52/($CE$90+$CF$90)*C90),0))</f>
        <v>38837</v>
      </c>
      <c r="D52" s="32">
        <f t="shared" ref="D52:BO52" si="2">IF($B$52,ROUND(($B$52/($CE$90+$CF$90)*D90),0))</f>
        <v>0</v>
      </c>
      <c r="E52" s="32">
        <f t="shared" si="2"/>
        <v>175791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3378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42014</v>
      </c>
      <c r="P52" s="32">
        <f t="shared" si="2"/>
        <v>164825</v>
      </c>
      <c r="Q52" s="32">
        <f t="shared" si="2"/>
        <v>13567</v>
      </c>
      <c r="R52" s="32">
        <f t="shared" si="2"/>
        <v>0</v>
      </c>
      <c r="S52" s="32">
        <f t="shared" si="2"/>
        <v>20498</v>
      </c>
      <c r="T52" s="32">
        <f t="shared" si="2"/>
        <v>0</v>
      </c>
      <c r="U52" s="32">
        <f t="shared" si="2"/>
        <v>61131</v>
      </c>
      <c r="V52" s="32">
        <f t="shared" si="2"/>
        <v>0</v>
      </c>
      <c r="W52" s="32">
        <f t="shared" si="2"/>
        <v>1904</v>
      </c>
      <c r="X52" s="32">
        <f t="shared" si="2"/>
        <v>30458</v>
      </c>
      <c r="Y52" s="32">
        <f t="shared" si="2"/>
        <v>31571</v>
      </c>
      <c r="Z52" s="32">
        <f t="shared" si="2"/>
        <v>0</v>
      </c>
      <c r="AA52" s="32">
        <f t="shared" si="2"/>
        <v>0</v>
      </c>
      <c r="AB52" s="32">
        <f t="shared" si="2"/>
        <v>15591</v>
      </c>
      <c r="AC52" s="32">
        <f t="shared" si="2"/>
        <v>13835</v>
      </c>
      <c r="AD52" s="32">
        <f t="shared" si="2"/>
        <v>0</v>
      </c>
      <c r="AE52" s="32">
        <f t="shared" si="2"/>
        <v>0</v>
      </c>
      <c r="AF52" s="32">
        <f t="shared" si="2"/>
        <v>0</v>
      </c>
      <c r="AG52" s="32">
        <f t="shared" si="2"/>
        <v>69174</v>
      </c>
      <c r="AH52" s="32">
        <f t="shared" si="2"/>
        <v>0</v>
      </c>
      <c r="AI52" s="32">
        <f t="shared" si="2"/>
        <v>0</v>
      </c>
      <c r="AJ52" s="32">
        <f t="shared" si="2"/>
        <v>560325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18688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35231</v>
      </c>
      <c r="AZ52" s="32">
        <f t="shared" si="2"/>
        <v>25873</v>
      </c>
      <c r="BA52" s="32">
        <f t="shared" si="2"/>
        <v>11462</v>
      </c>
      <c r="BB52" s="32">
        <f t="shared" si="2"/>
        <v>2896</v>
      </c>
      <c r="BC52" s="32">
        <f t="shared" si="2"/>
        <v>0</v>
      </c>
      <c r="BD52" s="32">
        <f t="shared" si="2"/>
        <v>42041</v>
      </c>
      <c r="BE52" s="32">
        <f t="shared" si="2"/>
        <v>69469</v>
      </c>
      <c r="BF52" s="32">
        <f t="shared" si="2"/>
        <v>4598</v>
      </c>
      <c r="BG52" s="32">
        <f t="shared" si="2"/>
        <v>0</v>
      </c>
      <c r="BH52" s="32">
        <f t="shared" si="2"/>
        <v>46331</v>
      </c>
      <c r="BI52" s="32">
        <f t="shared" si="2"/>
        <v>0</v>
      </c>
      <c r="BJ52" s="32">
        <f t="shared" si="2"/>
        <v>8901</v>
      </c>
      <c r="BK52" s="32">
        <f t="shared" si="2"/>
        <v>107220</v>
      </c>
      <c r="BL52" s="32">
        <f t="shared" si="2"/>
        <v>5644</v>
      </c>
      <c r="BM52" s="32">
        <f t="shared" si="2"/>
        <v>0</v>
      </c>
      <c r="BN52" s="32">
        <f t="shared" si="2"/>
        <v>271442</v>
      </c>
      <c r="BO52" s="32">
        <f t="shared" si="2"/>
        <v>4826</v>
      </c>
      <c r="BP52" s="32">
        <f t="shared" ref="BP52:CD52" si="3">IF($B$52,ROUND(($B$52/($CE$90+$CF$90)*BP90),0))</f>
        <v>5215</v>
      </c>
      <c r="BQ52" s="32">
        <f t="shared" si="3"/>
        <v>0</v>
      </c>
      <c r="BR52" s="32">
        <f t="shared" si="3"/>
        <v>13714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23903</v>
      </c>
      <c r="BW52" s="32">
        <f t="shared" si="3"/>
        <v>1126</v>
      </c>
      <c r="BX52" s="32">
        <f t="shared" si="3"/>
        <v>8044</v>
      </c>
      <c r="BY52" s="32">
        <f t="shared" si="3"/>
        <v>6354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1955877</v>
      </c>
    </row>
    <row r="53" spans="1:83" x14ac:dyDescent="0.35">
      <c r="A53" s="20" t="s">
        <v>218</v>
      </c>
      <c r="B53" s="32">
        <f>B51+B52</f>
        <v>1955875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567</v>
      </c>
      <c r="D59" s="24"/>
      <c r="E59" s="24">
        <f>2878-388+739</f>
        <v>3229</v>
      </c>
      <c r="F59" s="24"/>
      <c r="G59" s="24"/>
      <c r="H59" s="24"/>
      <c r="I59" s="24"/>
      <c r="J59" s="24">
        <v>526</v>
      </c>
      <c r="K59" s="24"/>
      <c r="L59" s="24">
        <v>57</v>
      </c>
      <c r="M59" s="24"/>
      <c r="N59" s="24"/>
      <c r="O59" s="24">
        <v>318</v>
      </c>
      <c r="P59" s="30">
        <f>38396+104161</f>
        <v>142557</v>
      </c>
      <c r="Q59" s="30"/>
      <c r="R59" s="30"/>
      <c r="S59" s="313"/>
      <c r="T59" s="313"/>
      <c r="U59" s="31">
        <f>23401+254226</f>
        <v>277627</v>
      </c>
      <c r="V59" s="30"/>
      <c r="W59" s="30">
        <f>37+2240</f>
        <v>2277</v>
      </c>
      <c r="X59" s="30">
        <f>630+5590</f>
        <v>6220</v>
      </c>
      <c r="Y59" s="30">
        <f>1226+15427+139+981+258+5914+2780</f>
        <v>26725</v>
      </c>
      <c r="Z59" s="30"/>
      <c r="AA59" s="30"/>
      <c r="AB59" s="313"/>
      <c r="AC59" s="30"/>
      <c r="AD59" s="30"/>
      <c r="AE59" s="30">
        <f>1067+8754+2606</f>
        <v>12427</v>
      </c>
      <c r="AF59" s="30"/>
      <c r="AG59" s="30">
        <f>2047+13596</f>
        <v>15643</v>
      </c>
      <c r="AH59" s="30"/>
      <c r="AI59" s="30"/>
      <c r="AJ59" s="30">
        <v>88913</v>
      </c>
      <c r="AK59" s="30">
        <f>468+2119</f>
        <v>2587</v>
      </c>
      <c r="AL59" s="30">
        <f>132+1914</f>
        <v>2046</v>
      </c>
      <c r="AM59" s="30"/>
      <c r="AN59" s="30"/>
      <c r="AO59" s="30"/>
      <c r="AP59" s="30"/>
      <c r="AQ59" s="30"/>
      <c r="AR59" s="30">
        <f>7255+7506</f>
        <v>14761</v>
      </c>
      <c r="AS59" s="30"/>
      <c r="AT59" s="30"/>
      <c r="AU59" s="30"/>
      <c r="AV59" s="313"/>
      <c r="AW59" s="313"/>
      <c r="AX59" s="313"/>
      <c r="AY59" s="30">
        <v>15871</v>
      </c>
      <c r="AZ59" s="30">
        <v>38735</v>
      </c>
      <c r="BA59" s="313"/>
      <c r="BB59" s="313"/>
      <c r="BC59" s="313"/>
      <c r="BD59" s="313"/>
      <c r="BE59" s="30">
        <v>145897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3"/>
      <c r="CE59" s="32"/>
    </row>
    <row r="60" spans="1:83" s="225" customFormat="1" x14ac:dyDescent="0.35">
      <c r="A60" s="240" t="s">
        <v>247</v>
      </c>
      <c r="B60" s="241"/>
      <c r="C60" s="314">
        <v>15.1</v>
      </c>
      <c r="D60" s="314"/>
      <c r="E60" s="314">
        <v>22.73</v>
      </c>
      <c r="F60" s="314"/>
      <c r="G60" s="314"/>
      <c r="H60" s="314"/>
      <c r="I60" s="314"/>
      <c r="J60" s="314">
        <v>2</v>
      </c>
      <c r="K60" s="314"/>
      <c r="L60" s="314"/>
      <c r="M60" s="314"/>
      <c r="N60" s="314"/>
      <c r="O60" s="314">
        <f>15.4+0.4</f>
        <v>15.8</v>
      </c>
      <c r="P60" s="315">
        <f>9.45+0.03+0.7+1.7+16.49</f>
        <v>28.369999999999997</v>
      </c>
      <c r="Q60" s="315">
        <v>0.27</v>
      </c>
      <c r="R60" s="315"/>
      <c r="S60" s="316">
        <v>5.17</v>
      </c>
      <c r="T60" s="316"/>
      <c r="U60" s="317">
        <v>25.89</v>
      </c>
      <c r="V60" s="315"/>
      <c r="W60" s="315">
        <v>0</v>
      </c>
      <c r="X60" s="315">
        <v>9.34</v>
      </c>
      <c r="Y60" s="315">
        <f>7.49+1.23+2.79+1.82</f>
        <v>13.330000000000002</v>
      </c>
      <c r="Z60" s="315"/>
      <c r="AA60" s="315"/>
      <c r="AB60" s="316">
        <f>11.68+1.8</f>
        <v>13.48</v>
      </c>
      <c r="AC60" s="315">
        <v>7.51</v>
      </c>
      <c r="AD60" s="315"/>
      <c r="AE60" s="315">
        <f>1+2.73</f>
        <v>3.73</v>
      </c>
      <c r="AF60" s="315"/>
      <c r="AG60" s="315">
        <f>23.67+0.23+0.1</f>
        <v>24.000000000000004</v>
      </c>
      <c r="AH60" s="315"/>
      <c r="AI60" s="315"/>
      <c r="AJ60" s="315">
        <f>6.79+0.92+46.48+22.12+11.09+27.57+13.67+1.83+5.46+10.94+0.38+11.29+5.22+3.81</f>
        <v>167.57</v>
      </c>
      <c r="AK60" s="315"/>
      <c r="AL60" s="315"/>
      <c r="AM60" s="315"/>
      <c r="AN60" s="315"/>
      <c r="AO60" s="315"/>
      <c r="AP60" s="315"/>
      <c r="AQ60" s="315"/>
      <c r="AR60" s="315">
        <f>11.87+5.46</f>
        <v>17.329999999999998</v>
      </c>
      <c r="AS60" s="315"/>
      <c r="AT60" s="315"/>
      <c r="AU60" s="315"/>
      <c r="AV60" s="316"/>
      <c r="AW60" s="316"/>
      <c r="AX60" s="316"/>
      <c r="AY60" s="315">
        <f>13.07-8.85</f>
        <v>4.2200000000000006</v>
      </c>
      <c r="AZ60" s="315">
        <v>8.85</v>
      </c>
      <c r="BA60" s="316">
        <v>3.21</v>
      </c>
      <c r="BB60" s="316">
        <v>1.52</v>
      </c>
      <c r="BC60" s="316"/>
      <c r="BD60" s="316">
        <f>5.53</f>
        <v>5.53</v>
      </c>
      <c r="BE60" s="315">
        <v>7.97</v>
      </c>
      <c r="BF60" s="316">
        <v>24.07</v>
      </c>
      <c r="BG60" s="316"/>
      <c r="BH60" s="316">
        <v>17.649999999999999</v>
      </c>
      <c r="BI60" s="316"/>
      <c r="BJ60" s="316">
        <v>6.98</v>
      </c>
      <c r="BK60" s="316">
        <v>21.05</v>
      </c>
      <c r="BL60" s="316">
        <v>17.21</v>
      </c>
      <c r="BM60" s="316"/>
      <c r="BN60" s="316">
        <f>7.08+0.17</f>
        <v>7.25</v>
      </c>
      <c r="BO60" s="316">
        <v>2.85</v>
      </c>
      <c r="BP60" s="316">
        <v>3.89</v>
      </c>
      <c r="BQ60" s="316"/>
      <c r="BR60" s="316">
        <f>7.5+0.7</f>
        <v>8.1999999999999993</v>
      </c>
      <c r="BS60" s="316"/>
      <c r="BT60" s="316"/>
      <c r="BU60" s="316"/>
      <c r="BV60" s="316">
        <v>23.05</v>
      </c>
      <c r="BW60" s="316">
        <v>4.03</v>
      </c>
      <c r="BX60" s="316">
        <f>6.56+0.96</f>
        <v>7.52</v>
      </c>
      <c r="BY60" s="316">
        <f>4.87+6.56+1+1.77</f>
        <v>14.2</v>
      </c>
      <c r="BZ60" s="316"/>
      <c r="CA60" s="316"/>
      <c r="CB60" s="316"/>
      <c r="CC60" s="316"/>
      <c r="CD60" s="246" t="s">
        <v>233</v>
      </c>
      <c r="CE60" s="267">
        <f t="shared" ref="CE60:CE68" si="4">SUM(C60:CD60)</f>
        <v>560.86999999999989</v>
      </c>
    </row>
    <row r="61" spans="1:83" x14ac:dyDescent="0.35">
      <c r="A61" s="39" t="s">
        <v>248</v>
      </c>
      <c r="B61" s="20"/>
      <c r="C61" s="24">
        <v>1455192</v>
      </c>
      <c r="D61" s="24"/>
      <c r="E61" s="24">
        <f>1865257</f>
        <v>1865257</v>
      </c>
      <c r="F61" s="24"/>
      <c r="G61" s="24"/>
      <c r="H61" s="24"/>
      <c r="I61" s="24"/>
      <c r="J61" s="24">
        <v>148042</v>
      </c>
      <c r="K61" s="24"/>
      <c r="L61" s="24"/>
      <c r="M61" s="24"/>
      <c r="N61" s="24"/>
      <c r="O61" s="24">
        <f>794292+780336</f>
        <v>1574628</v>
      </c>
      <c r="P61" s="30">
        <f>855375+3137+32586+157651+1704508</f>
        <v>2753257</v>
      </c>
      <c r="Q61" s="30">
        <f>99094</f>
        <v>99094</v>
      </c>
      <c r="R61" s="30"/>
      <c r="S61" s="318">
        <f>283836</f>
        <v>283836</v>
      </c>
      <c r="T61" s="318"/>
      <c r="U61" s="31">
        <f>1857186</f>
        <v>1857186</v>
      </c>
      <c r="V61" s="30"/>
      <c r="W61" s="30"/>
      <c r="X61" s="30">
        <v>828792</v>
      </c>
      <c r="Y61" s="30">
        <f>491878+125492+288421+158419</f>
        <v>1064210</v>
      </c>
      <c r="Z61" s="30"/>
      <c r="AA61" s="30"/>
      <c r="AB61" s="319">
        <f>1328041+175908</f>
        <v>1503949</v>
      </c>
      <c r="AC61" s="30">
        <f>668467</f>
        <v>668467</v>
      </c>
      <c r="AD61" s="30"/>
      <c r="AE61" s="30">
        <f>233361+58210</f>
        <v>291571</v>
      </c>
      <c r="AF61" s="30"/>
      <c r="AG61" s="30">
        <f>2452854+31612+2906761+4262</f>
        <v>5395489</v>
      </c>
      <c r="AH61" s="30"/>
      <c r="AI61" s="30"/>
      <c r="AJ61" s="30">
        <f>835603+17119399+7800+400465+75762</f>
        <v>18439029</v>
      </c>
      <c r="AK61" s="30">
        <v>160</v>
      </c>
      <c r="AL61" s="30">
        <f>-488</f>
        <v>-488</v>
      </c>
      <c r="AM61" s="30"/>
      <c r="AN61" s="30"/>
      <c r="AO61" s="30"/>
      <c r="AP61" s="30"/>
      <c r="AQ61" s="30"/>
      <c r="AR61" s="30">
        <f>965088+445075</f>
        <v>1410163</v>
      </c>
      <c r="AS61" s="30"/>
      <c r="AT61" s="30"/>
      <c r="AU61" s="30"/>
      <c r="AV61" s="318"/>
      <c r="AW61" s="318"/>
      <c r="AX61" s="318"/>
      <c r="AY61" s="30">
        <f>780422-553595</f>
        <v>226827</v>
      </c>
      <c r="AZ61" s="30">
        <v>553595</v>
      </c>
      <c r="BA61" s="318">
        <f>187345</f>
        <v>187345</v>
      </c>
      <c r="BB61" s="318">
        <f>112271</f>
        <v>112271</v>
      </c>
      <c r="BC61" s="318"/>
      <c r="BD61" s="318">
        <f>332929</f>
        <v>332929</v>
      </c>
      <c r="BE61" s="30">
        <f>631967</f>
        <v>631967</v>
      </c>
      <c r="BF61" s="318">
        <f>1152514</f>
        <v>1152514</v>
      </c>
      <c r="BG61" s="318"/>
      <c r="BH61" s="318">
        <v>1734318</v>
      </c>
      <c r="BI61" s="318"/>
      <c r="BJ61" s="318">
        <f>605035</f>
        <v>605035</v>
      </c>
      <c r="BK61" s="318">
        <f>1201432</f>
        <v>1201432</v>
      </c>
      <c r="BL61" s="318">
        <f>817375</f>
        <v>817375</v>
      </c>
      <c r="BM61" s="318"/>
      <c r="BN61" s="318">
        <f>1145295+43575</f>
        <v>1188870</v>
      </c>
      <c r="BO61" s="318">
        <f>246444</f>
        <v>246444</v>
      </c>
      <c r="BP61" s="318">
        <f>389523</f>
        <v>389523</v>
      </c>
      <c r="BQ61" s="318"/>
      <c r="BR61" s="318">
        <f>640054+49238</f>
        <v>689292</v>
      </c>
      <c r="BS61" s="318"/>
      <c r="BT61" s="318"/>
      <c r="BU61" s="318"/>
      <c r="BV61" s="318">
        <f>1481909</f>
        <v>1481909</v>
      </c>
      <c r="BW61" s="318">
        <f>863881</f>
        <v>863881</v>
      </c>
      <c r="BX61" s="318">
        <f>70595+688476+129279</f>
        <v>888350</v>
      </c>
      <c r="BY61" s="318">
        <f>1005616+651308-4</f>
        <v>1656920</v>
      </c>
      <c r="BZ61" s="318"/>
      <c r="CA61" s="318"/>
      <c r="CB61" s="318"/>
      <c r="CC61" s="318"/>
      <c r="CD61" s="29" t="s">
        <v>233</v>
      </c>
      <c r="CE61" s="32">
        <f t="shared" si="4"/>
        <v>54598631</v>
      </c>
    </row>
    <row r="62" spans="1:83" x14ac:dyDescent="0.35">
      <c r="A62" s="39" t="s">
        <v>9</v>
      </c>
      <c r="B62" s="20"/>
      <c r="C62" s="32">
        <f>ROUND(C47+C48,0)</f>
        <v>347780</v>
      </c>
      <c r="D62" s="32">
        <f t="shared" ref="D62:BO62" si="5">ROUND(D47+D48,0)</f>
        <v>0</v>
      </c>
      <c r="E62" s="32">
        <f t="shared" si="5"/>
        <v>445782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35381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376324</v>
      </c>
      <c r="P62" s="32">
        <f t="shared" si="5"/>
        <v>658007</v>
      </c>
      <c r="Q62" s="32">
        <f t="shared" si="5"/>
        <v>23683</v>
      </c>
      <c r="R62" s="32">
        <f t="shared" si="5"/>
        <v>0</v>
      </c>
      <c r="S62" s="32">
        <f t="shared" si="5"/>
        <v>67835</v>
      </c>
      <c r="T62" s="32">
        <f t="shared" si="5"/>
        <v>0</v>
      </c>
      <c r="U62" s="32">
        <f t="shared" si="5"/>
        <v>443853</v>
      </c>
      <c r="V62" s="32">
        <f t="shared" si="5"/>
        <v>0</v>
      </c>
      <c r="W62" s="32">
        <f t="shared" si="5"/>
        <v>0</v>
      </c>
      <c r="X62" s="32">
        <f t="shared" si="5"/>
        <v>198075</v>
      </c>
      <c r="Y62" s="32">
        <f t="shared" si="5"/>
        <v>254338</v>
      </c>
      <c r="Z62" s="32">
        <f t="shared" si="5"/>
        <v>0</v>
      </c>
      <c r="AA62" s="32">
        <f t="shared" si="5"/>
        <v>0</v>
      </c>
      <c r="AB62" s="32">
        <f t="shared" si="5"/>
        <v>359432</v>
      </c>
      <c r="AC62" s="32">
        <f t="shared" si="5"/>
        <v>159758</v>
      </c>
      <c r="AD62" s="32">
        <f t="shared" si="5"/>
        <v>0</v>
      </c>
      <c r="AE62" s="32">
        <f t="shared" si="5"/>
        <v>69683</v>
      </c>
      <c r="AF62" s="32">
        <f t="shared" si="5"/>
        <v>0</v>
      </c>
      <c r="AG62" s="32">
        <f t="shared" si="5"/>
        <v>1289480</v>
      </c>
      <c r="AH62" s="32">
        <f t="shared" si="5"/>
        <v>0</v>
      </c>
      <c r="AI62" s="32">
        <f t="shared" si="5"/>
        <v>0</v>
      </c>
      <c r="AJ62" s="32">
        <f t="shared" si="5"/>
        <v>4406785</v>
      </c>
      <c r="AK62" s="32">
        <f t="shared" si="5"/>
        <v>38</v>
      </c>
      <c r="AL62" s="32">
        <f t="shared" si="5"/>
        <v>-117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337018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54210</v>
      </c>
      <c r="AZ62" s="32">
        <f t="shared" si="5"/>
        <v>132305</v>
      </c>
      <c r="BA62" s="32">
        <f t="shared" si="5"/>
        <v>44774</v>
      </c>
      <c r="BB62" s="32">
        <f t="shared" si="5"/>
        <v>26832</v>
      </c>
      <c r="BC62" s="32">
        <f t="shared" si="5"/>
        <v>0</v>
      </c>
      <c r="BD62" s="32">
        <f t="shared" si="5"/>
        <v>79567</v>
      </c>
      <c r="BE62" s="32">
        <f t="shared" si="5"/>
        <v>151035</v>
      </c>
      <c r="BF62" s="32">
        <f t="shared" si="5"/>
        <v>275442</v>
      </c>
      <c r="BG62" s="32">
        <f t="shared" si="5"/>
        <v>0</v>
      </c>
      <c r="BH62" s="32">
        <f t="shared" si="5"/>
        <v>414489</v>
      </c>
      <c r="BI62" s="32">
        <f t="shared" si="5"/>
        <v>0</v>
      </c>
      <c r="BJ62" s="32">
        <f t="shared" si="5"/>
        <v>144599</v>
      </c>
      <c r="BK62" s="32">
        <f t="shared" si="5"/>
        <v>287133</v>
      </c>
      <c r="BL62" s="32">
        <f t="shared" si="5"/>
        <v>195346</v>
      </c>
      <c r="BM62" s="32">
        <f t="shared" si="5"/>
        <v>0</v>
      </c>
      <c r="BN62" s="32">
        <f t="shared" si="5"/>
        <v>284131</v>
      </c>
      <c r="BO62" s="32">
        <f t="shared" si="5"/>
        <v>58898</v>
      </c>
      <c r="BP62" s="32">
        <f t="shared" ref="BP62:CC62" si="6">ROUND(BP47+BP48,0)</f>
        <v>93093</v>
      </c>
      <c r="BQ62" s="32">
        <f t="shared" si="6"/>
        <v>0</v>
      </c>
      <c r="BR62" s="32">
        <f t="shared" si="6"/>
        <v>164735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354165</v>
      </c>
      <c r="BW62" s="32">
        <f t="shared" si="6"/>
        <v>206461</v>
      </c>
      <c r="BX62" s="32">
        <f t="shared" si="6"/>
        <v>212309</v>
      </c>
      <c r="BY62" s="32">
        <f t="shared" si="6"/>
        <v>395991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13048650</v>
      </c>
    </row>
    <row r="63" spans="1:83" x14ac:dyDescent="0.35">
      <c r="A63" s="39" t="s">
        <v>249</v>
      </c>
      <c r="B63" s="20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/>
      <c r="Q63" s="30"/>
      <c r="R63" s="30"/>
      <c r="S63" s="318"/>
      <c r="T63" s="318"/>
      <c r="U63" s="31">
        <v>14945</v>
      </c>
      <c r="V63" s="30"/>
      <c r="W63" s="30"/>
      <c r="X63" s="30"/>
      <c r="Y63" s="30">
        <f>-65111</f>
        <v>-65111</v>
      </c>
      <c r="Z63" s="30"/>
      <c r="AA63" s="30"/>
      <c r="AB63" s="319"/>
      <c r="AC63" s="30">
        <v>5467</v>
      </c>
      <c r="AD63" s="30"/>
      <c r="AE63" s="30"/>
      <c r="AF63" s="30"/>
      <c r="AG63" s="30">
        <f>53254</f>
        <v>53254</v>
      </c>
      <c r="AH63" s="30"/>
      <c r="AI63" s="30"/>
      <c r="AJ63" s="30">
        <f>1486580+909826</f>
        <v>2396406</v>
      </c>
      <c r="AK63" s="30"/>
      <c r="AL63" s="30">
        <v>10300</v>
      </c>
      <c r="AM63" s="30"/>
      <c r="AN63" s="30"/>
      <c r="AO63" s="30"/>
      <c r="AP63" s="30"/>
      <c r="AQ63" s="30"/>
      <c r="AR63" s="30">
        <v>2088</v>
      </c>
      <c r="AS63" s="30"/>
      <c r="AT63" s="30"/>
      <c r="AU63" s="30"/>
      <c r="AV63" s="318"/>
      <c r="AW63" s="318"/>
      <c r="AX63" s="318"/>
      <c r="AY63" s="30"/>
      <c r="AZ63" s="30"/>
      <c r="BA63" s="318"/>
      <c r="BB63" s="318"/>
      <c r="BC63" s="318"/>
      <c r="BD63" s="318"/>
      <c r="BE63" s="30"/>
      <c r="BF63" s="318"/>
      <c r="BG63" s="318"/>
      <c r="BH63" s="318"/>
      <c r="BI63" s="318"/>
      <c r="BJ63" s="318">
        <v>102245</v>
      </c>
      <c r="BK63" s="318">
        <v>15600</v>
      </c>
      <c r="BL63" s="318"/>
      <c r="BM63" s="318"/>
      <c r="BN63" s="318">
        <v>158657</v>
      </c>
      <c r="BO63" s="318"/>
      <c r="BP63" s="318"/>
      <c r="BQ63" s="318"/>
      <c r="BR63" s="318">
        <v>22424</v>
      </c>
      <c r="BS63" s="318"/>
      <c r="BT63" s="318"/>
      <c r="BU63" s="318"/>
      <c r="BV63" s="318"/>
      <c r="BW63" s="318"/>
      <c r="BX63" s="318"/>
      <c r="BY63" s="318"/>
      <c r="BZ63" s="318"/>
      <c r="CA63" s="318"/>
      <c r="CB63" s="318"/>
      <c r="CC63" s="318"/>
      <c r="CD63" s="29" t="s">
        <v>233</v>
      </c>
      <c r="CE63" s="32">
        <f t="shared" si="4"/>
        <v>2716275</v>
      </c>
    </row>
    <row r="64" spans="1:83" x14ac:dyDescent="0.35">
      <c r="A64" s="39" t="s">
        <v>250</v>
      </c>
      <c r="B64" s="20"/>
      <c r="C64" s="24">
        <v>88140</v>
      </c>
      <c r="D64" s="24"/>
      <c r="E64" s="24">
        <v>147366</v>
      </c>
      <c r="F64" s="24"/>
      <c r="G64" s="24"/>
      <c r="H64" s="24"/>
      <c r="I64" s="24"/>
      <c r="J64" s="24"/>
      <c r="K64" s="24"/>
      <c r="L64" s="24"/>
      <c r="M64" s="24"/>
      <c r="N64" s="24"/>
      <c r="O64" s="24">
        <v>149588</v>
      </c>
      <c r="P64" s="30">
        <f>3873569+8446+278309+49657</f>
        <v>4209981</v>
      </c>
      <c r="Q64" s="30">
        <f>21693</f>
        <v>21693</v>
      </c>
      <c r="R64" s="30">
        <f>39033</f>
        <v>39033</v>
      </c>
      <c r="S64" s="318">
        <f>138027</f>
        <v>138027</v>
      </c>
      <c r="T64" s="318"/>
      <c r="U64" s="31">
        <f>2027049</f>
        <v>2027049</v>
      </c>
      <c r="V64" s="30"/>
      <c r="W64" s="30"/>
      <c r="X64" s="30"/>
      <c r="Y64" s="30">
        <f>119521</f>
        <v>119521</v>
      </c>
      <c r="Z64" s="30"/>
      <c r="AA64" s="30"/>
      <c r="AB64" s="319">
        <f>1090002+415640+169795+556193</f>
        <v>2231630</v>
      </c>
      <c r="AC64" s="30">
        <f>60215</f>
        <v>60215</v>
      </c>
      <c r="AD64" s="30"/>
      <c r="AE64" s="30">
        <f>15309+5057</f>
        <v>20366</v>
      </c>
      <c r="AF64" s="30"/>
      <c r="AG64" s="30">
        <f>363489+60+736</f>
        <v>364285</v>
      </c>
      <c r="AH64" s="30"/>
      <c r="AI64" s="30"/>
      <c r="AJ64" s="30">
        <f>6106+12565+45177+1670583</f>
        <v>1734431</v>
      </c>
      <c r="AK64" s="30">
        <f>6582</f>
        <v>6582</v>
      </c>
      <c r="AL64" s="30">
        <f>4857</f>
        <v>4857</v>
      </c>
      <c r="AM64" s="30"/>
      <c r="AN64" s="30"/>
      <c r="AO64" s="30"/>
      <c r="AP64" s="30"/>
      <c r="AQ64" s="30"/>
      <c r="AR64" s="30">
        <f>110404</f>
        <v>110404</v>
      </c>
      <c r="AS64" s="30"/>
      <c r="AT64" s="30"/>
      <c r="AU64" s="30"/>
      <c r="AV64" s="318"/>
      <c r="AW64" s="318"/>
      <c r="AX64" s="318"/>
      <c r="AY64" s="30">
        <f>201+340823-251303</f>
        <v>89721</v>
      </c>
      <c r="AZ64" s="30">
        <v>251303</v>
      </c>
      <c r="BA64" s="318">
        <f>590</f>
        <v>590</v>
      </c>
      <c r="BB64" s="318">
        <f>946</f>
        <v>946</v>
      </c>
      <c r="BC64" s="318"/>
      <c r="BD64" s="318">
        <f>-205346</f>
        <v>-205346</v>
      </c>
      <c r="BE64" s="30">
        <f>56251+84+18597+11029</f>
        <v>85961</v>
      </c>
      <c r="BF64" s="318">
        <f>286584</f>
        <v>286584</v>
      </c>
      <c r="BG64" s="318"/>
      <c r="BH64" s="318">
        <f>407888</f>
        <v>407888</v>
      </c>
      <c r="BI64" s="318"/>
      <c r="BJ64" s="318">
        <f>8804</f>
        <v>8804</v>
      </c>
      <c r="BK64" s="318">
        <f>3760</f>
        <v>3760</v>
      </c>
      <c r="BL64" s="318">
        <f>23000</f>
        <v>23000</v>
      </c>
      <c r="BM64" s="318"/>
      <c r="BN64" s="318">
        <f>34591+10</f>
        <v>34601</v>
      </c>
      <c r="BO64" s="318">
        <f>9241</f>
        <v>9241</v>
      </c>
      <c r="BP64" s="318">
        <f>7649</f>
        <v>7649</v>
      </c>
      <c r="BQ64" s="318"/>
      <c r="BR64" s="318">
        <f>12983+877+126</f>
        <v>13986</v>
      </c>
      <c r="BS64" s="318"/>
      <c r="BT64" s="318"/>
      <c r="BU64" s="318"/>
      <c r="BV64" s="318">
        <f>9098</f>
        <v>9098</v>
      </c>
      <c r="BW64" s="318">
        <f>2487</f>
        <v>2487</v>
      </c>
      <c r="BX64" s="318">
        <f>3500+15245+779</f>
        <v>19524</v>
      </c>
      <c r="BY64" s="318">
        <f>5596+174+7303+2</f>
        <v>13075</v>
      </c>
      <c r="BZ64" s="318"/>
      <c r="CA64" s="318"/>
      <c r="CB64" s="318"/>
      <c r="CC64" s="318"/>
      <c r="CD64" s="29" t="s">
        <v>233</v>
      </c>
      <c r="CE64" s="32">
        <f t="shared" si="4"/>
        <v>12536040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>
        <v>5101</v>
      </c>
      <c r="Q65" s="30"/>
      <c r="R65" s="30"/>
      <c r="S65" s="318"/>
      <c r="T65" s="318"/>
      <c r="U65" s="31"/>
      <c r="V65" s="30"/>
      <c r="W65" s="30"/>
      <c r="X65" s="30"/>
      <c r="Y65" s="30"/>
      <c r="Z65" s="30"/>
      <c r="AA65" s="30"/>
      <c r="AB65" s="319"/>
      <c r="AC65" s="30"/>
      <c r="AD65" s="30"/>
      <c r="AE65" s="30">
        <v>417</v>
      </c>
      <c r="AF65" s="30"/>
      <c r="AG65" s="30"/>
      <c r="AH65" s="30"/>
      <c r="AI65" s="30"/>
      <c r="AJ65" s="30">
        <f>117635+13974+89445</f>
        <v>221054</v>
      </c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8"/>
      <c r="AW65" s="318"/>
      <c r="AX65" s="318"/>
      <c r="AY65" s="30"/>
      <c r="AZ65" s="30"/>
      <c r="BA65" s="318"/>
      <c r="BB65" s="318"/>
      <c r="BC65" s="318"/>
      <c r="BD65" s="318">
        <v>125</v>
      </c>
      <c r="BE65" s="30">
        <f>757752+29812+66089</f>
        <v>853653</v>
      </c>
      <c r="BF65" s="318"/>
      <c r="BG65" s="318"/>
      <c r="BH65" s="318">
        <v>115665</v>
      </c>
      <c r="BI65" s="318"/>
      <c r="BJ65" s="318"/>
      <c r="BK65" s="318"/>
      <c r="BL65" s="318"/>
      <c r="BM65" s="318"/>
      <c r="BN65" s="318"/>
      <c r="BO65" s="318">
        <v>2531</v>
      </c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  <c r="CA65" s="318"/>
      <c r="CB65" s="318"/>
      <c r="CC65" s="318"/>
      <c r="CD65" s="29" t="s">
        <v>233</v>
      </c>
      <c r="CE65" s="32">
        <f t="shared" si="4"/>
        <v>1198546</v>
      </c>
    </row>
    <row r="66" spans="1:83" x14ac:dyDescent="0.35">
      <c r="A66" s="39" t="s">
        <v>252</v>
      </c>
      <c r="B66" s="20"/>
      <c r="C66" s="24">
        <v>66999</v>
      </c>
      <c r="D66" s="24"/>
      <c r="E66" s="24">
        <f>77171+13</f>
        <v>77184</v>
      </c>
      <c r="F66" s="24"/>
      <c r="G66" s="24"/>
      <c r="H66" s="24"/>
      <c r="I66" s="24"/>
      <c r="J66" s="24"/>
      <c r="K66" s="24"/>
      <c r="L66" s="24"/>
      <c r="M66" s="24"/>
      <c r="N66" s="24"/>
      <c r="O66" s="24">
        <v>16210</v>
      </c>
      <c r="P66" s="30">
        <f>128154+1622+2078+28</f>
        <v>131882</v>
      </c>
      <c r="Q66" s="30"/>
      <c r="R66" s="30">
        <f>78844</f>
        <v>78844</v>
      </c>
      <c r="S66" s="318">
        <f>47030</f>
        <v>47030</v>
      </c>
      <c r="T66" s="318"/>
      <c r="U66" s="31">
        <f>1258391</f>
        <v>1258391</v>
      </c>
      <c r="V66" s="30"/>
      <c r="W66" s="30">
        <f>411216</f>
        <v>411216</v>
      </c>
      <c r="X66" s="30">
        <f>15232+132911</f>
        <v>148143</v>
      </c>
      <c r="Y66" s="30">
        <f>983133-411216-15232-132911</f>
        <v>423774</v>
      </c>
      <c r="Z66" s="30"/>
      <c r="AA66" s="30"/>
      <c r="AB66" s="319">
        <f>56611+9320+142997+44064</f>
        <v>252992</v>
      </c>
      <c r="AC66" s="30">
        <v>17959</v>
      </c>
      <c r="AD66" s="30"/>
      <c r="AE66" s="30">
        <f>985453+348</f>
        <v>985801</v>
      </c>
      <c r="AF66" s="30"/>
      <c r="AG66" s="30">
        <f>116600</f>
        <v>116600</v>
      </c>
      <c r="AH66" s="30"/>
      <c r="AI66" s="30"/>
      <c r="AJ66" s="30">
        <f>260793+27+15093+997188</f>
        <v>1273101</v>
      </c>
      <c r="AK66" s="30">
        <v>238841</v>
      </c>
      <c r="AL66" s="30">
        <v>197291</v>
      </c>
      <c r="AM66" s="30"/>
      <c r="AN66" s="30"/>
      <c r="AO66" s="30"/>
      <c r="AP66" s="30"/>
      <c r="AQ66" s="30"/>
      <c r="AR66" s="30">
        <v>292160</v>
      </c>
      <c r="AS66" s="30"/>
      <c r="AT66" s="30"/>
      <c r="AU66" s="30"/>
      <c r="AV66" s="318"/>
      <c r="AW66" s="318"/>
      <c r="AX66" s="318"/>
      <c r="AY66" s="30">
        <f>918+9948</f>
        <v>10866</v>
      </c>
      <c r="AZ66" s="30"/>
      <c r="BA66" s="318">
        <v>538</v>
      </c>
      <c r="BB66" s="318">
        <v>11287</v>
      </c>
      <c r="BC66" s="318"/>
      <c r="BD66" s="318">
        <v>95129</v>
      </c>
      <c r="BE66" s="30">
        <f>1613845+126310+79112</f>
        <v>1819267</v>
      </c>
      <c r="BF66" s="318">
        <v>130908</v>
      </c>
      <c r="BG66" s="318"/>
      <c r="BH66" s="318">
        <v>2652587</v>
      </c>
      <c r="BI66" s="318"/>
      <c r="BJ66" s="318">
        <v>395207</v>
      </c>
      <c r="BK66" s="318">
        <v>708444</v>
      </c>
      <c r="BL66" s="318">
        <v>62458</v>
      </c>
      <c r="BM66" s="318"/>
      <c r="BN66" s="318">
        <f>47855+152</f>
        <v>48007</v>
      </c>
      <c r="BO66" s="318">
        <v>66168</v>
      </c>
      <c r="BP66" s="318">
        <v>21163</v>
      </c>
      <c r="BQ66" s="318"/>
      <c r="BR66" s="318">
        <f>173931+275+862+2297</f>
        <v>177365</v>
      </c>
      <c r="BS66" s="318"/>
      <c r="BT66" s="318"/>
      <c r="BU66" s="318"/>
      <c r="BV66" s="318">
        <v>433284</v>
      </c>
      <c r="BW66" s="318">
        <v>30778</v>
      </c>
      <c r="BX66" s="318">
        <v>181226</v>
      </c>
      <c r="BY66" s="318">
        <f>329268+3411+269170+7940+14799</f>
        <v>624588</v>
      </c>
      <c r="BZ66" s="318"/>
      <c r="CA66" s="318"/>
      <c r="CB66" s="318"/>
      <c r="CC66" s="318"/>
      <c r="CD66" s="29" t="s">
        <v>233</v>
      </c>
      <c r="CE66" s="32">
        <f t="shared" si="4"/>
        <v>13503688</v>
      </c>
    </row>
    <row r="67" spans="1:83" x14ac:dyDescent="0.35">
      <c r="A67" s="39" t="s">
        <v>11</v>
      </c>
      <c r="B67" s="20"/>
      <c r="C67" s="32">
        <f t="shared" ref="C67:BN67" si="7">ROUND(C51+C52,0)</f>
        <v>57006</v>
      </c>
      <c r="D67" s="32">
        <f t="shared" si="7"/>
        <v>0</v>
      </c>
      <c r="E67" s="32">
        <f t="shared" si="7"/>
        <v>208461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3378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95365</v>
      </c>
      <c r="P67" s="32">
        <f t="shared" si="7"/>
        <v>478071</v>
      </c>
      <c r="Q67" s="32">
        <f t="shared" si="7"/>
        <v>24971</v>
      </c>
      <c r="R67" s="32">
        <f t="shared" si="7"/>
        <v>13454</v>
      </c>
      <c r="S67" s="32">
        <f t="shared" si="7"/>
        <v>72219</v>
      </c>
      <c r="T67" s="32">
        <f t="shared" si="7"/>
        <v>0</v>
      </c>
      <c r="U67" s="32">
        <f t="shared" si="7"/>
        <v>286240</v>
      </c>
      <c r="V67" s="32">
        <f t="shared" si="7"/>
        <v>0</v>
      </c>
      <c r="W67" s="32">
        <f t="shared" si="7"/>
        <v>1904</v>
      </c>
      <c r="X67" s="32">
        <f t="shared" si="7"/>
        <v>30458</v>
      </c>
      <c r="Y67" s="32">
        <f t="shared" si="7"/>
        <v>770361</v>
      </c>
      <c r="Z67" s="32">
        <f t="shared" si="7"/>
        <v>0</v>
      </c>
      <c r="AA67" s="32">
        <f t="shared" si="7"/>
        <v>0</v>
      </c>
      <c r="AB67" s="32">
        <f t="shared" si="7"/>
        <v>214243</v>
      </c>
      <c r="AC67" s="32">
        <f t="shared" si="7"/>
        <v>70784</v>
      </c>
      <c r="AD67" s="32">
        <f t="shared" si="7"/>
        <v>0</v>
      </c>
      <c r="AE67" s="32">
        <f t="shared" si="7"/>
        <v>143879</v>
      </c>
      <c r="AF67" s="32">
        <f t="shared" si="7"/>
        <v>0</v>
      </c>
      <c r="AG67" s="32">
        <f t="shared" si="7"/>
        <v>100818</v>
      </c>
      <c r="AH67" s="32">
        <f t="shared" si="7"/>
        <v>0</v>
      </c>
      <c r="AI67" s="32">
        <f t="shared" si="7"/>
        <v>0</v>
      </c>
      <c r="AJ67" s="32">
        <f t="shared" si="7"/>
        <v>1118210</v>
      </c>
      <c r="AK67" s="32">
        <f t="shared" si="7"/>
        <v>42034</v>
      </c>
      <c r="AL67" s="32">
        <f t="shared" si="7"/>
        <v>11775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39988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44279</v>
      </c>
      <c r="AZ67" s="32">
        <f t="shared" si="7"/>
        <v>25873</v>
      </c>
      <c r="BA67" s="32">
        <f t="shared" si="7"/>
        <v>17806</v>
      </c>
      <c r="BB67" s="32">
        <f t="shared" si="7"/>
        <v>2896</v>
      </c>
      <c r="BC67" s="32">
        <f t="shared" si="7"/>
        <v>0</v>
      </c>
      <c r="BD67" s="32">
        <f t="shared" si="7"/>
        <v>42041</v>
      </c>
      <c r="BE67" s="32">
        <f t="shared" si="7"/>
        <v>139632</v>
      </c>
      <c r="BF67" s="32">
        <f t="shared" si="7"/>
        <v>7193</v>
      </c>
      <c r="BG67" s="32">
        <f t="shared" si="7"/>
        <v>0</v>
      </c>
      <c r="BH67" s="32">
        <f t="shared" si="7"/>
        <v>1036683</v>
      </c>
      <c r="BI67" s="32">
        <f t="shared" si="7"/>
        <v>0</v>
      </c>
      <c r="BJ67" s="32">
        <f t="shared" si="7"/>
        <v>9642</v>
      </c>
      <c r="BK67" s="32">
        <f t="shared" si="7"/>
        <v>109797</v>
      </c>
      <c r="BL67" s="32">
        <f t="shared" si="7"/>
        <v>5644</v>
      </c>
      <c r="BM67" s="32">
        <f t="shared" si="7"/>
        <v>0</v>
      </c>
      <c r="BN67" s="32">
        <f t="shared" si="7"/>
        <v>325089</v>
      </c>
      <c r="BO67" s="32">
        <f t="shared" ref="BO67:CC67" si="8">ROUND(BO51+BO52,0)</f>
        <v>43900</v>
      </c>
      <c r="BP67" s="32">
        <f t="shared" si="8"/>
        <v>5215</v>
      </c>
      <c r="BQ67" s="32">
        <f t="shared" si="8"/>
        <v>0</v>
      </c>
      <c r="BR67" s="32">
        <f t="shared" si="8"/>
        <v>16358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26089</v>
      </c>
      <c r="BW67" s="32">
        <f t="shared" si="8"/>
        <v>1126</v>
      </c>
      <c r="BX67" s="32">
        <f t="shared" si="8"/>
        <v>12646</v>
      </c>
      <c r="BY67" s="32">
        <f t="shared" si="8"/>
        <v>6409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5661937</v>
      </c>
    </row>
    <row r="68" spans="1:83" x14ac:dyDescent="0.35">
      <c r="A68" s="39" t="s">
        <v>253</v>
      </c>
      <c r="B68" s="32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18"/>
      <c r="T68" s="318"/>
      <c r="U68" s="31"/>
      <c r="V68" s="30"/>
      <c r="W68" s="30"/>
      <c r="X68" s="30"/>
      <c r="Y68" s="30"/>
      <c r="Z68" s="30"/>
      <c r="AA68" s="30"/>
      <c r="AB68" s="319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8"/>
      <c r="AW68" s="318"/>
      <c r="AX68" s="318"/>
      <c r="AY68" s="30"/>
      <c r="AZ68" s="30"/>
      <c r="BA68" s="318"/>
      <c r="BB68" s="318"/>
      <c r="BC68" s="318"/>
      <c r="BD68" s="318"/>
      <c r="BE68" s="30"/>
      <c r="BF68" s="318"/>
      <c r="BG68" s="318"/>
      <c r="BH68" s="318"/>
      <c r="BI68" s="318"/>
      <c r="BJ68" s="318"/>
      <c r="BK68" s="318"/>
      <c r="BL68" s="318"/>
      <c r="BM68" s="318"/>
      <c r="BN68" s="318"/>
      <c r="BO68" s="318"/>
      <c r="BP68" s="318"/>
      <c r="BQ68" s="318"/>
      <c r="BR68" s="318"/>
      <c r="BS68" s="318"/>
      <c r="BT68" s="318"/>
      <c r="BU68" s="318"/>
      <c r="BV68" s="318"/>
      <c r="BW68" s="318"/>
      <c r="BX68" s="318"/>
      <c r="BY68" s="318"/>
      <c r="BZ68" s="318"/>
      <c r="CA68" s="318"/>
      <c r="CB68" s="318"/>
      <c r="CC68" s="318"/>
      <c r="CD68" s="29" t="s">
        <v>233</v>
      </c>
      <c r="CE68" s="32">
        <f t="shared" si="4"/>
        <v>0</v>
      </c>
    </row>
    <row r="69" spans="1:83" x14ac:dyDescent="0.35">
      <c r="A69" s="39" t="s">
        <v>254</v>
      </c>
      <c r="B69" s="20"/>
      <c r="C69" s="32">
        <f t="shared" ref="C69:BN69" si="9">SUM(C70:C83)</f>
        <v>491103</v>
      </c>
      <c r="D69" s="32">
        <f t="shared" si="9"/>
        <v>0</v>
      </c>
      <c r="E69" s="32">
        <f t="shared" si="9"/>
        <v>765663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447899</v>
      </c>
      <c r="P69" s="32">
        <f t="shared" si="9"/>
        <v>1178181</v>
      </c>
      <c r="Q69" s="32">
        <f t="shared" si="9"/>
        <v>0</v>
      </c>
      <c r="R69" s="32">
        <f t="shared" si="9"/>
        <v>0</v>
      </c>
      <c r="S69" s="32">
        <f t="shared" si="9"/>
        <v>3030</v>
      </c>
      <c r="T69" s="32">
        <f t="shared" si="9"/>
        <v>0</v>
      </c>
      <c r="U69" s="32">
        <f t="shared" si="9"/>
        <v>311157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412629</v>
      </c>
      <c r="Z69" s="32">
        <f t="shared" si="9"/>
        <v>0</v>
      </c>
      <c r="AA69" s="32">
        <f t="shared" si="9"/>
        <v>0</v>
      </c>
      <c r="AB69" s="32">
        <f t="shared" si="9"/>
        <v>2081</v>
      </c>
      <c r="AC69" s="32">
        <f t="shared" si="9"/>
        <v>131</v>
      </c>
      <c r="AD69" s="32">
        <f t="shared" si="9"/>
        <v>0</v>
      </c>
      <c r="AE69" s="32">
        <f t="shared" si="9"/>
        <v>2348</v>
      </c>
      <c r="AF69" s="32">
        <f t="shared" si="9"/>
        <v>0</v>
      </c>
      <c r="AG69" s="32">
        <f t="shared" si="9"/>
        <v>1166899</v>
      </c>
      <c r="AH69" s="32">
        <f t="shared" si="9"/>
        <v>0</v>
      </c>
      <c r="AI69" s="32">
        <f t="shared" si="9"/>
        <v>0</v>
      </c>
      <c r="AJ69" s="32">
        <f t="shared" si="9"/>
        <v>1247503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890588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4474</v>
      </c>
      <c r="AZ69" s="32">
        <f t="shared" si="9"/>
        <v>0</v>
      </c>
      <c r="BA69" s="32">
        <f t="shared" si="9"/>
        <v>0</v>
      </c>
      <c r="BB69" s="32">
        <f t="shared" si="9"/>
        <v>813</v>
      </c>
      <c r="BC69" s="32">
        <f t="shared" si="9"/>
        <v>0</v>
      </c>
      <c r="BD69" s="32">
        <f t="shared" si="9"/>
        <v>972</v>
      </c>
      <c r="BE69" s="32">
        <f t="shared" si="9"/>
        <v>12797</v>
      </c>
      <c r="BF69" s="32">
        <f t="shared" si="9"/>
        <v>32</v>
      </c>
      <c r="BG69" s="32">
        <f t="shared" si="9"/>
        <v>0</v>
      </c>
      <c r="BH69" s="32">
        <f t="shared" si="9"/>
        <v>9276</v>
      </c>
      <c r="BI69" s="32">
        <f t="shared" si="9"/>
        <v>0</v>
      </c>
      <c r="BJ69" s="32">
        <f t="shared" si="9"/>
        <v>45128</v>
      </c>
      <c r="BK69" s="32">
        <f t="shared" si="9"/>
        <v>100207</v>
      </c>
      <c r="BL69" s="32">
        <f t="shared" si="9"/>
        <v>1956</v>
      </c>
      <c r="BM69" s="32">
        <f t="shared" si="9"/>
        <v>0</v>
      </c>
      <c r="BN69" s="32">
        <f t="shared" si="9"/>
        <v>208149</v>
      </c>
      <c r="BO69" s="32">
        <f t="shared" ref="BO69:CD69" si="10">SUM(BO70:BO83)</f>
        <v>84652</v>
      </c>
      <c r="BP69" s="32">
        <f t="shared" si="10"/>
        <v>250483</v>
      </c>
      <c r="BQ69" s="32">
        <f t="shared" si="10"/>
        <v>0</v>
      </c>
      <c r="BR69" s="32">
        <f t="shared" si="10"/>
        <v>36024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4376</v>
      </c>
      <c r="BW69" s="32">
        <f t="shared" si="10"/>
        <v>232699</v>
      </c>
      <c r="BX69" s="32">
        <f t="shared" si="10"/>
        <v>11320</v>
      </c>
      <c r="BY69" s="32">
        <f t="shared" si="10"/>
        <v>25420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0</v>
      </c>
      <c r="CE69" s="32">
        <f>SUM(CE70:CE84)</f>
        <v>7947990</v>
      </c>
    </row>
    <row r="70" spans="1:83" x14ac:dyDescent="0.3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35">
      <c r="A71" s="33" t="s">
        <v>256</v>
      </c>
      <c r="B71" s="34"/>
      <c r="C71" s="273">
        <f>490123</f>
        <v>490123</v>
      </c>
      <c r="D71" s="273"/>
      <c r="E71" s="273">
        <v>740198</v>
      </c>
      <c r="F71" s="273"/>
      <c r="G71" s="273"/>
      <c r="H71" s="273"/>
      <c r="I71" s="273"/>
      <c r="J71" s="273"/>
      <c r="K71" s="273"/>
      <c r="L71" s="273"/>
      <c r="M71" s="273"/>
      <c r="N71" s="273"/>
      <c r="O71" s="273">
        <v>428398</v>
      </c>
      <c r="P71" s="273">
        <f>1160906+11165</f>
        <v>1172071</v>
      </c>
      <c r="Q71" s="273"/>
      <c r="R71" s="273"/>
      <c r="S71" s="273"/>
      <c r="T71" s="273"/>
      <c r="U71" s="273">
        <v>295512</v>
      </c>
      <c r="V71" s="273"/>
      <c r="W71" s="273"/>
      <c r="X71" s="273"/>
      <c r="Y71" s="273">
        <f>392307</f>
        <v>392307</v>
      </c>
      <c r="Z71" s="273"/>
      <c r="AA71" s="273"/>
      <c r="AB71" s="273"/>
      <c r="AC71" s="273"/>
      <c r="AD71" s="273"/>
      <c r="AE71" s="273"/>
      <c r="AF71" s="273"/>
      <c r="AG71" s="273">
        <f>1132730+138</f>
        <v>1132868</v>
      </c>
      <c r="AH71" s="273"/>
      <c r="AI71" s="273"/>
      <c r="AJ71" s="273">
        <f>507+1070030</f>
        <v>1070537</v>
      </c>
      <c r="AK71" s="273"/>
      <c r="AL71" s="273"/>
      <c r="AM71" s="273"/>
      <c r="AN71" s="273"/>
      <c r="AO71" s="273"/>
      <c r="AP71" s="273"/>
      <c r="AQ71" s="273"/>
      <c r="AR71" s="273">
        <v>813738</v>
      </c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>
        <f>43906</f>
        <v>43906</v>
      </c>
      <c r="BK71" s="273">
        <f>96989</f>
        <v>96989</v>
      </c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>
        <f>20815-1</f>
        <v>20814</v>
      </c>
      <c r="BZ71" s="273"/>
      <c r="CA71" s="273"/>
      <c r="CB71" s="273"/>
      <c r="CC71" s="273"/>
      <c r="CD71" s="273"/>
      <c r="CE71" s="32">
        <f t="shared" ref="CE71:CE85" si="11">SUM(C71:CD71)</f>
        <v>6697461</v>
      </c>
    </row>
    <row r="72" spans="1:83" x14ac:dyDescent="0.3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3" x14ac:dyDescent="0.3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0</v>
      </c>
    </row>
    <row r="74" spans="1:83" x14ac:dyDescent="0.3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3" x14ac:dyDescent="0.3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3" x14ac:dyDescent="0.3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3" x14ac:dyDescent="0.3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0</v>
      </c>
    </row>
    <row r="78" spans="1:83" x14ac:dyDescent="0.3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0</v>
      </c>
    </row>
    <row r="79" spans="1:83" x14ac:dyDescent="0.3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>
        <v>224658</v>
      </c>
      <c r="BX79" s="273"/>
      <c r="BY79" s="273"/>
      <c r="BZ79" s="273"/>
      <c r="CA79" s="273"/>
      <c r="CB79" s="273"/>
      <c r="CC79" s="273"/>
      <c r="CD79" s="273"/>
      <c r="CE79" s="32">
        <f t="shared" si="11"/>
        <v>224658</v>
      </c>
    </row>
    <row r="80" spans="1:83" x14ac:dyDescent="0.3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4" x14ac:dyDescent="0.3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1"/>
        <v>0</v>
      </c>
    </row>
    <row r="82" spans="1:84" x14ac:dyDescent="0.3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0</v>
      </c>
    </row>
    <row r="83" spans="1:84" x14ac:dyDescent="0.35">
      <c r="A83" s="33" t="s">
        <v>268</v>
      </c>
      <c r="B83" s="20"/>
      <c r="C83" s="24">
        <v>980</v>
      </c>
      <c r="D83" s="24"/>
      <c r="E83" s="30">
        <v>25465</v>
      </c>
      <c r="F83" s="30"/>
      <c r="G83" s="24"/>
      <c r="H83" s="24"/>
      <c r="I83" s="30"/>
      <c r="J83" s="30"/>
      <c r="K83" s="30"/>
      <c r="L83" s="30"/>
      <c r="M83" s="24"/>
      <c r="N83" s="24"/>
      <c r="O83" s="24">
        <v>19501</v>
      </c>
      <c r="P83" s="30">
        <f>3522+1438+645+505</f>
        <v>6110</v>
      </c>
      <c r="Q83" s="30"/>
      <c r="R83" s="31"/>
      <c r="S83" s="30">
        <f>1323+1707</f>
        <v>3030</v>
      </c>
      <c r="T83" s="24"/>
      <c r="U83" s="30">
        <f>7886+7759</f>
        <v>15645</v>
      </c>
      <c r="V83" s="30"/>
      <c r="W83" s="24"/>
      <c r="X83" s="30"/>
      <c r="Y83" s="30">
        <f>3756+16566</f>
        <v>20322</v>
      </c>
      <c r="Z83" s="30"/>
      <c r="AA83" s="30"/>
      <c r="AB83" s="30">
        <f>1193+888</f>
        <v>2081</v>
      </c>
      <c r="AC83" s="30">
        <f>119+12</f>
        <v>131</v>
      </c>
      <c r="AD83" s="30"/>
      <c r="AE83" s="30">
        <f>289+1759+300</f>
        <v>2348</v>
      </c>
      <c r="AF83" s="30"/>
      <c r="AG83" s="30">
        <f>8894+21807+780+2550</f>
        <v>34031</v>
      </c>
      <c r="AH83" s="30"/>
      <c r="AI83" s="30"/>
      <c r="AJ83" s="30">
        <f>304+125327+50+37377+12535+1373</f>
        <v>176966</v>
      </c>
      <c r="AK83" s="30"/>
      <c r="AL83" s="30"/>
      <c r="AM83" s="30"/>
      <c r="AN83" s="30"/>
      <c r="AO83" s="24"/>
      <c r="AP83" s="30"/>
      <c r="AQ83" s="24"/>
      <c r="AR83" s="24">
        <f>8333+68517</f>
        <v>76850</v>
      </c>
      <c r="AS83" s="24"/>
      <c r="AT83" s="24"/>
      <c r="AU83" s="30"/>
      <c r="AV83" s="30"/>
      <c r="AW83" s="30"/>
      <c r="AX83" s="30"/>
      <c r="AY83" s="30">
        <f>1339+2269+285+581</f>
        <v>4474</v>
      </c>
      <c r="AZ83" s="30"/>
      <c r="BA83" s="30"/>
      <c r="BB83" s="30">
        <v>813</v>
      </c>
      <c r="BC83" s="30"/>
      <c r="BD83" s="30">
        <f>777+195</f>
        <v>972</v>
      </c>
      <c r="BE83" s="30">
        <f>9266+3346+185</f>
        <v>12797</v>
      </c>
      <c r="BF83" s="30">
        <f>32</f>
        <v>32</v>
      </c>
      <c r="BG83" s="30"/>
      <c r="BH83" s="31">
        <f>9276</f>
        <v>9276</v>
      </c>
      <c r="BI83" s="30"/>
      <c r="BJ83" s="30">
        <f>492+730</f>
        <v>1222</v>
      </c>
      <c r="BK83" s="30">
        <f>3218</f>
        <v>3218</v>
      </c>
      <c r="BL83" s="30">
        <f>1759+197</f>
        <v>1956</v>
      </c>
      <c r="BM83" s="30"/>
      <c r="BN83" s="30">
        <f>41381+152636+14132</f>
        <v>208149</v>
      </c>
      <c r="BO83" s="30">
        <f>74060+5861+4731</f>
        <v>84652</v>
      </c>
      <c r="BP83" s="30">
        <f>239316+11167</f>
        <v>250483</v>
      </c>
      <c r="BQ83" s="30"/>
      <c r="BR83" s="30">
        <f>6596+28544+878+6</f>
        <v>36024</v>
      </c>
      <c r="BS83" s="30"/>
      <c r="BT83" s="30"/>
      <c r="BU83" s="30"/>
      <c r="BV83" s="30">
        <f>4376</f>
        <v>4376</v>
      </c>
      <c r="BW83" s="30">
        <v>8041</v>
      </c>
      <c r="BX83" s="30">
        <f>1007+4513+6068+268-536</f>
        <v>11320</v>
      </c>
      <c r="BY83" s="30">
        <f>45+4116+445</f>
        <v>4606</v>
      </c>
      <c r="BZ83" s="30"/>
      <c r="CA83" s="30"/>
      <c r="CB83" s="30"/>
      <c r="CC83" s="30"/>
      <c r="CD83" s="35"/>
      <c r="CE83" s="32">
        <f t="shared" si="11"/>
        <v>1025871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2506220</v>
      </c>
      <c r="D85" s="32">
        <f t="shared" ref="D85:BO85" si="12">SUM(D61:D69)-D84</f>
        <v>0</v>
      </c>
      <c r="E85" s="32">
        <f t="shared" si="12"/>
        <v>3509713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186801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2660014</v>
      </c>
      <c r="P85" s="32">
        <f t="shared" si="12"/>
        <v>9414480</v>
      </c>
      <c r="Q85" s="32">
        <f t="shared" si="12"/>
        <v>169441</v>
      </c>
      <c r="R85" s="32">
        <f t="shared" si="12"/>
        <v>131331</v>
      </c>
      <c r="S85" s="32">
        <f t="shared" si="12"/>
        <v>611977</v>
      </c>
      <c r="T85" s="32">
        <f t="shared" si="12"/>
        <v>0</v>
      </c>
      <c r="U85" s="32">
        <f t="shared" si="12"/>
        <v>6198821</v>
      </c>
      <c r="V85" s="32">
        <f t="shared" si="12"/>
        <v>0</v>
      </c>
      <c r="W85" s="32">
        <f t="shared" si="12"/>
        <v>413120</v>
      </c>
      <c r="X85" s="32">
        <f t="shared" si="12"/>
        <v>1205468</v>
      </c>
      <c r="Y85" s="32">
        <f t="shared" si="12"/>
        <v>2979722</v>
      </c>
      <c r="Z85" s="32">
        <f t="shared" si="12"/>
        <v>0</v>
      </c>
      <c r="AA85" s="32">
        <f t="shared" si="12"/>
        <v>0</v>
      </c>
      <c r="AB85" s="32">
        <f t="shared" si="12"/>
        <v>4564327</v>
      </c>
      <c r="AC85" s="32">
        <f t="shared" si="12"/>
        <v>982781</v>
      </c>
      <c r="AD85" s="32">
        <f t="shared" si="12"/>
        <v>0</v>
      </c>
      <c r="AE85" s="32">
        <f t="shared" si="12"/>
        <v>1514065</v>
      </c>
      <c r="AF85" s="32">
        <f t="shared" si="12"/>
        <v>0</v>
      </c>
      <c r="AG85" s="32">
        <f t="shared" si="12"/>
        <v>8486825</v>
      </c>
      <c r="AH85" s="32">
        <f t="shared" si="12"/>
        <v>0</v>
      </c>
      <c r="AI85" s="32">
        <f t="shared" si="12"/>
        <v>0</v>
      </c>
      <c r="AJ85" s="32">
        <f t="shared" si="12"/>
        <v>30836519</v>
      </c>
      <c r="AK85" s="32">
        <f t="shared" si="12"/>
        <v>287655</v>
      </c>
      <c r="AL85" s="32">
        <f t="shared" si="12"/>
        <v>223618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3082409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430377</v>
      </c>
      <c r="AZ85" s="32">
        <f t="shared" si="12"/>
        <v>963076</v>
      </c>
      <c r="BA85" s="32">
        <f t="shared" si="12"/>
        <v>251053</v>
      </c>
      <c r="BB85" s="32">
        <f t="shared" si="12"/>
        <v>155045</v>
      </c>
      <c r="BC85" s="32">
        <f t="shared" si="12"/>
        <v>0</v>
      </c>
      <c r="BD85" s="32">
        <f t="shared" si="12"/>
        <v>345417</v>
      </c>
      <c r="BE85" s="32">
        <f t="shared" si="12"/>
        <v>3694312</v>
      </c>
      <c r="BF85" s="32">
        <f t="shared" si="12"/>
        <v>1852673</v>
      </c>
      <c r="BG85" s="32">
        <f t="shared" si="12"/>
        <v>0</v>
      </c>
      <c r="BH85" s="32">
        <f t="shared" si="12"/>
        <v>6370906</v>
      </c>
      <c r="BI85" s="32">
        <f t="shared" si="12"/>
        <v>0</v>
      </c>
      <c r="BJ85" s="32">
        <f t="shared" si="12"/>
        <v>1310660</v>
      </c>
      <c r="BK85" s="32">
        <f t="shared" si="12"/>
        <v>2426373</v>
      </c>
      <c r="BL85" s="32">
        <f t="shared" si="12"/>
        <v>1105779</v>
      </c>
      <c r="BM85" s="32">
        <f t="shared" si="12"/>
        <v>0</v>
      </c>
      <c r="BN85" s="32">
        <f t="shared" si="12"/>
        <v>2247504</v>
      </c>
      <c r="BO85" s="32">
        <f t="shared" si="12"/>
        <v>511834</v>
      </c>
      <c r="BP85" s="32">
        <f t="shared" ref="BP85:CD85" si="13">SUM(BP61:BP69)-BP84</f>
        <v>767126</v>
      </c>
      <c r="BQ85" s="32">
        <f t="shared" si="13"/>
        <v>0</v>
      </c>
      <c r="BR85" s="32">
        <f t="shared" si="13"/>
        <v>1120184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2308921</v>
      </c>
      <c r="BW85" s="32">
        <f t="shared" si="13"/>
        <v>1337432</v>
      </c>
      <c r="BX85" s="32">
        <f t="shared" si="13"/>
        <v>1325375</v>
      </c>
      <c r="BY85" s="32">
        <f t="shared" si="13"/>
        <v>2722403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0</v>
      </c>
      <c r="CD85" s="32">
        <f t="shared" si="13"/>
        <v>0</v>
      </c>
      <c r="CE85" s="32">
        <f t="shared" si="11"/>
        <v>111211757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2088077</v>
      </c>
      <c r="D87" s="24"/>
      <c r="E87" s="24">
        <f>5499831-60876+33849</f>
        <v>5472804</v>
      </c>
      <c r="F87" s="24"/>
      <c r="G87" s="24"/>
      <c r="H87" s="24"/>
      <c r="I87" s="24"/>
      <c r="J87" s="24">
        <v>839665</v>
      </c>
      <c r="K87" s="24"/>
      <c r="L87" s="24">
        <v>60876</v>
      </c>
      <c r="M87" s="24"/>
      <c r="N87" s="24"/>
      <c r="O87" s="24">
        <f>1611877+1803971</f>
        <v>3415848</v>
      </c>
      <c r="P87" s="24">
        <f>7191306+49259-1403</f>
        <v>7239162</v>
      </c>
      <c r="Q87" s="24">
        <v>395332</v>
      </c>
      <c r="R87" s="24"/>
      <c r="S87" s="24"/>
      <c r="T87" s="24"/>
      <c r="U87" s="24">
        <v>2194814</v>
      </c>
      <c r="V87" s="24"/>
      <c r="W87" s="24">
        <v>140890</v>
      </c>
      <c r="X87" s="24">
        <v>1534111</v>
      </c>
      <c r="Y87" s="24">
        <f>356125+262795+77886</f>
        <v>696806</v>
      </c>
      <c r="Z87" s="24"/>
      <c r="AA87" s="24"/>
      <c r="AB87" s="24">
        <f>4900513</f>
        <v>4900513</v>
      </c>
      <c r="AC87" s="24">
        <f>514700-1207</f>
        <v>513493</v>
      </c>
      <c r="AD87" s="24"/>
      <c r="AE87" s="24">
        <v>253936</v>
      </c>
      <c r="AF87" s="24"/>
      <c r="AG87" s="24">
        <f>503818-1310</f>
        <v>502508</v>
      </c>
      <c r="AH87" s="24"/>
      <c r="AI87" s="24"/>
      <c r="AJ87" s="24">
        <v>0</v>
      </c>
      <c r="AK87" s="24">
        <v>95105</v>
      </c>
      <c r="AL87" s="24">
        <v>44870</v>
      </c>
      <c r="AM87" s="24"/>
      <c r="AN87" s="24"/>
      <c r="AO87" s="24"/>
      <c r="AP87" s="24"/>
      <c r="AQ87" s="24"/>
      <c r="AR87" s="24">
        <v>0</v>
      </c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30388810</v>
      </c>
    </row>
    <row r="88" spans="1:84" x14ac:dyDescent="0.35">
      <c r="A88" s="26" t="s">
        <v>273</v>
      </c>
      <c r="B88" s="20"/>
      <c r="C88" s="24">
        <f>486542+16836</f>
        <v>503378</v>
      </c>
      <c r="D88" s="24"/>
      <c r="E88" s="24">
        <f>3550239+130030+155651</f>
        <v>3835920</v>
      </c>
      <c r="F88" s="24"/>
      <c r="G88" s="24"/>
      <c r="H88" s="24"/>
      <c r="I88" s="24"/>
      <c r="J88" s="24"/>
      <c r="K88" s="24"/>
      <c r="L88" s="24"/>
      <c r="M88" s="24"/>
      <c r="N88" s="24"/>
      <c r="O88" s="24">
        <f>399971+450993</f>
        <v>850964</v>
      </c>
      <c r="P88" s="24">
        <f>19865860+4556080+1468954+78931+81316</f>
        <v>26051141</v>
      </c>
      <c r="Q88" s="24">
        <f>2640773</f>
        <v>2640773</v>
      </c>
      <c r="R88" s="24"/>
      <c r="S88" s="24"/>
      <c r="T88" s="24"/>
      <c r="U88" s="24">
        <f>23794773+293452</f>
        <v>24088225</v>
      </c>
      <c r="V88" s="24"/>
      <c r="W88" s="24">
        <v>8428570</v>
      </c>
      <c r="X88" s="24">
        <v>23613354</v>
      </c>
      <c r="Y88" s="24">
        <f>7344180+1593785+3327796+1204559+31050+47005</f>
        <v>13548375</v>
      </c>
      <c r="Z88" s="24"/>
      <c r="AA88" s="24"/>
      <c r="AB88" s="24">
        <f>12700855</f>
        <v>12700855</v>
      </c>
      <c r="AC88" s="24">
        <f>2105330-4189+950</f>
        <v>2102091</v>
      </c>
      <c r="AD88" s="24"/>
      <c r="AE88" s="24">
        <f>2842806+744999</f>
        <v>3587805</v>
      </c>
      <c r="AF88" s="24"/>
      <c r="AG88" s="24">
        <f>19058720+2139-35730+4480070</f>
        <v>23505199</v>
      </c>
      <c r="AH88" s="24"/>
      <c r="AI88" s="24"/>
      <c r="AJ88" s="24">
        <f>2584377+30583339+149956+35421+10903</f>
        <v>33363996</v>
      </c>
      <c r="AK88" s="24">
        <v>632794</v>
      </c>
      <c r="AL88" s="24">
        <v>535621</v>
      </c>
      <c r="AM88" s="24"/>
      <c r="AN88" s="24"/>
      <c r="AO88" s="24"/>
      <c r="AP88" s="24"/>
      <c r="AQ88" s="24"/>
      <c r="AR88" s="24">
        <f>1638145+1476065</f>
        <v>3114210</v>
      </c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183103271</v>
      </c>
    </row>
    <row r="89" spans="1:84" x14ac:dyDescent="0.35">
      <c r="A89" s="26" t="s">
        <v>274</v>
      </c>
      <c r="B89" s="20"/>
      <c r="C89" s="32">
        <f>C87+C88</f>
        <v>2591455</v>
      </c>
      <c r="D89" s="32">
        <f t="shared" ref="D89:AV89" si="15">D87+D88</f>
        <v>0</v>
      </c>
      <c r="E89" s="32">
        <f t="shared" si="15"/>
        <v>9308724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839665</v>
      </c>
      <c r="K89" s="32">
        <f t="shared" si="15"/>
        <v>0</v>
      </c>
      <c r="L89" s="32">
        <f t="shared" si="15"/>
        <v>60876</v>
      </c>
      <c r="M89" s="32">
        <f t="shared" si="15"/>
        <v>0</v>
      </c>
      <c r="N89" s="32">
        <f t="shared" si="15"/>
        <v>0</v>
      </c>
      <c r="O89" s="32">
        <f t="shared" si="15"/>
        <v>4266812</v>
      </c>
      <c r="P89" s="32">
        <f t="shared" si="15"/>
        <v>33290303</v>
      </c>
      <c r="Q89" s="32">
        <f t="shared" si="15"/>
        <v>3036105</v>
      </c>
      <c r="R89" s="32">
        <f t="shared" si="15"/>
        <v>0</v>
      </c>
      <c r="S89" s="32">
        <f t="shared" si="15"/>
        <v>0</v>
      </c>
      <c r="T89" s="32">
        <f t="shared" si="15"/>
        <v>0</v>
      </c>
      <c r="U89" s="32">
        <f t="shared" si="15"/>
        <v>26283039</v>
      </c>
      <c r="V89" s="32">
        <f t="shared" si="15"/>
        <v>0</v>
      </c>
      <c r="W89" s="32">
        <f t="shared" si="15"/>
        <v>8569460</v>
      </c>
      <c r="X89" s="32">
        <f t="shared" si="15"/>
        <v>25147465</v>
      </c>
      <c r="Y89" s="32">
        <f t="shared" si="15"/>
        <v>14245181</v>
      </c>
      <c r="Z89" s="32">
        <f t="shared" si="15"/>
        <v>0</v>
      </c>
      <c r="AA89" s="32">
        <f t="shared" si="15"/>
        <v>0</v>
      </c>
      <c r="AB89" s="32">
        <f t="shared" si="15"/>
        <v>17601368</v>
      </c>
      <c r="AC89" s="32">
        <f t="shared" si="15"/>
        <v>2615584</v>
      </c>
      <c r="AD89" s="32">
        <f t="shared" si="15"/>
        <v>0</v>
      </c>
      <c r="AE89" s="32">
        <f t="shared" si="15"/>
        <v>3841741</v>
      </c>
      <c r="AF89" s="32">
        <f t="shared" si="15"/>
        <v>0</v>
      </c>
      <c r="AG89" s="32">
        <f t="shared" si="15"/>
        <v>24007707</v>
      </c>
      <c r="AH89" s="32">
        <f t="shared" si="15"/>
        <v>0</v>
      </c>
      <c r="AI89" s="32">
        <f t="shared" si="15"/>
        <v>0</v>
      </c>
      <c r="AJ89" s="32">
        <f t="shared" si="15"/>
        <v>33363996</v>
      </c>
      <c r="AK89" s="32">
        <f t="shared" si="15"/>
        <v>727899</v>
      </c>
      <c r="AL89" s="32">
        <f t="shared" si="15"/>
        <v>580491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3114210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213492081</v>
      </c>
    </row>
    <row r="90" spans="1:84" x14ac:dyDescent="0.35">
      <c r="A90" s="39" t="s">
        <v>275</v>
      </c>
      <c r="B90" s="32"/>
      <c r="C90" s="24">
        <v>2897</v>
      </c>
      <c r="D90" s="24"/>
      <c r="E90" s="24">
        <v>13113</v>
      </c>
      <c r="F90" s="24"/>
      <c r="G90" s="24"/>
      <c r="H90" s="24"/>
      <c r="I90" s="24"/>
      <c r="J90" s="24">
        <v>252</v>
      </c>
      <c r="K90" s="24"/>
      <c r="L90" s="24"/>
      <c r="M90" s="24"/>
      <c r="N90" s="24"/>
      <c r="O90" s="24">
        <v>3134</v>
      </c>
      <c r="P90" s="24">
        <v>12295</v>
      </c>
      <c r="Q90" s="24">
        <v>1012</v>
      </c>
      <c r="R90" s="24"/>
      <c r="S90" s="24">
        <v>1529</v>
      </c>
      <c r="T90" s="24"/>
      <c r="U90" s="24">
        <v>4560</v>
      </c>
      <c r="V90" s="24"/>
      <c r="W90" s="24">
        <v>142</v>
      </c>
      <c r="X90" s="24">
        <v>2272</v>
      </c>
      <c r="Y90" s="24">
        <v>2355</v>
      </c>
      <c r="Z90" s="24"/>
      <c r="AA90" s="24"/>
      <c r="AB90" s="24">
        <v>1163</v>
      </c>
      <c r="AC90" s="24">
        <v>1032</v>
      </c>
      <c r="AD90" s="24"/>
      <c r="AE90" s="24"/>
      <c r="AF90" s="24"/>
      <c r="AG90" s="24">
        <v>5160</v>
      </c>
      <c r="AH90" s="24"/>
      <c r="AI90" s="24"/>
      <c r="AJ90" s="24">
        <f>29499+2864+9434</f>
        <v>41797</v>
      </c>
      <c r="AK90" s="24"/>
      <c r="AL90" s="24"/>
      <c r="AM90" s="24"/>
      <c r="AN90" s="24"/>
      <c r="AO90" s="24"/>
      <c r="AP90" s="24"/>
      <c r="AQ90" s="24"/>
      <c r="AR90" s="24">
        <v>1394</v>
      </c>
      <c r="AS90" s="24"/>
      <c r="AT90" s="24"/>
      <c r="AU90" s="24"/>
      <c r="AV90" s="24"/>
      <c r="AW90" s="24"/>
      <c r="AX90" s="24"/>
      <c r="AY90" s="24">
        <v>2628</v>
      </c>
      <c r="AZ90" s="24">
        <v>1930</v>
      </c>
      <c r="BA90" s="24">
        <v>855</v>
      </c>
      <c r="BB90" s="24">
        <v>216</v>
      </c>
      <c r="BC90" s="24"/>
      <c r="BD90" s="24">
        <v>3136</v>
      </c>
      <c r="BE90" s="24">
        <v>5182</v>
      </c>
      <c r="BF90" s="24">
        <v>343</v>
      </c>
      <c r="BG90" s="24"/>
      <c r="BH90" s="24">
        <v>3456</v>
      </c>
      <c r="BI90" s="24"/>
      <c r="BJ90" s="24">
        <v>664</v>
      </c>
      <c r="BK90" s="24">
        <v>7998</v>
      </c>
      <c r="BL90" s="24">
        <v>421</v>
      </c>
      <c r="BM90" s="24"/>
      <c r="BN90" s="24">
        <f>27710-960-389-238-5875</f>
        <v>20248</v>
      </c>
      <c r="BO90" s="24">
        <f>120+120+120</f>
        <v>360</v>
      </c>
      <c r="BP90" s="24">
        <f>120+204+65</f>
        <v>389</v>
      </c>
      <c r="BQ90" s="24"/>
      <c r="BR90" s="24">
        <v>1023</v>
      </c>
      <c r="BS90" s="24"/>
      <c r="BT90" s="24"/>
      <c r="BU90" s="24"/>
      <c r="BV90" s="24">
        <v>1783</v>
      </c>
      <c r="BW90" s="24">
        <v>84</v>
      </c>
      <c r="BX90" s="24">
        <f>120+120+120+120+120</f>
        <v>600</v>
      </c>
      <c r="BY90" s="24">
        <v>474</v>
      </c>
      <c r="BZ90" s="24"/>
      <c r="CA90" s="24"/>
      <c r="CB90" s="24"/>
      <c r="CC90" s="24"/>
      <c r="CD90" s="263" t="s">
        <v>233</v>
      </c>
      <c r="CE90" s="32">
        <f t="shared" si="14"/>
        <v>145897</v>
      </c>
      <c r="CF90" s="32">
        <f>BE59-CE90</f>
        <v>0</v>
      </c>
    </row>
    <row r="91" spans="1:84" x14ac:dyDescent="0.35">
      <c r="A91" s="26" t="s">
        <v>276</v>
      </c>
      <c r="B91" s="20"/>
      <c r="C91" s="24">
        <v>2578</v>
      </c>
      <c r="D91" s="24"/>
      <c r="E91" s="24">
        <v>12314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>
        <v>43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>
        <v>936</v>
      </c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0" t="s">
        <v>233</v>
      </c>
      <c r="AY91" s="320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15871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1800</v>
      </c>
      <c r="D92" s="24"/>
      <c r="E92" s="24">
        <f>4160</f>
        <v>4160</v>
      </c>
      <c r="F92" s="24"/>
      <c r="G92" s="24"/>
      <c r="H92" s="24"/>
      <c r="I92" s="24"/>
      <c r="J92" s="24">
        <v>280</v>
      </c>
      <c r="K92" s="24"/>
      <c r="L92" s="24"/>
      <c r="M92" s="24"/>
      <c r="N92" s="24"/>
      <c r="O92" s="24">
        <v>1700</v>
      </c>
      <c r="P92" s="24">
        <f>6240+800</f>
        <v>7040</v>
      </c>
      <c r="Q92" s="24">
        <v>2080</v>
      </c>
      <c r="R92" s="24"/>
      <c r="S92" s="24">
        <v>500</v>
      </c>
      <c r="T92" s="24"/>
      <c r="U92" s="24">
        <v>1456</v>
      </c>
      <c r="V92" s="24"/>
      <c r="W92" s="24">
        <v>728</v>
      </c>
      <c r="X92" s="24">
        <f>728+500</f>
        <v>1228</v>
      </c>
      <c r="Y92" s="24">
        <f>728+500</f>
        <v>1228</v>
      </c>
      <c r="Z92" s="24"/>
      <c r="AA92" s="24"/>
      <c r="AB92" s="24">
        <v>1200</v>
      </c>
      <c r="AC92" s="24">
        <v>1800</v>
      </c>
      <c r="AD92" s="24"/>
      <c r="AE92" s="24">
        <v>1600</v>
      </c>
      <c r="AF92" s="24"/>
      <c r="AG92" s="24">
        <v>8320</v>
      </c>
      <c r="AH92" s="24"/>
      <c r="AI92" s="24"/>
      <c r="AJ92" s="24">
        <v>9495</v>
      </c>
      <c r="AK92" s="24">
        <v>300</v>
      </c>
      <c r="AL92" s="24">
        <v>180</v>
      </c>
      <c r="AM92" s="24"/>
      <c r="AN92" s="24"/>
      <c r="AO92" s="24"/>
      <c r="AP92" s="24"/>
      <c r="AQ92" s="24"/>
      <c r="AR92" s="24">
        <v>624</v>
      </c>
      <c r="AS92" s="24"/>
      <c r="AT92" s="24"/>
      <c r="AU92" s="24"/>
      <c r="AV92" s="24"/>
      <c r="AW92" s="24"/>
      <c r="AX92" s="320" t="s">
        <v>233</v>
      </c>
      <c r="AY92" s="320" t="s">
        <v>233</v>
      </c>
      <c r="AZ92" s="29" t="s">
        <v>233</v>
      </c>
      <c r="BA92" s="24">
        <v>360</v>
      </c>
      <c r="BB92" s="24">
        <v>360</v>
      </c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1000</v>
      </c>
      <c r="BI92" s="24"/>
      <c r="BJ92" s="29" t="s">
        <v>233</v>
      </c>
      <c r="BK92" s="24">
        <v>1040</v>
      </c>
      <c r="BL92" s="24">
        <v>360</v>
      </c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>
        <v>600</v>
      </c>
      <c r="BW92" s="24">
        <v>100</v>
      </c>
      <c r="BX92" s="24">
        <v>100</v>
      </c>
      <c r="BY92" s="24">
        <f>600-142</f>
        <v>458</v>
      </c>
      <c r="BZ92" s="24"/>
      <c r="CA92" s="24"/>
      <c r="CB92" s="24"/>
      <c r="CC92" s="29" t="s">
        <v>233</v>
      </c>
      <c r="CD92" s="29" t="s">
        <v>233</v>
      </c>
      <c r="CE92" s="32">
        <f t="shared" si="14"/>
        <v>50097</v>
      </c>
      <c r="CF92" s="20"/>
    </row>
    <row r="93" spans="1:84" x14ac:dyDescent="0.35">
      <c r="A93" s="26" t="s">
        <v>278</v>
      </c>
      <c r="B93" s="20"/>
      <c r="C93" s="24">
        <v>22765</v>
      </c>
      <c r="D93" s="24"/>
      <c r="E93" s="24">
        <v>90398</v>
      </c>
      <c r="F93" s="24"/>
      <c r="G93" s="24"/>
      <c r="H93" s="24"/>
      <c r="I93" s="24"/>
      <c r="J93" s="24">
        <v>6176</v>
      </c>
      <c r="K93" s="24"/>
      <c r="L93" s="24"/>
      <c r="M93" s="24"/>
      <c r="N93" s="24"/>
      <c r="O93" s="24">
        <v>31570</v>
      </c>
      <c r="P93" s="24">
        <v>54931</v>
      </c>
      <c r="Q93" s="24">
        <v>22765</v>
      </c>
      <c r="R93" s="24"/>
      <c r="S93" s="24"/>
      <c r="T93" s="24"/>
      <c r="U93" s="24">
        <v>2014</v>
      </c>
      <c r="V93" s="24"/>
      <c r="W93" s="24">
        <v>4819</v>
      </c>
      <c r="X93" s="24">
        <v>13163</v>
      </c>
      <c r="Y93" s="24">
        <v>56558</v>
      </c>
      <c r="Z93" s="24"/>
      <c r="AA93" s="24"/>
      <c r="AB93" s="24"/>
      <c r="AC93" s="24">
        <v>16789</v>
      </c>
      <c r="AD93" s="24"/>
      <c r="AE93" s="24">
        <v>8394</v>
      </c>
      <c r="AF93" s="24"/>
      <c r="AG93" s="24">
        <v>77294</v>
      </c>
      <c r="AH93" s="24"/>
      <c r="AI93" s="24"/>
      <c r="AJ93" s="24">
        <f>3358+3358+8729+671+6715+4</f>
        <v>22835</v>
      </c>
      <c r="AK93" s="24">
        <v>3358</v>
      </c>
      <c r="AL93" s="24"/>
      <c r="AM93" s="24"/>
      <c r="AN93" s="24"/>
      <c r="AO93" s="24"/>
      <c r="AP93" s="24"/>
      <c r="AQ93" s="24"/>
      <c r="AR93" s="24">
        <v>671</v>
      </c>
      <c r="AS93" s="24"/>
      <c r="AT93" s="24"/>
      <c r="AU93" s="24"/>
      <c r="AV93" s="24"/>
      <c r="AW93" s="24"/>
      <c r="AX93" s="320" t="s">
        <v>233</v>
      </c>
      <c r="AY93" s="320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434500</v>
      </c>
      <c r="CF93" s="32">
        <f>BA59</f>
        <v>0</v>
      </c>
    </row>
    <row r="94" spans="1:84" x14ac:dyDescent="0.35">
      <c r="A94" s="26" t="s">
        <v>279</v>
      </c>
      <c r="B94" s="20"/>
      <c r="C94" s="314">
        <v>12.6</v>
      </c>
      <c r="D94" s="314"/>
      <c r="E94" s="314">
        <v>18.399999999999999</v>
      </c>
      <c r="F94" s="314"/>
      <c r="G94" s="314"/>
      <c r="H94" s="314"/>
      <c r="I94" s="314"/>
      <c r="J94" s="314">
        <v>1</v>
      </c>
      <c r="K94" s="314"/>
      <c r="L94" s="314"/>
      <c r="M94" s="314"/>
      <c r="N94" s="314"/>
      <c r="O94" s="314">
        <v>10.6</v>
      </c>
      <c r="P94" s="315">
        <v>19.600000000000001</v>
      </c>
      <c r="Q94" s="315">
        <v>0.4</v>
      </c>
      <c r="R94" s="315"/>
      <c r="S94" s="316">
        <v>0.3</v>
      </c>
      <c r="T94" s="316"/>
      <c r="U94" s="317"/>
      <c r="V94" s="315"/>
      <c r="W94" s="315"/>
      <c r="X94" s="315"/>
      <c r="Y94" s="315"/>
      <c r="Z94" s="315"/>
      <c r="AA94" s="315"/>
      <c r="AB94" s="316"/>
      <c r="AC94" s="315"/>
      <c r="AD94" s="315"/>
      <c r="AE94" s="315"/>
      <c r="AF94" s="315"/>
      <c r="AG94" s="315">
        <v>22.1</v>
      </c>
      <c r="AH94" s="315"/>
      <c r="AI94" s="315"/>
      <c r="AJ94" s="315">
        <f>2.57+10.71</f>
        <v>13.280000000000001</v>
      </c>
      <c r="AK94" s="315"/>
      <c r="AL94" s="315"/>
      <c r="AM94" s="315"/>
      <c r="AN94" s="315"/>
      <c r="AO94" s="315"/>
      <c r="AP94" s="315"/>
      <c r="AQ94" s="315"/>
      <c r="AR94" s="315">
        <f>5.06+1.43</f>
        <v>6.4899999999999993</v>
      </c>
      <c r="AS94" s="315"/>
      <c r="AT94" s="315"/>
      <c r="AU94" s="315"/>
      <c r="AV94" s="316"/>
      <c r="AW94" s="320" t="s">
        <v>233</v>
      </c>
      <c r="AX94" s="320" t="s">
        <v>233</v>
      </c>
      <c r="AY94" s="320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233</v>
      </c>
      <c r="CD94" s="29" t="s">
        <v>233</v>
      </c>
      <c r="CE94" s="266">
        <f t="shared" si="14"/>
        <v>104.77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2" t="s">
        <v>1376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3" t="s">
        <v>1365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1366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44" t="s">
        <v>1367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1368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1381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4">
        <v>98926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1378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5" t="s">
        <v>1371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5" t="s">
        <v>1372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1377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2" t="s">
        <v>1374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2" t="s">
        <v>1379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1372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3" t="s">
        <v>1380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1056</v>
      </c>
      <c r="D127" s="50">
        <v>3950</v>
      </c>
      <c r="E127" s="20"/>
    </row>
    <row r="128" spans="1:5" x14ac:dyDescent="0.35">
      <c r="A128" s="20" t="s">
        <v>311</v>
      </c>
      <c r="B128" s="46" t="s">
        <v>284</v>
      </c>
      <c r="C128" s="47">
        <v>6</v>
      </c>
      <c r="D128" s="50">
        <v>59</v>
      </c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318</v>
      </c>
      <c r="D130" s="50">
        <v>526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6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13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6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35">
      <c r="A144" s="20" t="s">
        <v>325</v>
      </c>
      <c r="B144" s="46" t="s">
        <v>284</v>
      </c>
      <c r="C144" s="47">
        <v>50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6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424</v>
      </c>
      <c r="C154" s="50">
        <v>202</v>
      </c>
      <c r="D154" s="50">
        <v>430</v>
      </c>
      <c r="E154" s="32">
        <f>SUM(B154:D154)</f>
        <v>1056</v>
      </c>
    </row>
    <row r="155" spans="1:6" x14ac:dyDescent="0.35">
      <c r="A155" s="20" t="s">
        <v>227</v>
      </c>
      <c r="B155" s="50">
        <v>1971</v>
      </c>
      <c r="C155" s="50">
        <v>606</v>
      </c>
      <c r="D155" s="50">
        <v>1899</v>
      </c>
      <c r="E155" s="32">
        <f>SUM(B155:D155)</f>
        <v>4476</v>
      </c>
    </row>
    <row r="156" spans="1:6" x14ac:dyDescent="0.35">
      <c r="A156" s="20" t="s">
        <v>332</v>
      </c>
      <c r="B156" s="50">
        <v>87951</v>
      </c>
      <c r="C156" s="50">
        <v>38917</v>
      </c>
      <c r="D156" s="50">
        <v>81005</v>
      </c>
      <c r="E156" s="32">
        <f>SUM(B156:D156)</f>
        <v>207873</v>
      </c>
    </row>
    <row r="157" spans="1:6" x14ac:dyDescent="0.35">
      <c r="A157" s="20" t="s">
        <v>272</v>
      </c>
      <c r="B157" s="50">
        <f>12381304+3466218-1366124-60876</f>
        <v>14420522</v>
      </c>
      <c r="C157" s="50">
        <f>326589+5138912</f>
        <v>5465501</v>
      </c>
      <c r="D157" s="50">
        <f>100878+8660511+30561+892323+704208+53430</f>
        <v>10441911</v>
      </c>
      <c r="E157" s="32">
        <f>SUM(B157:D157)</f>
        <v>30327934</v>
      </c>
      <c r="F157" s="18"/>
    </row>
    <row r="158" spans="1:6" x14ac:dyDescent="0.35">
      <c r="A158" s="20" t="s">
        <v>273</v>
      </c>
      <c r="B158" s="50">
        <f>57810281+2803+14434972+476+6587703</f>
        <v>78836235</v>
      </c>
      <c r="C158" s="50">
        <f>1253251+32019525</f>
        <v>33272776</v>
      </c>
      <c r="D158" s="50">
        <f>-5598+716462+329+60480356+36135+1390+3001784+3420917+425259+2917226</f>
        <v>70994260</v>
      </c>
      <c r="E158" s="32">
        <f>SUM(B158:D158)</f>
        <v>183103271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>
        <v>6</v>
      </c>
      <c r="C160" s="50"/>
      <c r="D160" s="50"/>
      <c r="E160" s="32">
        <f>SUM(B160:D160)</f>
        <v>6</v>
      </c>
    </row>
    <row r="161" spans="1:5" x14ac:dyDescent="0.35">
      <c r="A161" s="20" t="s">
        <v>227</v>
      </c>
      <c r="B161" s="50">
        <v>59</v>
      </c>
      <c r="C161" s="50"/>
      <c r="D161" s="50"/>
      <c r="E161" s="32">
        <f>SUM(B161:D161)</f>
        <v>59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>
        <v>60876</v>
      </c>
      <c r="C163" s="50"/>
      <c r="D163" s="50"/>
      <c r="E163" s="32">
        <f>SUM(B163:D163)</f>
        <v>60876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f>2139+4480070</f>
        <v>4482209</v>
      </c>
      <c r="C173" s="50">
        <v>3067944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3750309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51195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385085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f>5817846-1137939+447564-106-11769</f>
        <v>5115596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64892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3475371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f>147636+11421+19718</f>
        <v>178775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27428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13048651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8046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180994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189040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923191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287812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1211003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172589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583514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756103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777132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777132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2808860</v>
      </c>
      <c r="C211" s="47">
        <v>404052</v>
      </c>
      <c r="D211" s="50"/>
      <c r="E211" s="32">
        <f t="shared" ref="E211:E219" si="16">SUM(B211:C211)-D211</f>
        <v>3212912</v>
      </c>
    </row>
    <row r="212" spans="1:5" x14ac:dyDescent="0.35">
      <c r="A212" s="20" t="s">
        <v>367</v>
      </c>
      <c r="B212" s="50">
        <v>429006</v>
      </c>
      <c r="C212" s="47"/>
      <c r="D212" s="50">
        <v>217661</v>
      </c>
      <c r="E212" s="32">
        <f t="shared" si="16"/>
        <v>211345</v>
      </c>
    </row>
    <row r="213" spans="1:5" x14ac:dyDescent="0.35">
      <c r="A213" s="20" t="s">
        <v>368</v>
      </c>
      <c r="B213" s="50">
        <v>47774316</v>
      </c>
      <c r="C213" s="47">
        <f>534367+173384</f>
        <v>707751</v>
      </c>
      <c r="D213" s="50"/>
      <c r="E213" s="32">
        <f t="shared" si="16"/>
        <v>48482067</v>
      </c>
    </row>
    <row r="214" spans="1:5" x14ac:dyDescent="0.35">
      <c r="A214" s="20" t="s">
        <v>369</v>
      </c>
      <c r="B214" s="50">
        <v>6963975</v>
      </c>
      <c r="C214" s="47">
        <v>16594</v>
      </c>
      <c r="D214" s="50"/>
      <c r="E214" s="32">
        <f t="shared" si="16"/>
        <v>6980569</v>
      </c>
    </row>
    <row r="215" spans="1:5" x14ac:dyDescent="0.35">
      <c r="A215" s="20" t="s">
        <v>370</v>
      </c>
      <c r="B215" s="50"/>
      <c r="C215" s="47"/>
      <c r="D215" s="50"/>
      <c r="E215" s="32">
        <f t="shared" si="16"/>
        <v>0</v>
      </c>
    </row>
    <row r="216" spans="1:5" x14ac:dyDescent="0.35">
      <c r="A216" s="20" t="s">
        <v>371</v>
      </c>
      <c r="B216" s="50">
        <v>32745184</v>
      </c>
      <c r="C216" s="47">
        <v>1540502</v>
      </c>
      <c r="D216" s="50">
        <v>918385</v>
      </c>
      <c r="E216" s="32">
        <f t="shared" si="16"/>
        <v>33367301</v>
      </c>
    </row>
    <row r="217" spans="1:5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>
        <v>0</v>
      </c>
      <c r="C218" s="47">
        <f>4171766+1544263</f>
        <v>5716029</v>
      </c>
      <c r="D218" s="50"/>
      <c r="E218" s="32">
        <f t="shared" si="16"/>
        <v>5716029</v>
      </c>
    </row>
    <row r="219" spans="1:5" x14ac:dyDescent="0.35">
      <c r="A219" s="20" t="s">
        <v>374</v>
      </c>
      <c r="B219" s="50">
        <v>1652275</v>
      </c>
      <c r="C219" s="47">
        <f>6656818-189978</f>
        <v>6466840</v>
      </c>
      <c r="D219" s="50"/>
      <c r="E219" s="32">
        <f t="shared" si="16"/>
        <v>8119115</v>
      </c>
    </row>
    <row r="220" spans="1:5" x14ac:dyDescent="0.35">
      <c r="A220" s="20" t="s">
        <v>215</v>
      </c>
      <c r="B220" s="32">
        <f>SUM(B211:B219)</f>
        <v>92373616</v>
      </c>
      <c r="C220" s="265">
        <f>SUM(C211:C219)</f>
        <v>14851768</v>
      </c>
      <c r="D220" s="32">
        <f>SUM(D211:D219)</f>
        <v>1136046</v>
      </c>
      <c r="E220" s="32">
        <f>SUM(E211:E219)</f>
        <v>106089338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434951</v>
      </c>
      <c r="C225" s="47">
        <v>2716</v>
      </c>
      <c r="D225" s="50">
        <v>217661</v>
      </c>
      <c r="E225" s="32">
        <f t="shared" ref="E225:E232" si="17">SUM(B225:C225)-D225</f>
        <v>220006</v>
      </c>
    </row>
    <row r="226" spans="1:5" x14ac:dyDescent="0.35">
      <c r="A226" s="20" t="s">
        <v>368</v>
      </c>
      <c r="B226" s="50">
        <v>20290809</v>
      </c>
      <c r="C226" s="47">
        <v>1919693</v>
      </c>
      <c r="D226" s="50"/>
      <c r="E226" s="32">
        <f t="shared" si="17"/>
        <v>22210502</v>
      </c>
    </row>
    <row r="227" spans="1:5" x14ac:dyDescent="0.35">
      <c r="A227" s="20" t="s">
        <v>369</v>
      </c>
      <c r="B227" s="50">
        <v>4463103</v>
      </c>
      <c r="C227" s="47">
        <v>228877</v>
      </c>
      <c r="D227" s="50"/>
      <c r="E227" s="32">
        <f t="shared" si="17"/>
        <v>4691980</v>
      </c>
    </row>
    <row r="228" spans="1:5" x14ac:dyDescent="0.35">
      <c r="A228" s="20" t="s">
        <v>370</v>
      </c>
      <c r="B228" s="50"/>
      <c r="C228" s="47"/>
      <c r="D228" s="50"/>
      <c r="E228" s="32">
        <f t="shared" si="17"/>
        <v>0</v>
      </c>
    </row>
    <row r="229" spans="1:5" x14ac:dyDescent="0.35">
      <c r="A229" s="20" t="s">
        <v>371</v>
      </c>
      <c r="B229" s="50">
        <v>24095378</v>
      </c>
      <c r="C229" s="47">
        <v>2337611</v>
      </c>
      <c r="D229" s="50">
        <v>915999</v>
      </c>
      <c r="E229" s="32">
        <f t="shared" si="17"/>
        <v>25516990</v>
      </c>
    </row>
    <row r="230" spans="1:5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/>
      <c r="C231" s="47">
        <f>520318+705223</f>
        <v>1225541</v>
      </c>
      <c r="D231" s="50"/>
      <c r="E231" s="32">
        <f t="shared" si="17"/>
        <v>1225541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49284241</v>
      </c>
      <c r="C233" s="265">
        <f>SUM(C224:C232)</f>
        <v>5714438</v>
      </c>
      <c r="D233" s="32">
        <f>SUM(D224:D232)</f>
        <v>1133660</v>
      </c>
      <c r="E233" s="32">
        <f>SUM(E224:E232)</f>
        <v>53865019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5954254</v>
      </c>
      <c r="D237" s="40">
        <f>C237</f>
        <v>5954254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46404779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19799203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/>
      <c r="D241" s="20"/>
      <c r="E241" s="20"/>
    </row>
    <row r="242" spans="1:5" x14ac:dyDescent="0.35">
      <c r="A242" s="20" t="s">
        <v>382</v>
      </c>
      <c r="B242" s="46" t="s">
        <v>284</v>
      </c>
      <c r="C242" s="47"/>
      <c r="D242" s="20"/>
      <c r="E242" s="20"/>
    </row>
    <row r="243" spans="1:5" x14ac:dyDescent="0.35">
      <c r="A243" s="20" t="s">
        <v>383</v>
      </c>
      <c r="B243" s="46" t="s">
        <v>284</v>
      </c>
      <c r="C243" s="47"/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18618326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84822308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f>1509+2516</f>
        <v>4025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f>67702+93235</f>
        <v>160937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1074723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1235660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1733500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1733500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93745722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f>11162290</f>
        <v>11162290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41373454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f>26782288+1</f>
        <v>26782289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2182107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2007557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2690763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1512320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963413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35109615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>
        <v>61115705</v>
      </c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61115705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3212912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211345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46791473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f>6625848+354721</f>
        <v>6980569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/>
      <c r="D287" s="20"/>
      <c r="E287" s="20"/>
    </row>
    <row r="288" spans="1:5" x14ac:dyDescent="0.35">
      <c r="A288" s="20" t="s">
        <v>414</v>
      </c>
      <c r="B288" s="46" t="s">
        <v>284</v>
      </c>
      <c r="C288" s="47">
        <f>39642888+1</f>
        <v>39642889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1131036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8119115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106089339</v>
      </c>
      <c r="E291" s="20"/>
    </row>
    <row r="292" spans="1:5" x14ac:dyDescent="0.35">
      <c r="A292" s="20" t="s">
        <v>416</v>
      </c>
      <c r="B292" s="46" t="s">
        <v>284</v>
      </c>
      <c r="C292" s="47">
        <v>53865018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52224321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148449641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4228424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f>2645596+985345+1927556</f>
        <v>5558497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1284899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/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2293900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13365720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>
        <v>60910</v>
      </c>
      <c r="D327" s="20"/>
      <c r="E327" s="20"/>
    </row>
    <row r="328" spans="1:5" x14ac:dyDescent="0.35">
      <c r="A328" s="20" t="s">
        <v>446</v>
      </c>
      <c r="B328" s="46" t="s">
        <v>284</v>
      </c>
      <c r="C328" s="47">
        <f>273091+628695+127031</f>
        <v>1028817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1089727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>
        <v>0</v>
      </c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4991302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>
        <f>11667554+5280000+898152+15310000</f>
        <v>33155706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1"/>
      <c r="D337" s="20"/>
      <c r="E337" s="20"/>
    </row>
    <row r="338" spans="1:5" x14ac:dyDescent="0.35">
      <c r="A338" s="20" t="s">
        <v>456</v>
      </c>
      <c r="B338" s="46" t="s">
        <v>284</v>
      </c>
      <c r="C338" s="47"/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38147008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2293900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35853108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6">
        <v>94334870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144643425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148449641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30388810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183103271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213492081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5954254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84822308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1235660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1733500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93745722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119746359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2">
        <v>195039</v>
      </c>
      <c r="D370" s="32"/>
      <c r="E370" s="32"/>
    </row>
    <row r="371" spans="1:6" x14ac:dyDescent="0.35">
      <c r="A371" s="59" t="s">
        <v>480</v>
      </c>
      <c r="B371" s="40" t="s">
        <v>284</v>
      </c>
      <c r="C371" s="272">
        <f>10096+148587</f>
        <v>158683</v>
      </c>
      <c r="D371" s="32"/>
      <c r="E371" s="32"/>
    </row>
    <row r="372" spans="1:6" x14ac:dyDescent="0.35">
      <c r="A372" s="59" t="s">
        <v>481</v>
      </c>
      <c r="B372" s="40" t="s">
        <v>284</v>
      </c>
      <c r="C372" s="272">
        <v>0</v>
      </c>
      <c r="D372" s="32"/>
      <c r="E372" s="32"/>
    </row>
    <row r="373" spans="1:6" x14ac:dyDescent="0.35">
      <c r="A373" s="59" t="s">
        <v>482</v>
      </c>
      <c r="B373" s="40" t="s">
        <v>284</v>
      </c>
      <c r="C373" s="272"/>
      <c r="D373" s="32"/>
      <c r="E373" s="32"/>
    </row>
    <row r="374" spans="1:6" x14ac:dyDescent="0.35">
      <c r="A374" s="59" t="s">
        <v>483</v>
      </c>
      <c r="B374" s="40" t="s">
        <v>284</v>
      </c>
      <c r="C374" s="272">
        <f>6544+412683+800847</f>
        <v>1220074</v>
      </c>
      <c r="D374" s="32"/>
      <c r="E374" s="32"/>
    </row>
    <row r="375" spans="1:6" x14ac:dyDescent="0.35">
      <c r="A375" s="59" t="s">
        <v>484</v>
      </c>
      <c r="B375" s="40" t="s">
        <v>284</v>
      </c>
      <c r="C375" s="272">
        <v>0</v>
      </c>
      <c r="D375" s="32"/>
      <c r="E375" s="32"/>
    </row>
    <row r="376" spans="1:6" x14ac:dyDescent="0.35">
      <c r="A376" s="59" t="s">
        <v>485</v>
      </c>
      <c r="B376" s="40" t="s">
        <v>284</v>
      </c>
      <c r="C376" s="272"/>
      <c r="D376" s="32"/>
      <c r="E376" s="32"/>
    </row>
    <row r="377" spans="1:6" x14ac:dyDescent="0.35">
      <c r="A377" s="59" t="s">
        <v>486</v>
      </c>
      <c r="B377" s="40" t="s">
        <v>284</v>
      </c>
      <c r="C377" s="272"/>
      <c r="D377" s="32"/>
      <c r="E377" s="32"/>
    </row>
    <row r="378" spans="1:6" x14ac:dyDescent="0.35">
      <c r="A378" s="59" t="s">
        <v>487</v>
      </c>
      <c r="B378" s="40" t="s">
        <v>284</v>
      </c>
      <c r="C378" s="272"/>
      <c r="D378" s="32"/>
      <c r="E378" s="32"/>
    </row>
    <row r="379" spans="1:6" x14ac:dyDescent="0.35">
      <c r="A379" s="59" t="s">
        <v>488</v>
      </c>
      <c r="B379" s="40" t="s">
        <v>284</v>
      </c>
      <c r="C379" s="272">
        <v>309808</v>
      </c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f>173+2295+3685+4000+30056+32677+18247+6602+6000+1702+1950+480726+1000+9</f>
        <v>589122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2472726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2472726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122219085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f>54598631</f>
        <v>54598631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13048651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2716325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12536040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1198546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13503688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5661935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189040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1211003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756103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777132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2"/>
      <c r="D401" s="32"/>
      <c r="E401" s="32"/>
    </row>
    <row r="402" spans="1:9" x14ac:dyDescent="0.35">
      <c r="A402" s="33" t="s">
        <v>256</v>
      </c>
      <c r="B402" s="40" t="s">
        <v>284</v>
      </c>
      <c r="C402" s="272">
        <v>6697461</v>
      </c>
      <c r="D402" s="32"/>
      <c r="E402" s="32"/>
    </row>
    <row r="403" spans="1:9" x14ac:dyDescent="0.35">
      <c r="A403" s="33" t="s">
        <v>504</v>
      </c>
      <c r="B403" s="40" t="s">
        <v>284</v>
      </c>
      <c r="C403" s="272"/>
      <c r="D403" s="32"/>
      <c r="E403" s="32"/>
    </row>
    <row r="404" spans="1:9" x14ac:dyDescent="0.35">
      <c r="A404" s="33" t="s">
        <v>258</v>
      </c>
      <c r="B404" s="40" t="s">
        <v>284</v>
      </c>
      <c r="C404" s="272"/>
      <c r="D404" s="32"/>
      <c r="E404" s="32"/>
    </row>
    <row r="405" spans="1:9" x14ac:dyDescent="0.35">
      <c r="A405" s="33" t="s">
        <v>259</v>
      </c>
      <c r="B405" s="40" t="s">
        <v>284</v>
      </c>
      <c r="C405" s="272"/>
      <c r="D405" s="32"/>
      <c r="E405" s="32"/>
    </row>
    <row r="406" spans="1:9" x14ac:dyDescent="0.35">
      <c r="A406" s="33" t="s">
        <v>260</v>
      </c>
      <c r="B406" s="40" t="s">
        <v>284</v>
      </c>
      <c r="C406" s="272">
        <v>152636</v>
      </c>
      <c r="D406" s="32"/>
      <c r="E406" s="32"/>
    </row>
    <row r="407" spans="1:9" x14ac:dyDescent="0.35">
      <c r="A407" s="33" t="s">
        <v>261</v>
      </c>
      <c r="B407" s="40" t="s">
        <v>284</v>
      </c>
      <c r="C407" s="272"/>
      <c r="D407" s="32"/>
      <c r="E407" s="32"/>
    </row>
    <row r="408" spans="1:9" x14ac:dyDescent="0.35">
      <c r="A408" s="33" t="s">
        <v>262</v>
      </c>
      <c r="B408" s="40" t="s">
        <v>284</v>
      </c>
      <c r="C408" s="272"/>
      <c r="D408" s="32"/>
      <c r="E408" s="32"/>
    </row>
    <row r="409" spans="1:9" x14ac:dyDescent="0.35">
      <c r="A409" s="33" t="s">
        <v>263</v>
      </c>
      <c r="B409" s="40" t="s">
        <v>284</v>
      </c>
      <c r="C409" s="272"/>
      <c r="D409" s="32"/>
      <c r="E409" s="32"/>
    </row>
    <row r="410" spans="1:9" x14ac:dyDescent="0.35">
      <c r="A410" s="33" t="s">
        <v>264</v>
      </c>
      <c r="B410" s="40" t="s">
        <v>284</v>
      </c>
      <c r="C410" s="272">
        <v>224658</v>
      </c>
      <c r="D410" s="32"/>
      <c r="E410" s="32"/>
    </row>
    <row r="411" spans="1:9" x14ac:dyDescent="0.35">
      <c r="A411" s="33" t="s">
        <v>265</v>
      </c>
      <c r="B411" s="40" t="s">
        <v>284</v>
      </c>
      <c r="C411" s="272"/>
      <c r="D411" s="32"/>
      <c r="E411" s="32"/>
    </row>
    <row r="412" spans="1:9" x14ac:dyDescent="0.35">
      <c r="A412" s="33" t="s">
        <v>266</v>
      </c>
      <c r="B412" s="40" t="s">
        <v>284</v>
      </c>
      <c r="C412" s="272"/>
      <c r="D412" s="32"/>
      <c r="E412" s="32"/>
    </row>
    <row r="413" spans="1:9" x14ac:dyDescent="0.35">
      <c r="A413" s="33" t="s">
        <v>267</v>
      </c>
      <c r="B413" s="40" t="s">
        <v>284</v>
      </c>
      <c r="C413" s="272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f>838525+412004-224658-152636</f>
        <v>873235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7947990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114145084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8074001</v>
      </c>
      <c r="E417" s="32"/>
    </row>
    <row r="418" spans="1:13" x14ac:dyDescent="0.35">
      <c r="A418" s="32" t="s">
        <v>508</v>
      </c>
      <c r="B418" s="20"/>
      <c r="C418" s="236">
        <v>-1994212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2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-1994212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6079789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6079789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0"/>
      <c r="C612" s="248" t="s">
        <v>515</v>
      </c>
      <c r="D612" s="255">
        <f>CE90-(BE90+CD90)</f>
        <v>140715</v>
      </c>
      <c r="E612" s="257">
        <f>SUM(C624:D647)+SUM(C668:D713)</f>
        <v>106327233.51450095</v>
      </c>
      <c r="F612" s="257">
        <f>CE64-(AX64+BD64+BE64+BG64+BJ64+BN64+BP64+BQ64+CB64+CC64+CD64)</f>
        <v>12604371</v>
      </c>
      <c r="G612" s="255">
        <f>CE91-(AX91+AY91+BD91+BE91+BG91+BJ91+BN91+BP91+BQ91+CB91+CC91+CD91)</f>
        <v>15871</v>
      </c>
      <c r="H612" s="260">
        <f>CE60-(AX60+AY60+AZ60+BD60+BE60+BG60+BJ60+BN60+BO60+BP60+BQ60+BR60+CB60+CC60+CD60)</f>
        <v>505.12999999999988</v>
      </c>
      <c r="I612" s="255">
        <f>CE92-(AX92+AY92+AZ92+BD92+BE92+BF92+BG92+BJ92+BN92+BO92+BP92+BQ92+BR92+CB92+CC92+CD92)</f>
        <v>50097</v>
      </c>
      <c r="J612" s="255">
        <f>CE93-(AX93+AY93+AZ93+BA93+BD93+BE93+BF93+BG93+BJ93+BN93+BO93+BP93+BQ93+BR93+CB93+CC93+CD93)</f>
        <v>434500</v>
      </c>
      <c r="K612" s="255">
        <f>CE89-(AW89+AX89+AY89+AZ89+BA89+BB89+BC89+BD89+BE89+BF89+BG89+BH89+BI89+BJ89+BK89+BL89+BM89+BN89+BO89+BP89+BQ89+BR89+BS89+BT89+BU89+BV89+BW89+BX89+CB89+CC89+CD89)</f>
        <v>213492081</v>
      </c>
      <c r="L612" s="261">
        <f>CE94-(AW94+AX94+AY94+AZ94+BA94+BB94+BC94+BD94+BE94+BF94+BG94+BH94+BI94+BJ94+BK94+BL94+BM94+BN94+BO94+BP94+BQ94+BR94+BS94+BT94+BU94+BV94+BW94+BX94+BY94+BZ94+CA94+CB94+CC94+CD94)</f>
        <v>104.77</v>
      </c>
    </row>
    <row r="613" spans="1:14" s="231" customFormat="1" ht="12.65" customHeight="1" x14ac:dyDescent="0.3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5" customHeight="1" x14ac:dyDescent="0.3">
      <c r="A614" s="250">
        <v>8430</v>
      </c>
      <c r="B614" s="249" t="s">
        <v>152</v>
      </c>
      <c r="C614" s="255">
        <f>BE85</f>
        <v>3694312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5" customHeight="1" x14ac:dyDescent="0.3">
      <c r="A615" s="250"/>
      <c r="B615" s="249" t="s">
        <v>527</v>
      </c>
      <c r="C615" s="255">
        <f>CD69-CD84</f>
        <v>0</v>
      </c>
      <c r="D615" s="255">
        <f>SUM(C614:C615)</f>
        <v>3694312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5" customHeight="1" x14ac:dyDescent="0.3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5" customHeight="1" x14ac:dyDescent="0.3">
      <c r="A617" s="250">
        <v>8510</v>
      </c>
      <c r="B617" s="254" t="s">
        <v>157</v>
      </c>
      <c r="C617" s="255">
        <f>BJ85</f>
        <v>1310660</v>
      </c>
      <c r="D617" s="255">
        <f>(D615/D612)*BJ90</f>
        <v>17432.563465160078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5" customHeight="1" x14ac:dyDescent="0.3">
      <c r="A618" s="250">
        <v>8470</v>
      </c>
      <c r="B618" s="254" t="s">
        <v>532</v>
      </c>
      <c r="C618" s="255">
        <f>BG85</f>
        <v>0</v>
      </c>
      <c r="D618" s="255">
        <f>(D615/D612)*BG90</f>
        <v>0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5" customHeight="1" x14ac:dyDescent="0.3">
      <c r="A619" s="250">
        <v>8610</v>
      </c>
      <c r="B619" s="254" t="s">
        <v>534</v>
      </c>
      <c r="C619" s="255">
        <f>BN85</f>
        <v>2247504</v>
      </c>
      <c r="D619" s="255">
        <f>(D615/D612)*BN90</f>
        <v>531588.17024482111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5" customHeight="1" x14ac:dyDescent="0.3">
      <c r="A620" s="250">
        <v>8790</v>
      </c>
      <c r="B620" s="254" t="s">
        <v>536</v>
      </c>
      <c r="C620" s="255">
        <f>CC85</f>
        <v>0</v>
      </c>
      <c r="D620" s="255">
        <f>(D615/D612)*CC90</f>
        <v>0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5" customHeight="1" x14ac:dyDescent="0.3">
      <c r="A621" s="250">
        <v>8630</v>
      </c>
      <c r="B621" s="254" t="s">
        <v>538</v>
      </c>
      <c r="C621" s="255">
        <f>BP85</f>
        <v>767126</v>
      </c>
      <c r="D621" s="255">
        <f>(D615/D612)*BP90</f>
        <v>10212.751789077212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5" customHeight="1" x14ac:dyDescent="0.3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5" customHeight="1" x14ac:dyDescent="0.3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4884523.4854990589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5" customHeight="1" x14ac:dyDescent="0.3">
      <c r="A624" s="250">
        <v>8420</v>
      </c>
      <c r="B624" s="254" t="s">
        <v>151</v>
      </c>
      <c r="C624" s="255">
        <f>BD85</f>
        <v>345417</v>
      </c>
      <c r="D624" s="255">
        <f>(D615/D612)*BD90</f>
        <v>82332.106967984932</v>
      </c>
      <c r="E624" s="257">
        <f>(E623/E612)*SUM(C624:D624)</f>
        <v>19650.192051704467</v>
      </c>
      <c r="F624" s="257">
        <f>SUM(C624:E624)</f>
        <v>447399.29901968938</v>
      </c>
      <c r="G624" s="255"/>
      <c r="H624" s="257"/>
      <c r="I624" s="255"/>
      <c r="J624" s="255"/>
      <c r="N624" s="251" t="s">
        <v>544</v>
      </c>
    </row>
    <row r="625" spans="1:14" s="231" customFormat="1" ht="12.65" customHeight="1" x14ac:dyDescent="0.3">
      <c r="A625" s="250">
        <v>8320</v>
      </c>
      <c r="B625" s="254" t="s">
        <v>147</v>
      </c>
      <c r="C625" s="255">
        <f>AY85</f>
        <v>430377</v>
      </c>
      <c r="D625" s="255">
        <f>(D615/D612)*AY90</f>
        <v>68995.145762711865</v>
      </c>
      <c r="E625" s="257">
        <f>(E623/E612)*SUM(C625:D625)</f>
        <v>22940.453667021884</v>
      </c>
      <c r="F625" s="257">
        <f>(F624/F612)*AY64</f>
        <v>3184.6977931183992</v>
      </c>
      <c r="G625" s="255">
        <f>SUM(C625:F625)</f>
        <v>525497.29722285212</v>
      </c>
      <c r="H625" s="257"/>
      <c r="I625" s="255"/>
      <c r="J625" s="255"/>
      <c r="N625" s="251" t="s">
        <v>545</v>
      </c>
    </row>
    <row r="626" spans="1:14" s="231" customFormat="1" ht="12.65" customHeight="1" x14ac:dyDescent="0.3">
      <c r="A626" s="250">
        <v>8650</v>
      </c>
      <c r="B626" s="254" t="s">
        <v>164</v>
      </c>
      <c r="C626" s="255">
        <f>BR85</f>
        <v>1120184</v>
      </c>
      <c r="D626" s="255">
        <f>(D615/D612)*BR90</f>
        <v>26857.699435028251</v>
      </c>
      <c r="E626" s="257">
        <f>(E623/E612)*SUM(C626:D626)</f>
        <v>52693.481571426782</v>
      </c>
      <c r="F626" s="257">
        <f>(F624/F612)*BR64</f>
        <v>496.44100416350608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5" customHeight="1" x14ac:dyDescent="0.3">
      <c r="A627" s="250">
        <v>8620</v>
      </c>
      <c r="B627" s="249" t="s">
        <v>547</v>
      </c>
      <c r="C627" s="255">
        <f>BO85</f>
        <v>511834</v>
      </c>
      <c r="D627" s="255">
        <f>(D615/D612)*BO90</f>
        <v>9451.3898305084749</v>
      </c>
      <c r="E627" s="257">
        <f>(E623/E612)*SUM(C627:D627)</f>
        <v>23947.117263493885</v>
      </c>
      <c r="F627" s="257">
        <f>(F624/F612)*BO64</f>
        <v>328.01453735699698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5" customHeight="1" x14ac:dyDescent="0.3">
      <c r="A628" s="250">
        <v>8330</v>
      </c>
      <c r="B628" s="254" t="s">
        <v>148</v>
      </c>
      <c r="C628" s="255">
        <f>AZ85</f>
        <v>963076</v>
      </c>
      <c r="D628" s="255">
        <f>(D615/D612)*AZ90</f>
        <v>50669.951035781545</v>
      </c>
      <c r="E628" s="257">
        <f>(E623/E612)*SUM(C628:D628)</f>
        <v>46570.062461829628</v>
      </c>
      <c r="F628" s="257">
        <f>(F624/F612)*AZ64</f>
        <v>8920.1425474976095</v>
      </c>
      <c r="G628" s="255">
        <f>(G625/G612)*AZ91</f>
        <v>0</v>
      </c>
      <c r="H628" s="257">
        <f>SUM(C626:G628)</f>
        <v>2815028.2996870871</v>
      </c>
      <c r="I628" s="255"/>
      <c r="J628" s="255"/>
      <c r="N628" s="251" t="s">
        <v>549</v>
      </c>
    </row>
    <row r="629" spans="1:14" s="231" customFormat="1" ht="12.65" customHeight="1" x14ac:dyDescent="0.3">
      <c r="A629" s="250">
        <v>8460</v>
      </c>
      <c r="B629" s="254" t="s">
        <v>153</v>
      </c>
      <c r="C629" s="255">
        <f>BF85</f>
        <v>1852673</v>
      </c>
      <c r="D629" s="255">
        <f>(D615/D612)*BF90</f>
        <v>9005.0741996233519</v>
      </c>
      <c r="E629" s="257">
        <f>(E623/E612)*SUM(C629:D629)</f>
        <v>85522.871002061365</v>
      </c>
      <c r="F629" s="257">
        <f>(F624/F612)*BF64</f>
        <v>10172.461657171045</v>
      </c>
      <c r="G629" s="255">
        <f>(G625/G612)*BF91</f>
        <v>0</v>
      </c>
      <c r="H629" s="257">
        <f>(H628/H612)*BF60</f>
        <v>134139.19421429772</v>
      </c>
      <c r="I629" s="255">
        <f>SUM(C629:H629)</f>
        <v>2091512.6010731535</v>
      </c>
      <c r="J629" s="255"/>
      <c r="N629" s="251" t="s">
        <v>550</v>
      </c>
    </row>
    <row r="630" spans="1:14" s="231" customFormat="1" ht="12.65" customHeight="1" x14ac:dyDescent="0.3">
      <c r="A630" s="250">
        <v>8350</v>
      </c>
      <c r="B630" s="254" t="s">
        <v>551</v>
      </c>
      <c r="C630" s="255">
        <f>BA85</f>
        <v>251053</v>
      </c>
      <c r="D630" s="255">
        <f>(D615/D612)*BA90</f>
        <v>22447.050847457627</v>
      </c>
      <c r="E630" s="257">
        <f>(E623/E612)*SUM(C630:D630)</f>
        <v>12564.20747058561</v>
      </c>
      <c r="F630" s="257">
        <f>(F624/F612)*BA64</f>
        <v>20.942384703022206</v>
      </c>
      <c r="G630" s="255">
        <f>(G625/G612)*BA91</f>
        <v>0</v>
      </c>
      <c r="H630" s="257">
        <f>(H628/H612)*BA60</f>
        <v>17888.941147814527</v>
      </c>
      <c r="I630" s="255">
        <f>(I629/I612)*BA92</f>
        <v>15029.733045618204</v>
      </c>
      <c r="J630" s="255">
        <f>SUM(C630:I630)</f>
        <v>319003.87489617895</v>
      </c>
      <c r="N630" s="251" t="s">
        <v>552</v>
      </c>
    </row>
    <row r="631" spans="1:14" s="231" customFormat="1" ht="12.65" customHeight="1" x14ac:dyDescent="0.3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>
        <f>(I629/I612)*AW92</f>
        <v>0</v>
      </c>
      <c r="J631" s="255">
        <f>(J630/J612)*AW93</f>
        <v>0</v>
      </c>
      <c r="N631" s="251" t="s">
        <v>554</v>
      </c>
    </row>
    <row r="632" spans="1:14" s="231" customFormat="1" ht="12.65" customHeight="1" x14ac:dyDescent="0.3">
      <c r="A632" s="250">
        <v>8360</v>
      </c>
      <c r="B632" s="254" t="s">
        <v>555</v>
      </c>
      <c r="C632" s="255">
        <f>BB85</f>
        <v>155045</v>
      </c>
      <c r="D632" s="255">
        <f>(D615/D612)*BB90</f>
        <v>5670.8338983050853</v>
      </c>
      <c r="E632" s="257">
        <f>(E623/E612)*SUM(C632:D632)</f>
        <v>7383.059252273084</v>
      </c>
      <c r="F632" s="257">
        <f>(F624/F612)*BB64</f>
        <v>33.57880665942205</v>
      </c>
      <c r="G632" s="255">
        <f>(G625/G612)*BB91</f>
        <v>0</v>
      </c>
      <c r="H632" s="257">
        <f>(H628/H612)*BB60</f>
        <v>8470.775870616224</v>
      </c>
      <c r="I632" s="255">
        <f>(I629/I612)*BB92</f>
        <v>15029.733045618204</v>
      </c>
      <c r="J632" s="255">
        <f>(J630/J612)*BB93</f>
        <v>0</v>
      </c>
      <c r="N632" s="251" t="s">
        <v>556</v>
      </c>
    </row>
    <row r="633" spans="1:14" s="231" customFormat="1" ht="12.65" customHeight="1" x14ac:dyDescent="0.3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>
        <f>(I629/I612)*BC92</f>
        <v>0</v>
      </c>
      <c r="J633" s="255">
        <f>(J630/J612)*BC93</f>
        <v>0</v>
      </c>
      <c r="N633" s="251" t="s">
        <v>558</v>
      </c>
    </row>
    <row r="634" spans="1:14" s="231" customFormat="1" ht="12.65" customHeight="1" x14ac:dyDescent="0.3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>
        <f>(G625/G612)*BI91</f>
        <v>0</v>
      </c>
      <c r="H634" s="257">
        <f>(H628/H612)*BI60</f>
        <v>0</v>
      </c>
      <c r="I634" s="255">
        <f>(I629/I612)*BI92</f>
        <v>0</v>
      </c>
      <c r="J634" s="255">
        <f>(J630/J612)*BI93</f>
        <v>0</v>
      </c>
      <c r="N634" s="251" t="s">
        <v>560</v>
      </c>
    </row>
    <row r="635" spans="1:14" s="231" customFormat="1" ht="12.65" customHeight="1" x14ac:dyDescent="0.3">
      <c r="A635" s="250">
        <v>8530</v>
      </c>
      <c r="B635" s="254" t="s">
        <v>561</v>
      </c>
      <c r="C635" s="255">
        <f>BK85</f>
        <v>2426373</v>
      </c>
      <c r="D635" s="255">
        <f>(D615/D612)*BK90</f>
        <v>209978.37740112995</v>
      </c>
      <c r="E635" s="257">
        <f>(E623/E612)*SUM(C635:D635)</f>
        <v>121110.27244198353</v>
      </c>
      <c r="F635" s="257">
        <f>(F624/F612)*BK64</f>
        <v>133.46333302265</v>
      </c>
      <c r="G635" s="255">
        <f>(G625/G612)*BK91</f>
        <v>0</v>
      </c>
      <c r="H635" s="257">
        <f>(H628/H612)*BK60</f>
        <v>117309.10005031021</v>
      </c>
      <c r="I635" s="255">
        <f>(I629/I612)*BK92</f>
        <v>43419.22879845259</v>
      </c>
      <c r="J635" s="255">
        <f>(J630/J612)*BK93</f>
        <v>0</v>
      </c>
      <c r="N635" s="251" t="s">
        <v>562</v>
      </c>
    </row>
    <row r="636" spans="1:14" s="231" customFormat="1" ht="12.65" customHeight="1" x14ac:dyDescent="0.3">
      <c r="A636" s="250">
        <v>8480</v>
      </c>
      <c r="B636" s="254" t="s">
        <v>563</v>
      </c>
      <c r="C636" s="255">
        <f>BH85</f>
        <v>6370906</v>
      </c>
      <c r="D636" s="255">
        <f>(D615/D612)*BH90</f>
        <v>90733.342372881365</v>
      </c>
      <c r="E636" s="257">
        <f>(E623/E612)*SUM(C636:D636)</f>
        <v>296838.61866245762</v>
      </c>
      <c r="F636" s="257">
        <f>(F624/F612)*BH64</f>
        <v>14478.21595211241</v>
      </c>
      <c r="G636" s="255">
        <f>(G625/G612)*BH91</f>
        <v>0</v>
      </c>
      <c r="H636" s="257">
        <f>(H628/H612)*BH60</f>
        <v>98361.311918668653</v>
      </c>
      <c r="I636" s="255">
        <f>(I629/I612)*BH92</f>
        <v>41749.258460050572</v>
      </c>
      <c r="J636" s="255">
        <f>(J630/J612)*BH93</f>
        <v>0</v>
      </c>
      <c r="N636" s="251" t="s">
        <v>564</v>
      </c>
    </row>
    <row r="637" spans="1:14" s="231" customFormat="1" ht="12.65" customHeight="1" x14ac:dyDescent="0.3">
      <c r="A637" s="250">
        <v>8560</v>
      </c>
      <c r="B637" s="254" t="s">
        <v>159</v>
      </c>
      <c r="C637" s="255">
        <f>BL85</f>
        <v>1105779</v>
      </c>
      <c r="D637" s="255">
        <f>(D615/D612)*BL90</f>
        <v>11052.875329566856</v>
      </c>
      <c r="E637" s="257">
        <f>(E623/E612)*SUM(C637:D637)</f>
        <v>51305.684762852834</v>
      </c>
      <c r="F637" s="257">
        <f>(F624/F612)*BL64</f>
        <v>816.39804774493348</v>
      </c>
      <c r="G637" s="255">
        <f>(G625/G612)*BL91</f>
        <v>0</v>
      </c>
      <c r="H637" s="257">
        <f>(H628/H612)*BL60</f>
        <v>95909.24521927975</v>
      </c>
      <c r="I637" s="255">
        <f>(I629/I612)*BL92</f>
        <v>15029.733045618204</v>
      </c>
      <c r="J637" s="255">
        <f>(J630/J612)*BL93</f>
        <v>0</v>
      </c>
      <c r="N637" s="251" t="s">
        <v>565</v>
      </c>
    </row>
    <row r="638" spans="1:14" s="231" customFormat="1" ht="12.65" customHeight="1" x14ac:dyDescent="0.3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>
        <f>(I629/I612)*BM92</f>
        <v>0</v>
      </c>
      <c r="J638" s="255">
        <f>(J630/J612)*BM93</f>
        <v>0</v>
      </c>
      <c r="N638" s="251" t="s">
        <v>567</v>
      </c>
    </row>
    <row r="639" spans="1:14" s="231" customFormat="1" ht="12.65" customHeight="1" x14ac:dyDescent="0.3">
      <c r="A639" s="250">
        <v>8660</v>
      </c>
      <c r="B639" s="254" t="s">
        <v>568</v>
      </c>
      <c r="C639" s="255">
        <f>BS85</f>
        <v>0</v>
      </c>
      <c r="D639" s="255">
        <f>(D615/D612)*BS90</f>
        <v>0</v>
      </c>
      <c r="E639" s="257">
        <f>(E623/E612)*SUM(C639:D639)</f>
        <v>0</v>
      </c>
      <c r="F639" s="257">
        <f>(F624/F612)*BS64</f>
        <v>0</v>
      </c>
      <c r="G639" s="255">
        <f>(G625/G612)*BS91</f>
        <v>0</v>
      </c>
      <c r="H639" s="257">
        <f>(H628/H612)*BS60</f>
        <v>0</v>
      </c>
      <c r="I639" s="255">
        <f>(I629/I612)*BS92</f>
        <v>0</v>
      </c>
      <c r="J639" s="255">
        <f>(J630/J612)*BS93</f>
        <v>0</v>
      </c>
      <c r="N639" s="251" t="s">
        <v>569</v>
      </c>
    </row>
    <row r="640" spans="1:14" s="231" customFormat="1" ht="12.65" customHeight="1" x14ac:dyDescent="0.3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>
        <f>(I629/I612)*BT92</f>
        <v>0</v>
      </c>
      <c r="J640" s="255">
        <f>(J630/J612)*BT93</f>
        <v>0</v>
      </c>
      <c r="N640" s="251" t="s">
        <v>571</v>
      </c>
    </row>
    <row r="641" spans="1:14" s="231" customFormat="1" ht="12.65" customHeight="1" x14ac:dyDescent="0.3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>
        <f>(I629/I612)*BU92</f>
        <v>0</v>
      </c>
      <c r="J641" s="255">
        <f>(J630/J612)*BU93</f>
        <v>0</v>
      </c>
      <c r="N641" s="251" t="s">
        <v>573</v>
      </c>
    </row>
    <row r="642" spans="1:14" s="231" customFormat="1" ht="12.65" customHeight="1" x14ac:dyDescent="0.3">
      <c r="A642" s="250">
        <v>8690</v>
      </c>
      <c r="B642" s="254" t="s">
        <v>574</v>
      </c>
      <c r="C642" s="255">
        <f>BV85</f>
        <v>2308921</v>
      </c>
      <c r="D642" s="255">
        <f>(D615/D612)*BV90</f>
        <v>46810.633521657255</v>
      </c>
      <c r="E642" s="257">
        <f>(E623/E612)*SUM(C642:D642)</f>
        <v>108218.99629223702</v>
      </c>
      <c r="F642" s="257">
        <f>(F624/F612)*BV64</f>
        <v>322.93867123406108</v>
      </c>
      <c r="G642" s="255">
        <f>(G625/G612)*BV91</f>
        <v>0</v>
      </c>
      <c r="H642" s="257">
        <f>(H628/H612)*BV60</f>
        <v>128454.85777480525</v>
      </c>
      <c r="I642" s="255">
        <f>(I629/I612)*BV92</f>
        <v>25049.555076030341</v>
      </c>
      <c r="J642" s="255">
        <f>(J630/J612)*BV93</f>
        <v>0</v>
      </c>
      <c r="N642" s="251" t="s">
        <v>575</v>
      </c>
    </row>
    <row r="643" spans="1:14" s="231" customFormat="1" ht="12.65" customHeight="1" x14ac:dyDescent="0.3">
      <c r="A643" s="250">
        <v>8700</v>
      </c>
      <c r="B643" s="254" t="s">
        <v>576</v>
      </c>
      <c r="C643" s="255">
        <f>BW85</f>
        <v>1337432</v>
      </c>
      <c r="D643" s="255">
        <f>(D615/D612)*BW90</f>
        <v>2205.3242937853106</v>
      </c>
      <c r="E643" s="257">
        <f>(E623/E612)*SUM(C643:D643)</f>
        <v>61541.053559638691</v>
      </c>
      <c r="F643" s="257">
        <f>(F624/F612)*BW64</f>
        <v>88.277475858332593</v>
      </c>
      <c r="G643" s="255">
        <f>(G625/G612)*BW91</f>
        <v>0</v>
      </c>
      <c r="H643" s="257">
        <f>(H628/H612)*BW60</f>
        <v>22458.70181485749</v>
      </c>
      <c r="I643" s="255">
        <f>(I629/I612)*BW92</f>
        <v>4174.9258460050569</v>
      </c>
      <c r="J643" s="255">
        <f>(J630/J612)*BW93</f>
        <v>0</v>
      </c>
      <c r="N643" s="251" t="s">
        <v>577</v>
      </c>
    </row>
    <row r="644" spans="1:14" s="231" customFormat="1" ht="12.65" customHeight="1" x14ac:dyDescent="0.3">
      <c r="A644" s="250">
        <v>8710</v>
      </c>
      <c r="B644" s="254" t="s">
        <v>578</v>
      </c>
      <c r="C644" s="255">
        <f>BX85</f>
        <v>1325375</v>
      </c>
      <c r="D644" s="255">
        <f>(D615/D612)*BX90</f>
        <v>15752.316384180791</v>
      </c>
      <c r="E644" s="257">
        <f>(E623/E612)*SUM(C644:D644)</f>
        <v>61609.501699575972</v>
      </c>
      <c r="F644" s="257">
        <f>(F624/F612)*BX64</f>
        <v>693.01545583356881</v>
      </c>
      <c r="G644" s="255">
        <f>(G625/G612)*BX91</f>
        <v>0</v>
      </c>
      <c r="H644" s="257">
        <f>(H628/H612)*BX60</f>
        <v>41908.049044101317</v>
      </c>
      <c r="I644" s="255">
        <f>(I629/I612)*BX92</f>
        <v>4174.9258460050569</v>
      </c>
      <c r="J644" s="255">
        <f>(J630/J612)*BX93</f>
        <v>0</v>
      </c>
      <c r="K644" s="257">
        <f>SUM(C631:J644)</f>
        <v>16798107.179425411</v>
      </c>
      <c r="L644" s="257"/>
      <c r="N644" s="251" t="s">
        <v>579</v>
      </c>
    </row>
    <row r="645" spans="1:14" s="231" customFormat="1" ht="12.65" customHeight="1" x14ac:dyDescent="0.3">
      <c r="A645" s="250">
        <v>8720</v>
      </c>
      <c r="B645" s="254" t="s">
        <v>580</v>
      </c>
      <c r="C645" s="255">
        <f>BY85</f>
        <v>2722403</v>
      </c>
      <c r="D645" s="255">
        <f>(D615/D612)*BY90</f>
        <v>12444.329943502826</v>
      </c>
      <c r="E645" s="257">
        <f>(E623/E612)*SUM(C645:D645)</f>
        <v>125635.03789968923</v>
      </c>
      <c r="F645" s="257">
        <f>(F624/F612)*BY64</f>
        <v>464.1045423593481</v>
      </c>
      <c r="G645" s="255">
        <f>(G625/G612)*BY91</f>
        <v>0</v>
      </c>
      <c r="H645" s="257">
        <f>(H628/H612)*BY60</f>
        <v>79134.879843914721</v>
      </c>
      <c r="I645" s="255">
        <f>(I629/I612)*BY92</f>
        <v>19121.160374703162</v>
      </c>
      <c r="J645" s="255">
        <f>(J630/J612)*BY93</f>
        <v>0</v>
      </c>
      <c r="K645" s="257">
        <v>0</v>
      </c>
      <c r="L645" s="257"/>
      <c r="N645" s="251" t="s">
        <v>581</v>
      </c>
    </row>
    <row r="646" spans="1:14" s="231" customFormat="1" ht="12.65" customHeight="1" x14ac:dyDescent="0.3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>
        <f>(I629/I612)*BZ92</f>
        <v>0</v>
      </c>
      <c r="J646" s="255">
        <f>(J630/J612)*BZ93</f>
        <v>0</v>
      </c>
      <c r="K646" s="257">
        <v>0</v>
      </c>
      <c r="L646" s="257"/>
      <c r="N646" s="251" t="s">
        <v>583</v>
      </c>
    </row>
    <row r="647" spans="1:14" s="231" customFormat="1" ht="12.65" customHeight="1" x14ac:dyDescent="0.3">
      <c r="A647" s="250">
        <v>8740</v>
      </c>
      <c r="B647" s="254" t="s">
        <v>584</v>
      </c>
      <c r="C647" s="255">
        <f>CA85</f>
        <v>0</v>
      </c>
      <c r="D647" s="255">
        <f>(D615/D612)*CA90</f>
        <v>0</v>
      </c>
      <c r="E647" s="257">
        <f>(E623/E612)*SUM(C647:D647)</f>
        <v>0</v>
      </c>
      <c r="F647" s="257">
        <f>(F624/F612)*CA64</f>
        <v>0</v>
      </c>
      <c r="G647" s="255">
        <f>(G625/G612)*CA91</f>
        <v>0</v>
      </c>
      <c r="H647" s="257">
        <f>(H628/H612)*CA60</f>
        <v>0</v>
      </c>
      <c r="I647" s="255">
        <f>(I629/I612)*CA92</f>
        <v>0</v>
      </c>
      <c r="J647" s="255">
        <f>(J630/J612)*CA93</f>
        <v>0</v>
      </c>
      <c r="K647" s="257">
        <v>0</v>
      </c>
      <c r="L647" s="257">
        <f>SUM(C645:K647)</f>
        <v>2959202.5126041695</v>
      </c>
      <c r="N647" s="251" t="s">
        <v>585</v>
      </c>
    </row>
    <row r="648" spans="1:14" s="231" customFormat="1" ht="12.65" customHeight="1" x14ac:dyDescent="0.3">
      <c r="A648" s="250"/>
      <c r="B648" s="250"/>
      <c r="C648" s="231">
        <f>SUM(C614:C647)</f>
        <v>31246450</v>
      </c>
      <c r="L648" s="253"/>
    </row>
    <row r="666" spans="1:14" s="231" customFormat="1" ht="12.65" customHeight="1" x14ac:dyDescent="0.3">
      <c r="C666" s="248" t="s">
        <v>586</v>
      </c>
      <c r="M666" s="248" t="s">
        <v>587</v>
      </c>
    </row>
    <row r="667" spans="1:14" s="231" customFormat="1" ht="12.65" customHeight="1" x14ac:dyDescent="0.3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5" customHeight="1" x14ac:dyDescent="0.3">
      <c r="A668" s="250">
        <v>6010</v>
      </c>
      <c r="B668" s="249" t="s">
        <v>315</v>
      </c>
      <c r="C668" s="255">
        <f>C85</f>
        <v>2506220</v>
      </c>
      <c r="D668" s="255">
        <f>(D615/D612)*C90</f>
        <v>76057.434274952917</v>
      </c>
      <c r="E668" s="257">
        <f>(E623/E612)*SUM(C668:D668)</f>
        <v>118626.19158684372</v>
      </c>
      <c r="F668" s="257">
        <f>(F624/F612)*C64</f>
        <v>3128.5793012277582</v>
      </c>
      <c r="G668" s="255">
        <f>(G625/G612)*C91</f>
        <v>85358.958618896912</v>
      </c>
      <c r="H668" s="257">
        <f>(H628/H612)*C60</f>
        <v>84150.470819937487</v>
      </c>
      <c r="I668" s="255">
        <f>(I629/I612)*C92</f>
        <v>75148.66522809102</v>
      </c>
      <c r="J668" s="255">
        <f>(J630/J612)*C93</f>
        <v>16713.747323386684</v>
      </c>
      <c r="K668" s="255">
        <f>(K644/K612)*C89</f>
        <v>203902.35851725985</v>
      </c>
      <c r="L668" s="255">
        <f>(L647/L612)*C94</f>
        <v>355883.85662701668</v>
      </c>
      <c r="M668" s="231">
        <f t="shared" ref="M668:M713" si="18">ROUND(SUM(D668:L668),0)</f>
        <v>1018970</v>
      </c>
      <c r="N668" s="249" t="s">
        <v>589</v>
      </c>
    </row>
    <row r="669" spans="1:14" s="231" customFormat="1" ht="12.65" customHeight="1" x14ac:dyDescent="0.3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>
        <f>(I629/I612)*D92</f>
        <v>0</v>
      </c>
      <c r="J669" s="255">
        <f>(J630/J612)*D93</f>
        <v>0</v>
      </c>
      <c r="K669" s="255">
        <f>(K644/K612)*D89</f>
        <v>0</v>
      </c>
      <c r="L669" s="255">
        <f>(L647/L612)*D94</f>
        <v>0</v>
      </c>
      <c r="M669" s="231">
        <f t="shared" si="18"/>
        <v>0</v>
      </c>
      <c r="N669" s="249" t="s">
        <v>590</v>
      </c>
    </row>
    <row r="670" spans="1:14" s="231" customFormat="1" ht="12.65" customHeight="1" x14ac:dyDescent="0.3">
      <c r="A670" s="250">
        <v>6070</v>
      </c>
      <c r="B670" s="249" t="s">
        <v>591</v>
      </c>
      <c r="C670" s="255">
        <f>E85</f>
        <v>3509713</v>
      </c>
      <c r="D670" s="255">
        <f>(D615/D612)*E90</f>
        <v>344266.87457627122</v>
      </c>
      <c r="E670" s="257">
        <f>(E623/E612)*SUM(C670:D670)</f>
        <v>177046.4121728623</v>
      </c>
      <c r="F670" s="257">
        <f>(F624/F612)*E64</f>
        <v>5230.8397697382552</v>
      </c>
      <c r="G670" s="255">
        <f>(G625/G612)*E91</f>
        <v>407723.12507102266</v>
      </c>
      <c r="H670" s="257">
        <f>(H628/H612)*E60</f>
        <v>126671.53653888604</v>
      </c>
      <c r="I670" s="255">
        <f>(I629/I612)*E92</f>
        <v>173676.91519381036</v>
      </c>
      <c r="J670" s="255">
        <f>(J630/J612)*E93</f>
        <v>66368.958073336675</v>
      </c>
      <c r="K670" s="255">
        <f>(K644/K612)*E89</f>
        <v>732434.39627013449</v>
      </c>
      <c r="L670" s="255">
        <f>(L647/L612)*E94</f>
        <v>519703.40967754816</v>
      </c>
      <c r="M670" s="231">
        <f t="shared" si="18"/>
        <v>2553122</v>
      </c>
      <c r="N670" s="249" t="s">
        <v>592</v>
      </c>
    </row>
    <row r="671" spans="1:14" s="231" customFormat="1" ht="12.65" customHeight="1" x14ac:dyDescent="0.3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>
        <f>(I629/I612)*F92</f>
        <v>0</v>
      </c>
      <c r="J671" s="255">
        <f>(J630/J612)*F93</f>
        <v>0</v>
      </c>
      <c r="K671" s="255">
        <f>(K644/K612)*F89</f>
        <v>0</v>
      </c>
      <c r="L671" s="255">
        <f>(L647/L612)*F94</f>
        <v>0</v>
      </c>
      <c r="M671" s="231">
        <f t="shared" si="18"/>
        <v>0</v>
      </c>
      <c r="N671" s="249" t="s">
        <v>594</v>
      </c>
    </row>
    <row r="672" spans="1:14" s="231" customFormat="1" ht="12.65" customHeight="1" x14ac:dyDescent="0.3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>
        <f>(I629/I612)*G92</f>
        <v>0</v>
      </c>
      <c r="J672" s="255">
        <f>(J630/J612)*G93</f>
        <v>0</v>
      </c>
      <c r="K672" s="255">
        <f>(K644/K612)*G89</f>
        <v>0</v>
      </c>
      <c r="L672" s="255">
        <f>(L647/L612)*G94</f>
        <v>0</v>
      </c>
      <c r="M672" s="231">
        <f t="shared" si="18"/>
        <v>0</v>
      </c>
      <c r="N672" s="249" t="s">
        <v>596</v>
      </c>
    </row>
    <row r="673" spans="1:14" s="231" customFormat="1" ht="12.65" customHeight="1" x14ac:dyDescent="0.3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>
        <f>(G625/G612)*H91</f>
        <v>0</v>
      </c>
      <c r="H673" s="257">
        <f>(H628/H612)*H60</f>
        <v>0</v>
      </c>
      <c r="I673" s="255">
        <f>(I629/I612)*H92</f>
        <v>0</v>
      </c>
      <c r="J673" s="255">
        <f>(J630/J612)*H93</f>
        <v>0</v>
      </c>
      <c r="K673" s="255">
        <f>(K644/K612)*H89</f>
        <v>0</v>
      </c>
      <c r="L673" s="255">
        <f>(L647/L612)*H94</f>
        <v>0</v>
      </c>
      <c r="M673" s="231">
        <f t="shared" si="18"/>
        <v>0</v>
      </c>
      <c r="N673" s="249" t="s">
        <v>598</v>
      </c>
    </row>
    <row r="674" spans="1:14" s="231" customFormat="1" ht="12.65" customHeight="1" x14ac:dyDescent="0.3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>
        <f>(I629/I612)*I92</f>
        <v>0</v>
      </c>
      <c r="J674" s="255">
        <f>(J630/J612)*I93</f>
        <v>0</v>
      </c>
      <c r="K674" s="255">
        <f>(K644/K612)*I89</f>
        <v>0</v>
      </c>
      <c r="L674" s="255">
        <f>(L647/L612)*I94</f>
        <v>0</v>
      </c>
      <c r="M674" s="231">
        <f t="shared" si="18"/>
        <v>0</v>
      </c>
      <c r="N674" s="249" t="s">
        <v>600</v>
      </c>
    </row>
    <row r="675" spans="1:14" s="231" customFormat="1" ht="12.65" customHeight="1" x14ac:dyDescent="0.3">
      <c r="A675" s="250">
        <v>6170</v>
      </c>
      <c r="B675" s="249" t="s">
        <v>110</v>
      </c>
      <c r="C675" s="255">
        <f>J85</f>
        <v>186801</v>
      </c>
      <c r="D675" s="255">
        <f>(D615/D612)*J90</f>
        <v>6615.9728813559323</v>
      </c>
      <c r="E675" s="257">
        <f>(E623/E612)*SUM(C675:D675)</f>
        <v>8885.3035605809528</v>
      </c>
      <c r="F675" s="257">
        <f>(F624/F612)*J64</f>
        <v>0</v>
      </c>
      <c r="G675" s="255">
        <f>(G625/G612)*J91</f>
        <v>0</v>
      </c>
      <c r="H675" s="257">
        <f>(H628/H612)*J60</f>
        <v>11145.757724495032</v>
      </c>
      <c r="I675" s="255">
        <f>(I629/I612)*J92</f>
        <v>11689.79236881416</v>
      </c>
      <c r="J675" s="255">
        <f>(J630/J612)*J93</f>
        <v>4534.3335589385524</v>
      </c>
      <c r="K675" s="255">
        <f>(K644/K612)*J89</f>
        <v>66067.006320540007</v>
      </c>
      <c r="L675" s="255">
        <f>(L647/L612)*J94</f>
        <v>28244.750525953707</v>
      </c>
      <c r="M675" s="231">
        <f t="shared" si="18"/>
        <v>137183</v>
      </c>
      <c r="N675" s="249" t="s">
        <v>601</v>
      </c>
    </row>
    <row r="676" spans="1:14" s="231" customFormat="1" ht="12.65" customHeight="1" x14ac:dyDescent="0.3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>
        <f>(I629/I612)*K92</f>
        <v>0</v>
      </c>
      <c r="J676" s="255">
        <f>(J630/J612)*K93</f>
        <v>0</v>
      </c>
      <c r="K676" s="255">
        <f>(K644/K612)*K89</f>
        <v>0</v>
      </c>
      <c r="L676" s="255">
        <f>(L647/L612)*K94</f>
        <v>0</v>
      </c>
      <c r="M676" s="231">
        <f t="shared" si="18"/>
        <v>0</v>
      </c>
      <c r="N676" s="249" t="s">
        <v>602</v>
      </c>
    </row>
    <row r="677" spans="1:14" s="231" customFormat="1" ht="12.65" customHeight="1" x14ac:dyDescent="0.3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>
        <f>(G625/G612)*L91</f>
        <v>0</v>
      </c>
      <c r="H677" s="257">
        <f>(H628/H612)*L60</f>
        <v>0</v>
      </c>
      <c r="I677" s="255">
        <f>(I629/I612)*L92</f>
        <v>0</v>
      </c>
      <c r="J677" s="255">
        <f>(J630/J612)*L93</f>
        <v>0</v>
      </c>
      <c r="K677" s="255">
        <f>(K644/K612)*L89</f>
        <v>4789.8805794801419</v>
      </c>
      <c r="L677" s="255">
        <f>(L647/L612)*L94</f>
        <v>0</v>
      </c>
      <c r="M677" s="231">
        <f t="shared" si="18"/>
        <v>4790</v>
      </c>
      <c r="N677" s="249" t="s">
        <v>603</v>
      </c>
    </row>
    <row r="678" spans="1:14" s="231" customFormat="1" ht="12.65" customHeight="1" x14ac:dyDescent="0.3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>
        <f>(I629/I612)*M92</f>
        <v>0</v>
      </c>
      <c r="J678" s="255">
        <f>(J630/J612)*M93</f>
        <v>0</v>
      </c>
      <c r="K678" s="255">
        <f>(K644/K612)*M89</f>
        <v>0</v>
      </c>
      <c r="L678" s="255">
        <f>(L647/L612)*M94</f>
        <v>0</v>
      </c>
      <c r="M678" s="231">
        <f t="shared" si="18"/>
        <v>0</v>
      </c>
      <c r="N678" s="249" t="s">
        <v>605</v>
      </c>
    </row>
    <row r="679" spans="1:14" s="231" customFormat="1" ht="12.65" customHeight="1" x14ac:dyDescent="0.3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>
        <f>(I629/I612)*N92</f>
        <v>0</v>
      </c>
      <c r="J679" s="255">
        <f>(J630/J612)*N93</f>
        <v>0</v>
      </c>
      <c r="K679" s="255">
        <f>(K644/K612)*N89</f>
        <v>0</v>
      </c>
      <c r="L679" s="255">
        <f>(L647/L612)*N94</f>
        <v>0</v>
      </c>
      <c r="M679" s="231">
        <f t="shared" si="18"/>
        <v>0</v>
      </c>
      <c r="N679" s="249" t="s">
        <v>607</v>
      </c>
    </row>
    <row r="680" spans="1:14" s="231" customFormat="1" ht="12.65" customHeight="1" x14ac:dyDescent="0.3">
      <c r="A680" s="250">
        <v>7010</v>
      </c>
      <c r="B680" s="249" t="s">
        <v>608</v>
      </c>
      <c r="C680" s="255">
        <f>O85</f>
        <v>2660014</v>
      </c>
      <c r="D680" s="255">
        <f>(D615/D612)*O90</f>
        <v>82279.59924670434</v>
      </c>
      <c r="E680" s="257">
        <f>(E623/E612)*SUM(C680:D680)</f>
        <v>125977.10903319501</v>
      </c>
      <c r="F680" s="257">
        <f>(F624/F612)*O64</f>
        <v>5309.7109202638749</v>
      </c>
      <c r="G680" s="255">
        <f>(G625/G612)*O91</f>
        <v>0</v>
      </c>
      <c r="H680" s="257">
        <f>(H628/H612)*O60</f>
        <v>88051.486023510748</v>
      </c>
      <c r="I680" s="255">
        <f>(I629/I612)*O92</f>
        <v>70973.739382085972</v>
      </c>
      <c r="J680" s="255">
        <f>(J630/J612)*O93</f>
        <v>23178.256226633763</v>
      </c>
      <c r="K680" s="255">
        <f>(K644/K612)*O89</f>
        <v>335723.76527848124</v>
      </c>
      <c r="L680" s="255">
        <f>(L647/L612)*O94</f>
        <v>299394.35557510931</v>
      </c>
      <c r="M680" s="231">
        <f t="shared" si="18"/>
        <v>1030888</v>
      </c>
      <c r="N680" s="249" t="s">
        <v>609</v>
      </c>
    </row>
    <row r="681" spans="1:14" s="231" customFormat="1" ht="12.65" customHeight="1" x14ac:dyDescent="0.3">
      <c r="A681" s="250">
        <v>7020</v>
      </c>
      <c r="B681" s="249" t="s">
        <v>610</v>
      </c>
      <c r="C681" s="255">
        <f>P85</f>
        <v>9414480</v>
      </c>
      <c r="D681" s="255">
        <f>(D615/D612)*P90</f>
        <v>322791.21657250472</v>
      </c>
      <c r="E681" s="257">
        <f>(E623/E612)*SUM(C681:D681)</f>
        <v>447316.53754102311</v>
      </c>
      <c r="F681" s="257">
        <f>(F624/F612)*P64</f>
        <v>149435.66388883753</v>
      </c>
      <c r="G681" s="255">
        <f>(G625/G612)*P91</f>
        <v>1423.7529948070469</v>
      </c>
      <c r="H681" s="257">
        <f>(H628/H612)*P60</f>
        <v>158102.573321962</v>
      </c>
      <c r="I681" s="255">
        <f>(I629/I612)*P92</f>
        <v>293914.77955875598</v>
      </c>
      <c r="J681" s="255">
        <f>(J630/J612)*P93</f>
        <v>40329.578485436148</v>
      </c>
      <c r="K681" s="255">
        <f>(K644/K612)*P89</f>
        <v>2619366.8411970153</v>
      </c>
      <c r="L681" s="255">
        <f>(L647/L612)*P94</f>
        <v>553597.11030869267</v>
      </c>
      <c r="M681" s="231">
        <f t="shared" si="18"/>
        <v>4586278</v>
      </c>
      <c r="N681" s="249" t="s">
        <v>611</v>
      </c>
    </row>
    <row r="682" spans="1:14" s="231" customFormat="1" ht="12.65" customHeight="1" x14ac:dyDescent="0.3">
      <c r="A682" s="250">
        <v>7030</v>
      </c>
      <c r="B682" s="249" t="s">
        <v>612</v>
      </c>
      <c r="C682" s="255">
        <f>Q85</f>
        <v>169441</v>
      </c>
      <c r="D682" s="255">
        <f>(D615/D612)*Q90</f>
        <v>26568.906967984934</v>
      </c>
      <c r="E682" s="257">
        <f>(E623/E612)*SUM(C682:D682)</f>
        <v>9004.4193037810528</v>
      </c>
      <c r="F682" s="257">
        <f>(F624/F612)*Q64</f>
        <v>770.00534129264531</v>
      </c>
      <c r="G682" s="255">
        <f>(G625/G612)*Q91</f>
        <v>0</v>
      </c>
      <c r="H682" s="257">
        <f>(H628/H612)*Q60</f>
        <v>1504.6772928068294</v>
      </c>
      <c r="I682" s="255">
        <f>(I629/I612)*Q92</f>
        <v>86838.45759690518</v>
      </c>
      <c r="J682" s="255">
        <f>(J630/J612)*Q93</f>
        <v>16713.747323386684</v>
      </c>
      <c r="K682" s="255">
        <f>(K644/K612)*Q89</f>
        <v>238888.56654120763</v>
      </c>
      <c r="L682" s="255">
        <f>(L647/L612)*Q94</f>
        <v>11297.900210381484</v>
      </c>
      <c r="M682" s="231">
        <f t="shared" si="18"/>
        <v>391587</v>
      </c>
      <c r="N682" s="249" t="s">
        <v>613</v>
      </c>
    </row>
    <row r="683" spans="1:14" s="231" customFormat="1" ht="12.65" customHeight="1" x14ac:dyDescent="0.3">
      <c r="A683" s="250">
        <v>7040</v>
      </c>
      <c r="B683" s="249" t="s">
        <v>118</v>
      </c>
      <c r="C683" s="255">
        <f>R85</f>
        <v>131331</v>
      </c>
      <c r="D683" s="255">
        <f>(D615/D612)*R90</f>
        <v>0</v>
      </c>
      <c r="E683" s="257">
        <f>(E623/E612)*SUM(C683:D683)</f>
        <v>6033.1613329015127</v>
      </c>
      <c r="F683" s="257">
        <f>(F624/F612)*R64</f>
        <v>1385.4984781577386</v>
      </c>
      <c r="G683" s="255">
        <f>(G625/G612)*R91</f>
        <v>0</v>
      </c>
      <c r="H683" s="257">
        <f>(H628/H612)*R60</f>
        <v>0</v>
      </c>
      <c r="I683" s="255">
        <f>(I629/I612)*R92</f>
        <v>0</v>
      </c>
      <c r="J683" s="255">
        <f>(J630/J612)*R93</f>
        <v>0</v>
      </c>
      <c r="K683" s="255">
        <f>(K644/K612)*R89</f>
        <v>0</v>
      </c>
      <c r="L683" s="255">
        <f>(L647/L612)*R94</f>
        <v>0</v>
      </c>
      <c r="M683" s="231">
        <f t="shared" si="18"/>
        <v>7419</v>
      </c>
      <c r="N683" s="249" t="s">
        <v>614</v>
      </c>
    </row>
    <row r="684" spans="1:14" s="231" customFormat="1" ht="12.65" customHeight="1" x14ac:dyDescent="0.3">
      <c r="A684" s="250">
        <v>7050</v>
      </c>
      <c r="B684" s="249" t="s">
        <v>615</v>
      </c>
      <c r="C684" s="255">
        <f>S85</f>
        <v>611977</v>
      </c>
      <c r="D684" s="255">
        <f>(D615/D612)*S90</f>
        <v>40142.152919020715</v>
      </c>
      <c r="E684" s="257">
        <f>(E623/E612)*SUM(C684:D684)</f>
        <v>29957.436232386295</v>
      </c>
      <c r="F684" s="257">
        <f>(F624/F612)*S64</f>
        <v>4899.3466667865187</v>
      </c>
      <c r="G684" s="255">
        <f>(G625/G612)*S91</f>
        <v>0</v>
      </c>
      <c r="H684" s="257">
        <f>(H628/H612)*S60</f>
        <v>28811.783717819657</v>
      </c>
      <c r="I684" s="255">
        <f>(I629/I612)*S92</f>
        <v>20874.629230025286</v>
      </c>
      <c r="J684" s="255">
        <f>(J630/J612)*S93</f>
        <v>0</v>
      </c>
      <c r="K684" s="255">
        <f>(K644/K612)*S89</f>
        <v>0</v>
      </c>
      <c r="L684" s="255">
        <f>(L647/L612)*S94</f>
        <v>8473.4251577861123</v>
      </c>
      <c r="M684" s="231">
        <f t="shared" si="18"/>
        <v>133159</v>
      </c>
      <c r="N684" s="249" t="s">
        <v>616</v>
      </c>
    </row>
    <row r="685" spans="1:14" s="231" customFormat="1" ht="12.65" customHeight="1" x14ac:dyDescent="0.3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>
        <f>(I629/I612)*T92</f>
        <v>0</v>
      </c>
      <c r="J685" s="255">
        <f>(J630/J612)*T93</f>
        <v>0</v>
      </c>
      <c r="K685" s="255">
        <f>(K644/K612)*T89</f>
        <v>0</v>
      </c>
      <c r="L685" s="255">
        <f>(L647/L612)*T94</f>
        <v>0</v>
      </c>
      <c r="M685" s="231">
        <f t="shared" si="18"/>
        <v>0</v>
      </c>
      <c r="N685" s="249" t="s">
        <v>618</v>
      </c>
    </row>
    <row r="686" spans="1:14" s="231" customFormat="1" ht="12.65" customHeight="1" x14ac:dyDescent="0.3">
      <c r="A686" s="250">
        <v>7070</v>
      </c>
      <c r="B686" s="249" t="s">
        <v>121</v>
      </c>
      <c r="C686" s="255">
        <f>U85</f>
        <v>6198821</v>
      </c>
      <c r="D686" s="255">
        <f>(D615/D612)*U90</f>
        <v>119717.60451977402</v>
      </c>
      <c r="E686" s="257">
        <f>(E623/E612)*SUM(C686:D686)</f>
        <v>290264.7721347906</v>
      </c>
      <c r="F686" s="257">
        <f>(F624/F612)*U64</f>
        <v>71951.254186231294</v>
      </c>
      <c r="G686" s="255">
        <f>(G625/G612)*U91</f>
        <v>0</v>
      </c>
      <c r="H686" s="257">
        <f>(H628/H612)*U60</f>
        <v>144281.83374358818</v>
      </c>
      <c r="I686" s="255">
        <f>(I629/I612)*U92</f>
        <v>60786.920317833632</v>
      </c>
      <c r="J686" s="255">
        <f>(J630/J612)*U93</f>
        <v>1478.6508723611148</v>
      </c>
      <c r="K686" s="255">
        <f>(K644/K612)*U89</f>
        <v>2068017.2494220904</v>
      </c>
      <c r="L686" s="255">
        <f>(L647/L612)*U94</f>
        <v>0</v>
      </c>
      <c r="M686" s="231">
        <f t="shared" si="18"/>
        <v>2756498</v>
      </c>
      <c r="N686" s="249" t="s">
        <v>619</v>
      </c>
    </row>
    <row r="687" spans="1:14" s="231" customFormat="1" ht="12.65" customHeight="1" x14ac:dyDescent="0.3">
      <c r="A687" s="250">
        <v>7110</v>
      </c>
      <c r="B687" s="249" t="s">
        <v>620</v>
      </c>
      <c r="C687" s="255">
        <f>V85</f>
        <v>0</v>
      </c>
      <c r="D687" s="255">
        <f>(D615/D612)*V90</f>
        <v>0</v>
      </c>
      <c r="E687" s="257">
        <f>(E623/E612)*SUM(C687:D687)</f>
        <v>0</v>
      </c>
      <c r="F687" s="257">
        <f>(F624/F612)*V64</f>
        <v>0</v>
      </c>
      <c r="G687" s="255">
        <f>(G625/G612)*V91</f>
        <v>0</v>
      </c>
      <c r="H687" s="257">
        <f>(H628/H612)*V60</f>
        <v>0</v>
      </c>
      <c r="I687" s="255">
        <f>(I629/I612)*V92</f>
        <v>0</v>
      </c>
      <c r="J687" s="255">
        <f>(J630/J612)*V93</f>
        <v>0</v>
      </c>
      <c r="K687" s="255">
        <f>(K644/K612)*V89</f>
        <v>0</v>
      </c>
      <c r="L687" s="255">
        <f>(L647/L612)*V94</f>
        <v>0</v>
      </c>
      <c r="M687" s="231">
        <f t="shared" si="18"/>
        <v>0</v>
      </c>
      <c r="N687" s="249" t="s">
        <v>621</v>
      </c>
    </row>
    <row r="688" spans="1:14" s="231" customFormat="1" ht="12.65" customHeight="1" x14ac:dyDescent="0.3">
      <c r="A688" s="250">
        <v>7120</v>
      </c>
      <c r="B688" s="249" t="s">
        <v>622</v>
      </c>
      <c r="C688" s="255">
        <f>W85</f>
        <v>413120</v>
      </c>
      <c r="D688" s="255">
        <f>(D615/D612)*W90</f>
        <v>3728.0482109227873</v>
      </c>
      <c r="E688" s="257">
        <f>(E623/E612)*SUM(C688:D688)</f>
        <v>19149.412752218479</v>
      </c>
      <c r="F688" s="257">
        <f>(F624/F612)*W64</f>
        <v>0</v>
      </c>
      <c r="G688" s="255">
        <f>(G625/G612)*W91</f>
        <v>0</v>
      </c>
      <c r="H688" s="257">
        <f>(H628/H612)*W60</f>
        <v>0</v>
      </c>
      <c r="I688" s="255">
        <f>(I629/I612)*W92</f>
        <v>30393.460158916816</v>
      </c>
      <c r="J688" s="255">
        <f>(J630/J612)*W93</f>
        <v>3538.0429761212577</v>
      </c>
      <c r="K688" s="255">
        <f>(K644/K612)*W89</f>
        <v>674267.19939930178</v>
      </c>
      <c r="L688" s="255">
        <f>(L647/L612)*W94</f>
        <v>0</v>
      </c>
      <c r="M688" s="231">
        <f t="shared" si="18"/>
        <v>731076</v>
      </c>
      <c r="N688" s="249" t="s">
        <v>623</v>
      </c>
    </row>
    <row r="689" spans="1:14" s="231" customFormat="1" ht="12.65" customHeight="1" x14ac:dyDescent="0.3">
      <c r="A689" s="250">
        <v>7130</v>
      </c>
      <c r="B689" s="249" t="s">
        <v>624</v>
      </c>
      <c r="C689" s="255">
        <f>X85</f>
        <v>1205468</v>
      </c>
      <c r="D689" s="255">
        <f>(D615/D612)*X90</f>
        <v>59648.771374764598</v>
      </c>
      <c r="E689" s="257">
        <f>(E623/E612)*SUM(C689:D689)</f>
        <v>58117.684222791519</v>
      </c>
      <c r="F689" s="257">
        <f>(F624/F612)*X64</f>
        <v>0</v>
      </c>
      <c r="G689" s="255">
        <f>(G625/G612)*X91</f>
        <v>0</v>
      </c>
      <c r="H689" s="257">
        <f>(H628/H612)*X60</f>
        <v>52050.688573391795</v>
      </c>
      <c r="I689" s="255">
        <f>(I629/I612)*X92</f>
        <v>51268.089388942099</v>
      </c>
      <c r="J689" s="255">
        <f>(J630/J612)*X93</f>
        <v>9664.0920719410897</v>
      </c>
      <c r="K689" s="255">
        <f>(K644/K612)*X89</f>
        <v>1978667.3603169818</v>
      </c>
      <c r="L689" s="255">
        <f>(L647/L612)*X94</f>
        <v>0</v>
      </c>
      <c r="M689" s="231">
        <f t="shared" si="18"/>
        <v>2209417</v>
      </c>
      <c r="N689" s="249" t="s">
        <v>625</v>
      </c>
    </row>
    <row r="690" spans="1:14" s="231" customFormat="1" ht="12.65" customHeight="1" x14ac:dyDescent="0.3">
      <c r="A690" s="250">
        <v>7140</v>
      </c>
      <c r="B690" s="249" t="s">
        <v>626</v>
      </c>
      <c r="C690" s="255">
        <f>Y85</f>
        <v>2979722</v>
      </c>
      <c r="D690" s="255">
        <f>(D615/D612)*Y90</f>
        <v>61827.841807909608</v>
      </c>
      <c r="E690" s="257">
        <f>(E623/E612)*SUM(C690:D690)</f>
        <v>139724.51970736682</v>
      </c>
      <c r="F690" s="257">
        <f>(F624/F612)*Y64</f>
        <v>4242.4656984574867</v>
      </c>
      <c r="G690" s="255">
        <f>(G625/G612)*Y91</f>
        <v>0</v>
      </c>
      <c r="H690" s="257">
        <f>(H628/H612)*Y60</f>
        <v>74286.475233759396</v>
      </c>
      <c r="I690" s="255">
        <f>(I629/I612)*Y92</f>
        <v>51268.089388942099</v>
      </c>
      <c r="J690" s="255">
        <f>(J630/J612)*Y93</f>
        <v>41524.099324230352</v>
      </c>
      <c r="K690" s="255">
        <f>(K644/K612)*Y89</f>
        <v>1120847.5560660935</v>
      </c>
      <c r="L690" s="255">
        <f>(L647/L612)*Y94</f>
        <v>0</v>
      </c>
      <c r="M690" s="231">
        <f t="shared" si="18"/>
        <v>1493721</v>
      </c>
      <c r="N690" s="249" t="s">
        <v>627</v>
      </c>
    </row>
    <row r="691" spans="1:14" s="231" customFormat="1" ht="12.65" customHeight="1" x14ac:dyDescent="0.3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>
        <f>(I629/I612)*Z92</f>
        <v>0</v>
      </c>
      <c r="J691" s="255">
        <f>(J630/J612)*Z93</f>
        <v>0</v>
      </c>
      <c r="K691" s="255">
        <f>(K644/K612)*Z89</f>
        <v>0</v>
      </c>
      <c r="L691" s="255">
        <f>(L647/L612)*Z94</f>
        <v>0</v>
      </c>
      <c r="M691" s="231">
        <f t="shared" si="18"/>
        <v>0</v>
      </c>
      <c r="N691" s="249" t="s">
        <v>629</v>
      </c>
    </row>
    <row r="692" spans="1:14" s="231" customFormat="1" ht="12.65" customHeight="1" x14ac:dyDescent="0.3">
      <c r="A692" s="250">
        <v>7160</v>
      </c>
      <c r="B692" s="249" t="s">
        <v>630</v>
      </c>
      <c r="C692" s="255">
        <f>AA85</f>
        <v>0</v>
      </c>
      <c r="D692" s="255">
        <f>(D615/D612)*AA90</f>
        <v>0</v>
      </c>
      <c r="E692" s="257">
        <f>(E623/E612)*SUM(C692:D692)</f>
        <v>0</v>
      </c>
      <c r="F692" s="257">
        <f>(F624/F612)*AA64</f>
        <v>0</v>
      </c>
      <c r="G692" s="255">
        <f>(G625/G612)*AA91</f>
        <v>0</v>
      </c>
      <c r="H692" s="257">
        <f>(H628/H612)*AA60</f>
        <v>0</v>
      </c>
      <c r="I692" s="255">
        <f>(I629/I612)*AA92</f>
        <v>0</v>
      </c>
      <c r="J692" s="255">
        <f>(J630/J612)*AA93</f>
        <v>0</v>
      </c>
      <c r="K692" s="255">
        <f>(K644/K612)*AA89</f>
        <v>0</v>
      </c>
      <c r="L692" s="255">
        <f>(L647/L612)*AA94</f>
        <v>0</v>
      </c>
      <c r="M692" s="231">
        <f t="shared" si="18"/>
        <v>0</v>
      </c>
      <c r="N692" s="249" t="s">
        <v>631</v>
      </c>
    </row>
    <row r="693" spans="1:14" s="231" customFormat="1" ht="12.65" customHeight="1" x14ac:dyDescent="0.3">
      <c r="A693" s="250">
        <v>7170</v>
      </c>
      <c r="B693" s="249" t="s">
        <v>127</v>
      </c>
      <c r="C693" s="255">
        <f>AB85</f>
        <v>4564327</v>
      </c>
      <c r="D693" s="255">
        <f>(D615/D612)*AB90</f>
        <v>30533.239924670434</v>
      </c>
      <c r="E693" s="257">
        <f>(E623/E612)*SUM(C693:D693)</f>
        <v>211081.41360074992</v>
      </c>
      <c r="F693" s="257">
        <f>(F624/F612)*AB64</f>
        <v>79212.97283865331</v>
      </c>
      <c r="G693" s="255">
        <f>(G625/G612)*AB91</f>
        <v>0</v>
      </c>
      <c r="H693" s="257">
        <f>(H628/H612)*AB60</f>
        <v>75122.407063096514</v>
      </c>
      <c r="I693" s="255">
        <f>(I629/I612)*AB92</f>
        <v>50099.110152060683</v>
      </c>
      <c r="J693" s="255">
        <f>(J630/J612)*AB93</f>
        <v>0</v>
      </c>
      <c r="K693" s="255">
        <f>(K644/K612)*AB89</f>
        <v>1384920.9993344375</v>
      </c>
      <c r="L693" s="255">
        <f>(L647/L612)*AB94</f>
        <v>0</v>
      </c>
      <c r="M693" s="231">
        <f t="shared" si="18"/>
        <v>1830970</v>
      </c>
      <c r="N693" s="249" t="s">
        <v>632</v>
      </c>
    </row>
    <row r="694" spans="1:14" s="231" customFormat="1" ht="12.65" customHeight="1" x14ac:dyDescent="0.3">
      <c r="A694" s="250">
        <v>7180</v>
      </c>
      <c r="B694" s="249" t="s">
        <v>633</v>
      </c>
      <c r="C694" s="255">
        <f>AC85</f>
        <v>982781</v>
      </c>
      <c r="D694" s="255">
        <f>(D615/D612)*AC90</f>
        <v>27093.984180790962</v>
      </c>
      <c r="E694" s="257">
        <f>(E623/E612)*SUM(C694:D694)</f>
        <v>46392.235691680369</v>
      </c>
      <c r="F694" s="257">
        <f>(F624/F612)*AC64</f>
        <v>2137.3655845635294</v>
      </c>
      <c r="G694" s="255">
        <f>(G625/G612)*AC91</f>
        <v>0</v>
      </c>
      <c r="H694" s="257">
        <f>(H628/H612)*AC60</f>
        <v>41852.320255478844</v>
      </c>
      <c r="I694" s="255">
        <f>(I629/I612)*AC92</f>
        <v>75148.66522809102</v>
      </c>
      <c r="J694" s="255">
        <f>(J630/J612)*AC93</f>
        <v>12326.250991097695</v>
      </c>
      <c r="K694" s="255">
        <f>(K644/K612)*AC89</f>
        <v>205800.89042642401</v>
      </c>
      <c r="L694" s="255">
        <f>(L647/L612)*AC94</f>
        <v>0</v>
      </c>
      <c r="M694" s="231">
        <f t="shared" si="18"/>
        <v>410752</v>
      </c>
      <c r="N694" s="249" t="s">
        <v>634</v>
      </c>
    </row>
    <row r="695" spans="1:14" s="231" customFormat="1" ht="12.65" customHeight="1" x14ac:dyDescent="0.3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>
        <f>(I629/I612)*AD92</f>
        <v>0</v>
      </c>
      <c r="J695" s="255">
        <f>(J630/J612)*AD93</f>
        <v>0</v>
      </c>
      <c r="K695" s="255">
        <f>(K644/K612)*AD89</f>
        <v>0</v>
      </c>
      <c r="L695" s="255">
        <f>(L647/L612)*AD94</f>
        <v>0</v>
      </c>
      <c r="M695" s="231">
        <f t="shared" si="18"/>
        <v>0</v>
      </c>
      <c r="N695" s="249" t="s">
        <v>635</v>
      </c>
    </row>
    <row r="696" spans="1:14" s="231" customFormat="1" ht="12.65" customHeight="1" x14ac:dyDescent="0.3">
      <c r="A696" s="250">
        <v>7200</v>
      </c>
      <c r="B696" s="249" t="s">
        <v>636</v>
      </c>
      <c r="C696" s="255">
        <f>AE85</f>
        <v>1514065</v>
      </c>
      <c r="D696" s="255">
        <f>(D615/D612)*AE90</f>
        <v>0</v>
      </c>
      <c r="E696" s="257">
        <f>(E623/E612)*SUM(C696:D696)</f>
        <v>69554.015529460128</v>
      </c>
      <c r="F696" s="257">
        <f>(F624/F612)*AE64</f>
        <v>722.90272349449197</v>
      </c>
      <c r="G696" s="255">
        <f>(G625/G612)*AE91</f>
        <v>0</v>
      </c>
      <c r="H696" s="257">
        <f>(H628/H612)*AE60</f>
        <v>20786.838156183236</v>
      </c>
      <c r="I696" s="255">
        <f>(I629/I612)*AE92</f>
        <v>66798.81353608091</v>
      </c>
      <c r="J696" s="255">
        <f>(J630/J612)*AE93</f>
        <v>6162.7584024822236</v>
      </c>
      <c r="K696" s="255">
        <f>(K644/K612)*AE89</f>
        <v>302278.08343670116</v>
      </c>
      <c r="L696" s="255">
        <f>(L647/L612)*AE94</f>
        <v>0</v>
      </c>
      <c r="M696" s="231">
        <f t="shared" si="18"/>
        <v>466303</v>
      </c>
      <c r="N696" s="249" t="s">
        <v>637</v>
      </c>
    </row>
    <row r="697" spans="1:14" s="231" customFormat="1" ht="12.65" customHeight="1" x14ac:dyDescent="0.3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>
        <f>(I629/I612)*AF92</f>
        <v>0</v>
      </c>
      <c r="J697" s="255">
        <f>(J630/J612)*AF93</f>
        <v>0</v>
      </c>
      <c r="K697" s="255">
        <f>(K644/K612)*AF89</f>
        <v>0</v>
      </c>
      <c r="L697" s="255">
        <f>(L647/L612)*AF94</f>
        <v>0</v>
      </c>
      <c r="M697" s="231">
        <f t="shared" si="18"/>
        <v>0</v>
      </c>
      <c r="N697" s="249" t="s">
        <v>639</v>
      </c>
    </row>
    <row r="698" spans="1:14" s="231" customFormat="1" ht="12.65" customHeight="1" x14ac:dyDescent="0.3">
      <c r="A698" s="250">
        <v>7230</v>
      </c>
      <c r="B698" s="249" t="s">
        <v>640</v>
      </c>
      <c r="C698" s="255">
        <f>AG85</f>
        <v>8486825</v>
      </c>
      <c r="D698" s="255">
        <f>(D615/D612)*AG90</f>
        <v>135469.9209039548</v>
      </c>
      <c r="E698" s="257">
        <f>(E623/E612)*SUM(C698:D698)</f>
        <v>396096.0954966523</v>
      </c>
      <c r="F698" s="257">
        <f>(F624/F612)*AG64</f>
        <v>12930.502731424483</v>
      </c>
      <c r="G698" s="255">
        <f>(G625/G612)*AG91</f>
        <v>30991.460538125484</v>
      </c>
      <c r="H698" s="257">
        <f>(H628/H612)*AG60</f>
        <v>133749.09269394039</v>
      </c>
      <c r="I698" s="255">
        <f>(I629/I612)*AG92</f>
        <v>347353.83038762072</v>
      </c>
      <c r="J698" s="255">
        <f>(J630/J612)*AG93</f>
        <v>56748.182983257204</v>
      </c>
      <c r="K698" s="255">
        <f>(K644/K612)*AG89</f>
        <v>1888988.2633081914</v>
      </c>
      <c r="L698" s="255">
        <f>(L647/L612)*AG94</f>
        <v>624208.98662357696</v>
      </c>
      <c r="M698" s="231">
        <f t="shared" si="18"/>
        <v>3626536</v>
      </c>
      <c r="N698" s="249" t="s">
        <v>641</v>
      </c>
    </row>
    <row r="699" spans="1:14" s="231" customFormat="1" ht="12.65" customHeight="1" x14ac:dyDescent="0.3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>
        <f>(I629/I612)*AH92</f>
        <v>0</v>
      </c>
      <c r="J699" s="255">
        <f>(J630/J612)*AH93</f>
        <v>0</v>
      </c>
      <c r="K699" s="255">
        <f>(K644/K612)*AH89</f>
        <v>0</v>
      </c>
      <c r="L699" s="255">
        <f>(L647/L612)*AH94</f>
        <v>0</v>
      </c>
      <c r="M699" s="231">
        <f t="shared" si="18"/>
        <v>0</v>
      </c>
      <c r="N699" s="249" t="s">
        <v>642</v>
      </c>
    </row>
    <row r="700" spans="1:14" s="231" customFormat="1" ht="12.65" customHeight="1" x14ac:dyDescent="0.3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>
        <f>(G625/G612)*AI91</f>
        <v>0</v>
      </c>
      <c r="H700" s="257">
        <f>(H628/H612)*AI60</f>
        <v>0</v>
      </c>
      <c r="I700" s="255">
        <f>(I629/I612)*AI92</f>
        <v>0</v>
      </c>
      <c r="J700" s="255">
        <f>(J630/J612)*AI93</f>
        <v>0</v>
      </c>
      <c r="K700" s="255">
        <f>(K644/K612)*AI89</f>
        <v>0</v>
      </c>
      <c r="L700" s="255">
        <f>(L647/L612)*AI94</f>
        <v>0</v>
      </c>
      <c r="M700" s="231">
        <f t="shared" si="18"/>
        <v>0</v>
      </c>
      <c r="N700" s="249" t="s">
        <v>644</v>
      </c>
    </row>
    <row r="701" spans="1:14" s="231" customFormat="1" ht="12.65" customHeight="1" x14ac:dyDescent="0.3">
      <c r="A701" s="250">
        <v>7260</v>
      </c>
      <c r="B701" s="249" t="s">
        <v>133</v>
      </c>
      <c r="C701" s="255">
        <f>AJ85</f>
        <v>30836519</v>
      </c>
      <c r="D701" s="255">
        <f>(D615/D612)*AJ90</f>
        <v>1097332.6131826742</v>
      </c>
      <c r="E701" s="257">
        <f>(E623/E612)*SUM(C701:D701)</f>
        <v>1466996.2062519002</v>
      </c>
      <c r="F701" s="257">
        <f>(F624/F612)*AJ64</f>
        <v>61564.612276012733</v>
      </c>
      <c r="G701" s="255">
        <f>(G625/G612)*AJ91</f>
        <v>0</v>
      </c>
      <c r="H701" s="257">
        <f>(H628/H612)*AJ60</f>
        <v>933847.31094681623</v>
      </c>
      <c r="I701" s="255">
        <f>(I629/I612)*AJ92</f>
        <v>396409.20907818014</v>
      </c>
      <c r="J701" s="255">
        <f>(J630/J612)*AJ93</f>
        <v>16765.140352714032</v>
      </c>
      <c r="K701" s="255">
        <f>(K644/K612)*AJ89</f>
        <v>2625165.1963705425</v>
      </c>
      <c r="L701" s="255">
        <f>(L647/L612)*AJ94</f>
        <v>375090.28698466526</v>
      </c>
      <c r="M701" s="231">
        <f t="shared" si="18"/>
        <v>6973171</v>
      </c>
      <c r="N701" s="249" t="s">
        <v>645</v>
      </c>
    </row>
    <row r="702" spans="1:14" s="231" customFormat="1" ht="12.65" customHeight="1" x14ac:dyDescent="0.3">
      <c r="A702" s="250">
        <v>7310</v>
      </c>
      <c r="B702" s="249" t="s">
        <v>646</v>
      </c>
      <c r="C702" s="255">
        <f>AK85</f>
        <v>287655</v>
      </c>
      <c r="D702" s="255">
        <f>(D615/D612)*AK90</f>
        <v>0</v>
      </c>
      <c r="E702" s="257">
        <f>(E623/E612)*SUM(C702:D702)</f>
        <v>13214.465916012095</v>
      </c>
      <c r="F702" s="257">
        <f>(F624/F612)*AK64</f>
        <v>233.63182392422402</v>
      </c>
      <c r="G702" s="255">
        <f>(G625/G612)*AK91</f>
        <v>0</v>
      </c>
      <c r="H702" s="257">
        <f>(H628/H612)*AK60</f>
        <v>0</v>
      </c>
      <c r="I702" s="255">
        <f>(I629/I612)*AK92</f>
        <v>12524.777538015171</v>
      </c>
      <c r="J702" s="255">
        <f>(J630/J612)*AK93</f>
        <v>2465.3970354461885</v>
      </c>
      <c r="K702" s="255">
        <f>(K644/K612)*AK89</f>
        <v>57272.96937911518</v>
      </c>
      <c r="L702" s="255">
        <f>(L647/L612)*AK94</f>
        <v>0</v>
      </c>
      <c r="M702" s="231">
        <f t="shared" si="18"/>
        <v>85711</v>
      </c>
      <c r="N702" s="249" t="s">
        <v>647</v>
      </c>
    </row>
    <row r="703" spans="1:14" s="231" customFormat="1" ht="12.65" customHeight="1" x14ac:dyDescent="0.3">
      <c r="A703" s="250">
        <v>7320</v>
      </c>
      <c r="B703" s="249" t="s">
        <v>648</v>
      </c>
      <c r="C703" s="255">
        <f>AL85</f>
        <v>223618</v>
      </c>
      <c r="D703" s="255">
        <f>(D615/D612)*AL90</f>
        <v>0</v>
      </c>
      <c r="E703" s="257">
        <f>(E623/E612)*SUM(C703:D703)</f>
        <v>10272.696247959509</v>
      </c>
      <c r="F703" s="257">
        <f>(F624/F612)*AL64</f>
        <v>172.40197034335401</v>
      </c>
      <c r="G703" s="255">
        <f>(G625/G612)*AL91</f>
        <v>0</v>
      </c>
      <c r="H703" s="257">
        <f>(H628/H612)*AL60</f>
        <v>0</v>
      </c>
      <c r="I703" s="255">
        <f>(I629/I612)*AL92</f>
        <v>7514.8665228091022</v>
      </c>
      <c r="J703" s="255">
        <f>(J630/J612)*AL93</f>
        <v>0</v>
      </c>
      <c r="K703" s="255">
        <f>(K644/K612)*AL89</f>
        <v>45674.528015359203</v>
      </c>
      <c r="L703" s="255">
        <f>(L647/L612)*AL94</f>
        <v>0</v>
      </c>
      <c r="M703" s="231">
        <f t="shared" si="18"/>
        <v>63634</v>
      </c>
      <c r="N703" s="249" t="s">
        <v>649</v>
      </c>
    </row>
    <row r="704" spans="1:14" s="231" customFormat="1" ht="12.65" customHeight="1" x14ac:dyDescent="0.3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>
        <f>(G625/G612)*AM91</f>
        <v>0</v>
      </c>
      <c r="H704" s="257">
        <f>(H628/H612)*AM60</f>
        <v>0</v>
      </c>
      <c r="I704" s="255">
        <f>(I629/I612)*AM92</f>
        <v>0</v>
      </c>
      <c r="J704" s="255">
        <f>(J630/J612)*AM93</f>
        <v>0</v>
      </c>
      <c r="K704" s="255">
        <f>(K644/K612)*AM89</f>
        <v>0</v>
      </c>
      <c r="L704" s="255">
        <f>(L647/L612)*AM94</f>
        <v>0</v>
      </c>
      <c r="M704" s="231">
        <f t="shared" si="18"/>
        <v>0</v>
      </c>
      <c r="N704" s="249" t="s">
        <v>651</v>
      </c>
    </row>
    <row r="705" spans="1:14" s="231" customFormat="1" ht="12.65" customHeight="1" x14ac:dyDescent="0.3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>
        <f>(I629/I612)*AN92</f>
        <v>0</v>
      </c>
      <c r="J705" s="255">
        <f>(J630/J612)*AN93</f>
        <v>0</v>
      </c>
      <c r="K705" s="255">
        <f>(K644/K612)*AN89</f>
        <v>0</v>
      </c>
      <c r="L705" s="255">
        <f>(L647/L612)*AN94</f>
        <v>0</v>
      </c>
      <c r="M705" s="231">
        <f t="shared" si="18"/>
        <v>0</v>
      </c>
      <c r="N705" s="249" t="s">
        <v>653</v>
      </c>
    </row>
    <row r="706" spans="1:14" s="231" customFormat="1" ht="12.65" customHeight="1" x14ac:dyDescent="0.3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>
        <f>(G625/G612)*AO91</f>
        <v>0</v>
      </c>
      <c r="H706" s="257">
        <f>(H628/H612)*AO60</f>
        <v>0</v>
      </c>
      <c r="I706" s="255">
        <f>(I629/I612)*AO92</f>
        <v>0</v>
      </c>
      <c r="J706" s="255">
        <f>(J630/J612)*AO93</f>
        <v>0</v>
      </c>
      <c r="K706" s="255">
        <f>(K644/K612)*AO89</f>
        <v>0</v>
      </c>
      <c r="L706" s="255">
        <f>(L647/L612)*AO94</f>
        <v>0</v>
      </c>
      <c r="M706" s="231">
        <f t="shared" si="18"/>
        <v>0</v>
      </c>
      <c r="N706" s="249" t="s">
        <v>655</v>
      </c>
    </row>
    <row r="707" spans="1:14" s="231" customFormat="1" ht="12.65" customHeight="1" x14ac:dyDescent="0.3">
      <c r="A707" s="250">
        <v>7380</v>
      </c>
      <c r="B707" s="249" t="s">
        <v>656</v>
      </c>
      <c r="C707" s="255">
        <f>AP85</f>
        <v>0</v>
      </c>
      <c r="D707" s="255">
        <f>(D615/D612)*AP90</f>
        <v>0</v>
      </c>
      <c r="E707" s="257">
        <f>(E623/E612)*SUM(C707:D707)</f>
        <v>0</v>
      </c>
      <c r="F707" s="257">
        <f>(F624/F612)*AP64</f>
        <v>0</v>
      </c>
      <c r="G707" s="255">
        <f>(G625/G612)*AP91</f>
        <v>0</v>
      </c>
      <c r="H707" s="257">
        <f>(H628/H612)*AP60</f>
        <v>0</v>
      </c>
      <c r="I707" s="255">
        <f>(I629/I612)*AP92</f>
        <v>0</v>
      </c>
      <c r="J707" s="255">
        <f>(J630/J612)*AP93</f>
        <v>0</v>
      </c>
      <c r="K707" s="255">
        <f>(K644/K612)*AP89</f>
        <v>0</v>
      </c>
      <c r="L707" s="255">
        <f>(L647/L612)*AP94</f>
        <v>0</v>
      </c>
      <c r="M707" s="231">
        <f t="shared" si="18"/>
        <v>0</v>
      </c>
      <c r="N707" s="249" t="s">
        <v>657</v>
      </c>
    </row>
    <row r="708" spans="1:14" s="231" customFormat="1" ht="12.65" customHeight="1" x14ac:dyDescent="0.3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>
        <f>(I629/I612)*AQ92</f>
        <v>0</v>
      </c>
      <c r="J708" s="255">
        <f>(J630/J612)*AQ93</f>
        <v>0</v>
      </c>
      <c r="K708" s="255">
        <f>(K644/K612)*AQ89</f>
        <v>0</v>
      </c>
      <c r="L708" s="255">
        <f>(L647/L612)*AQ94</f>
        <v>0</v>
      </c>
      <c r="M708" s="231">
        <f t="shared" si="18"/>
        <v>0</v>
      </c>
      <c r="N708" s="249" t="s">
        <v>659</v>
      </c>
    </row>
    <row r="709" spans="1:14" s="231" customFormat="1" ht="12.65" customHeight="1" x14ac:dyDescent="0.3">
      <c r="A709" s="250">
        <v>7400</v>
      </c>
      <c r="B709" s="249" t="s">
        <v>660</v>
      </c>
      <c r="C709" s="255">
        <f>AR85</f>
        <v>3082409</v>
      </c>
      <c r="D709" s="255">
        <f>(D615/D612)*AR90</f>
        <v>36597.881732580041</v>
      </c>
      <c r="E709" s="257">
        <f>(E623/E612)*SUM(C709:D709)</f>
        <v>143282.78712507119</v>
      </c>
      <c r="F709" s="257">
        <f>(F624/F612)*AR64</f>
        <v>3918.8526114448541</v>
      </c>
      <c r="G709" s="255">
        <f>(G625/G612)*AR91</f>
        <v>0</v>
      </c>
      <c r="H709" s="257">
        <f>(H628/H612)*AR60</f>
        <v>96577.990682749441</v>
      </c>
      <c r="I709" s="255">
        <f>(I629/I612)*AR92</f>
        <v>26051.537279071556</v>
      </c>
      <c r="J709" s="255">
        <f>(J630/J612)*AR93</f>
        <v>492.63889540928903</v>
      </c>
      <c r="K709" s="255">
        <f>(K644/K612)*AR89</f>
        <v>245034.06924605515</v>
      </c>
      <c r="L709" s="255">
        <f>(L647/L612)*AR94</f>
        <v>183308.43091343954</v>
      </c>
      <c r="M709" s="231">
        <f t="shared" si="18"/>
        <v>735264</v>
      </c>
      <c r="N709" s="249" t="s">
        <v>661</v>
      </c>
    </row>
    <row r="710" spans="1:14" s="231" customFormat="1" ht="12.65" customHeight="1" x14ac:dyDescent="0.3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>
        <f>(I629/I612)*AS92</f>
        <v>0</v>
      </c>
      <c r="J710" s="255">
        <f>(J630/J612)*AS93</f>
        <v>0</v>
      </c>
      <c r="K710" s="255">
        <f>(K644/K612)*AS89</f>
        <v>0</v>
      </c>
      <c r="L710" s="255">
        <f>(L647/L612)*AS94</f>
        <v>0</v>
      </c>
      <c r="M710" s="231">
        <f t="shared" si="18"/>
        <v>0</v>
      </c>
      <c r="N710" s="249" t="s">
        <v>662</v>
      </c>
    </row>
    <row r="711" spans="1:14" s="231" customFormat="1" ht="12.65" customHeight="1" x14ac:dyDescent="0.3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>
        <f>(I629/I612)*AT92</f>
        <v>0</v>
      </c>
      <c r="J711" s="255">
        <f>(J630/J612)*AT93</f>
        <v>0</v>
      </c>
      <c r="K711" s="255">
        <f>(K644/K612)*AT89</f>
        <v>0</v>
      </c>
      <c r="L711" s="255">
        <f>(L647/L612)*AT94</f>
        <v>0</v>
      </c>
      <c r="M711" s="231">
        <f t="shared" si="18"/>
        <v>0</v>
      </c>
      <c r="N711" s="249" t="s">
        <v>664</v>
      </c>
    </row>
    <row r="712" spans="1:14" s="231" customFormat="1" ht="12.65" customHeight="1" x14ac:dyDescent="0.3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>
        <f>(I629/I612)*AU92</f>
        <v>0</v>
      </c>
      <c r="J712" s="255">
        <f>(J630/J612)*AU93</f>
        <v>0</v>
      </c>
      <c r="K712" s="255">
        <f>(K644/K612)*AU89</f>
        <v>0</v>
      </c>
      <c r="L712" s="255">
        <f>(L647/L612)*AU94</f>
        <v>0</v>
      </c>
      <c r="M712" s="231">
        <f t="shared" si="18"/>
        <v>0</v>
      </c>
      <c r="N712" s="249" t="s">
        <v>666</v>
      </c>
    </row>
    <row r="713" spans="1:14" s="231" customFormat="1" ht="12.65" customHeight="1" x14ac:dyDescent="0.3">
      <c r="A713" s="250">
        <v>7490</v>
      </c>
      <c r="B713" s="249" t="s">
        <v>667</v>
      </c>
      <c r="C713" s="255">
        <f>AV85</f>
        <v>0</v>
      </c>
      <c r="D713" s="255">
        <f>(D615/D612)*AV90</f>
        <v>0</v>
      </c>
      <c r="E713" s="257">
        <f>(E623/E612)*SUM(C713:D713)</f>
        <v>0</v>
      </c>
      <c r="F713" s="257">
        <f>(F624/F612)*AV64</f>
        <v>0</v>
      </c>
      <c r="G713" s="255">
        <f>(G625/G612)*AV91</f>
        <v>0</v>
      </c>
      <c r="H713" s="257">
        <f>(H628/H612)*AV60</f>
        <v>0</v>
      </c>
      <c r="I713" s="255">
        <f>(I629/I612)*AV92</f>
        <v>0</v>
      </c>
      <c r="J713" s="255">
        <f>(J630/J612)*AV93</f>
        <v>0</v>
      </c>
      <c r="K713" s="255">
        <f>(K644/K612)*AV89</f>
        <v>0</v>
      </c>
      <c r="L713" s="255">
        <f>(L647/L612)*AV94</f>
        <v>0</v>
      </c>
      <c r="M713" s="231">
        <f t="shared" si="18"/>
        <v>0</v>
      </c>
      <c r="N713" s="251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2">
        <f>SUM(C614:C647)+SUM(C668:C713)</f>
        <v>111211757</v>
      </c>
      <c r="D715" s="231">
        <f>SUM(D616:D647)+SUM(D668:D713)</f>
        <v>3694312</v>
      </c>
      <c r="E715" s="231">
        <f>SUM(E624:E647)+SUM(E668:E713)</f>
        <v>4884523.4854990579</v>
      </c>
      <c r="F715" s="231">
        <f>SUM(F625:F648)+SUM(F668:F713)</f>
        <v>447399.29901968938</v>
      </c>
      <c r="G715" s="231">
        <f>SUM(G626:G647)+SUM(G668:G713)</f>
        <v>525497.29722285212</v>
      </c>
      <c r="H715" s="231">
        <f>SUM(H629:H647)+SUM(H668:H713)</f>
        <v>2815028.299687088</v>
      </c>
      <c r="I715" s="231">
        <f>SUM(I630:I647)+SUM(I668:I713)</f>
        <v>2091512.6010731533</v>
      </c>
      <c r="J715" s="231">
        <f>SUM(J631:J647)+SUM(J668:J713)</f>
        <v>319003.87489617901</v>
      </c>
      <c r="K715" s="231">
        <f>SUM(K668:K713)</f>
        <v>16798107.179425411</v>
      </c>
      <c r="L715" s="231">
        <f>SUM(L668:L713)</f>
        <v>2959202.51260417</v>
      </c>
      <c r="M715" s="231">
        <f>SUM(M668:M713)</f>
        <v>31246449</v>
      </c>
      <c r="N715" s="249" t="s">
        <v>669</v>
      </c>
    </row>
    <row r="716" spans="1:14" s="231" customFormat="1" ht="12.65" customHeight="1" x14ac:dyDescent="0.3">
      <c r="C716" s="252">
        <f>CE85</f>
        <v>111211757</v>
      </c>
      <c r="D716" s="231">
        <f>D615</f>
        <v>3694312</v>
      </c>
      <c r="E716" s="231">
        <f>E623</f>
        <v>4884523.4854990589</v>
      </c>
      <c r="F716" s="231">
        <f>F624</f>
        <v>447399.29901968938</v>
      </c>
      <c r="G716" s="231">
        <f>G625</f>
        <v>525497.29722285212</v>
      </c>
      <c r="H716" s="231">
        <f>H628</f>
        <v>2815028.2996870871</v>
      </c>
      <c r="I716" s="231">
        <f>I629</f>
        <v>2091512.6010731535</v>
      </c>
      <c r="J716" s="231">
        <f>J630</f>
        <v>319003.87489617895</v>
      </c>
      <c r="K716" s="231">
        <f>K644</f>
        <v>16798107.179425411</v>
      </c>
      <c r="L716" s="231">
        <f>L647</f>
        <v>2959202.5126041695</v>
      </c>
      <c r="M716" s="231">
        <f>C648</f>
        <v>31246450</v>
      </c>
      <c r="N716" s="249" t="s">
        <v>670</v>
      </c>
    </row>
  </sheetData>
  <mergeCells count="1">
    <mergeCell ref="B236:C236"/>
  </mergeCells>
  <hyperlinks>
    <hyperlink ref="F42" r:id="rId1" xr:uid="{00000000-0004-0000-0000-000000000000}"/>
    <hyperlink ref="A43" r:id="rId2" xr:uid="{00000000-0004-0000-0000-000001000000}"/>
    <hyperlink ref="C30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93" workbookViewId="0">
      <selection activeCell="C98" sqref="C98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Kittitas Valley Healthcare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11162290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41373454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26782289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2182107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2007557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2690763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1512320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963413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35109615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61115705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61115705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3212912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211345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46791473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6980569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39642889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1131036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8119115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53865018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52224321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148449641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Kittitas Valley Healthcare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4228424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5558497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1284899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2293900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13365720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60910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1028817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1089727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4991302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33155706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38147008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2293900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35853108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94334870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94334870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148449641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Kittitas Valley Healthcare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30388810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183103271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213492081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5954254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84822308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1235660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1733500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93745722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119746359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195039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158683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1220074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309808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589122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2472726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122219085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54598631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13048651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2716325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12536040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1198546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13503688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5661935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189040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1211003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756103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777132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6697461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224658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v>1025871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114145084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8074001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-1994212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6079789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6079789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59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0" width="8.9140625" style="281" customWidth="1"/>
    <col min="11" max="16384" width="8.9140625" style="281"/>
  </cols>
  <sheetData>
    <row r="1" spans="1:9" ht="20.149999999999999" customHeight="1" x14ac:dyDescent="0.35">
      <c r="A1" s="279" t="s">
        <v>970</v>
      </c>
      <c r="B1" s="280"/>
      <c r="C1" s="280"/>
      <c r="D1" s="280"/>
      <c r="E1" s="280"/>
      <c r="F1" s="280"/>
      <c r="G1" s="280"/>
      <c r="H1" s="280"/>
    </row>
    <row r="2" spans="1:9" ht="20.149999999999999" customHeight="1" x14ac:dyDescent="0.35">
      <c r="A2" s="282"/>
      <c r="I2" s="283" t="s">
        <v>971</v>
      </c>
    </row>
    <row r="3" spans="1:9" ht="20.149999999999999" customHeight="1" x14ac:dyDescent="0.35">
      <c r="A3" s="282"/>
      <c r="I3" s="282"/>
    </row>
    <row r="4" spans="1:9" ht="20.149999999999999" customHeight="1" x14ac:dyDescent="0.35">
      <c r="A4" s="284" t="str">
        <f>"Hospital: "&amp;data!C98</f>
        <v>Hospital: Kittitas Valley Healthcare</v>
      </c>
      <c r="G4" s="285"/>
      <c r="H4" s="284" t="str">
        <f>"FYE: "&amp;data!C96</f>
        <v>FYE: 12/31/2022</v>
      </c>
    </row>
    <row r="5" spans="1:9" ht="20.149999999999999" customHeight="1" x14ac:dyDescent="0.35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49999999999999" customHeight="1" x14ac:dyDescent="0.35">
      <c r="A6" s="289">
        <v>2</v>
      </c>
      <c r="B6" s="290" t="s">
        <v>972</v>
      </c>
      <c r="C6" s="291" t="s">
        <v>103</v>
      </c>
      <c r="D6" s="292" t="s">
        <v>973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49999999999999" customHeight="1" x14ac:dyDescent="0.35">
      <c r="A7" s="289"/>
      <c r="B7" s="290"/>
      <c r="C7" s="292" t="s">
        <v>175</v>
      </c>
      <c r="D7" s="292" t="s">
        <v>974</v>
      </c>
      <c r="E7" s="292" t="s">
        <v>175</v>
      </c>
      <c r="F7" s="292" t="s">
        <v>975</v>
      </c>
      <c r="G7" s="292" t="s">
        <v>177</v>
      </c>
      <c r="H7" s="292" t="s">
        <v>175</v>
      </c>
      <c r="I7" s="292" t="s">
        <v>178</v>
      </c>
    </row>
    <row r="8" spans="1:9" ht="20.149999999999999" customHeight="1" x14ac:dyDescent="0.35">
      <c r="A8" s="278">
        <v>3</v>
      </c>
      <c r="B8" s="286" t="s">
        <v>976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49999999999999" customHeight="1" x14ac:dyDescent="0.35">
      <c r="A9" s="278">
        <v>4</v>
      </c>
      <c r="B9" s="286" t="s">
        <v>246</v>
      </c>
      <c r="C9" s="286">
        <f>data!C59</f>
        <v>567</v>
      </c>
      <c r="D9" s="286">
        <f>data!D59</f>
        <v>0</v>
      </c>
      <c r="E9" s="286">
        <f>data!E59</f>
        <v>3229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ht="20.149999999999999" customHeight="1" x14ac:dyDescent="0.35">
      <c r="A10" s="278">
        <v>5</v>
      </c>
      <c r="B10" s="286" t="s">
        <v>247</v>
      </c>
      <c r="C10" s="293">
        <f>data!C60</f>
        <v>15.1</v>
      </c>
      <c r="D10" s="293">
        <f>data!D60</f>
        <v>0</v>
      </c>
      <c r="E10" s="293">
        <f>data!E60</f>
        <v>22.73</v>
      </c>
      <c r="F10" s="293">
        <f>data!F60</f>
        <v>0</v>
      </c>
      <c r="G10" s="293">
        <f>data!G60</f>
        <v>0</v>
      </c>
      <c r="H10" s="293">
        <f>data!H60</f>
        <v>0</v>
      </c>
      <c r="I10" s="293">
        <f>data!I60</f>
        <v>0</v>
      </c>
    </row>
    <row r="11" spans="1:9" ht="20.149999999999999" customHeight="1" x14ac:dyDescent="0.35">
      <c r="A11" s="278">
        <v>6</v>
      </c>
      <c r="B11" s="286" t="s">
        <v>248</v>
      </c>
      <c r="C11" s="286">
        <f>data!C61</f>
        <v>1455192</v>
      </c>
      <c r="D11" s="286">
        <f>data!D61</f>
        <v>0</v>
      </c>
      <c r="E11" s="286">
        <f>data!E61</f>
        <v>1865257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ht="20.149999999999999" customHeight="1" x14ac:dyDescent="0.35">
      <c r="A12" s="278">
        <v>7</v>
      </c>
      <c r="B12" s="286" t="s">
        <v>9</v>
      </c>
      <c r="C12" s="286">
        <f>data!C62</f>
        <v>347780</v>
      </c>
      <c r="D12" s="286">
        <f>data!D62</f>
        <v>0</v>
      </c>
      <c r="E12" s="286">
        <f>data!E62</f>
        <v>445782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ht="20.149999999999999" customHeight="1" x14ac:dyDescent="0.35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0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49999999999999" customHeight="1" x14ac:dyDescent="0.35">
      <c r="A14" s="278">
        <v>9</v>
      </c>
      <c r="B14" s="286" t="s">
        <v>250</v>
      </c>
      <c r="C14" s="286">
        <f>data!C64</f>
        <v>88140</v>
      </c>
      <c r="D14" s="286">
        <f>data!D64</f>
        <v>0</v>
      </c>
      <c r="E14" s="286">
        <f>data!E64</f>
        <v>147366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ht="20.149999999999999" customHeight="1" x14ac:dyDescent="0.35">
      <c r="A15" s="278">
        <v>10</v>
      </c>
      <c r="B15" s="286" t="s">
        <v>497</v>
      </c>
      <c r="C15" s="286">
        <f>data!C65</f>
        <v>0</v>
      </c>
      <c r="D15" s="286">
        <f>data!D65</f>
        <v>0</v>
      </c>
      <c r="E15" s="286">
        <f>data!E65</f>
        <v>0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49999999999999" customHeight="1" x14ac:dyDescent="0.35">
      <c r="A16" s="278">
        <v>11</v>
      </c>
      <c r="B16" s="286" t="s">
        <v>498</v>
      </c>
      <c r="C16" s="286">
        <f>data!C66</f>
        <v>66999</v>
      </c>
      <c r="D16" s="286">
        <f>data!D66</f>
        <v>0</v>
      </c>
      <c r="E16" s="286">
        <f>data!E66</f>
        <v>77184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ht="20.149999999999999" customHeight="1" x14ac:dyDescent="0.35">
      <c r="A17" s="278">
        <v>12</v>
      </c>
      <c r="B17" s="286" t="s">
        <v>11</v>
      </c>
      <c r="C17" s="286">
        <f>data!C67</f>
        <v>57006</v>
      </c>
      <c r="D17" s="286">
        <f>data!D67</f>
        <v>0</v>
      </c>
      <c r="E17" s="286">
        <f>data!E67</f>
        <v>208461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ht="20.149999999999999" customHeight="1" x14ac:dyDescent="0.35">
      <c r="A18" s="278">
        <v>13</v>
      </c>
      <c r="B18" s="286" t="s">
        <v>977</v>
      </c>
      <c r="C18" s="286">
        <f>data!C68</f>
        <v>0</v>
      </c>
      <c r="D18" s="286">
        <f>data!D68</f>
        <v>0</v>
      </c>
      <c r="E18" s="286">
        <f>data!E68</f>
        <v>0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ht="20.149999999999999" customHeight="1" x14ac:dyDescent="0.35">
      <c r="A19" s="278">
        <v>14</v>
      </c>
      <c r="B19" s="286" t="s">
        <v>978</v>
      </c>
      <c r="C19" s="286">
        <f>data!C69</f>
        <v>491103</v>
      </c>
      <c r="D19" s="286">
        <f>data!D69</f>
        <v>0</v>
      </c>
      <c r="E19" s="286">
        <f>data!E69</f>
        <v>765663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ht="20.149999999999999" customHeight="1" x14ac:dyDescent="0.35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49999999999999" customHeight="1" x14ac:dyDescent="0.35">
      <c r="A21" s="278">
        <v>16</v>
      </c>
      <c r="B21" s="294" t="s">
        <v>979</v>
      </c>
      <c r="C21" s="286">
        <f>data!C85</f>
        <v>2506220</v>
      </c>
      <c r="D21" s="286">
        <f>data!D85</f>
        <v>0</v>
      </c>
      <c r="E21" s="286">
        <f>data!E85</f>
        <v>3509713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ht="20.149999999999999" customHeight="1" x14ac:dyDescent="0.35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49999999999999" customHeight="1" x14ac:dyDescent="0.35">
      <c r="A23" s="278">
        <v>18</v>
      </c>
      <c r="B23" s="286" t="s">
        <v>980</v>
      </c>
      <c r="C23" s="294">
        <f>+data!M668</f>
        <v>1018970</v>
      </c>
      <c r="D23" s="294">
        <f>+data!M669</f>
        <v>0</v>
      </c>
      <c r="E23" s="294">
        <f>+data!M670</f>
        <v>2553122</v>
      </c>
      <c r="F23" s="294">
        <f>+data!M671</f>
        <v>0</v>
      </c>
      <c r="G23" s="294">
        <f>+data!M672</f>
        <v>0</v>
      </c>
      <c r="H23" s="294">
        <f>+data!M673</f>
        <v>0</v>
      </c>
      <c r="I23" s="294">
        <f>+data!M674</f>
        <v>0</v>
      </c>
    </row>
    <row r="24" spans="1:9" ht="20.149999999999999" customHeight="1" x14ac:dyDescent="0.35">
      <c r="A24" s="278">
        <v>19</v>
      </c>
      <c r="B24" s="294" t="s">
        <v>981</v>
      </c>
      <c r="C24" s="286">
        <f>data!C87</f>
        <v>2088077</v>
      </c>
      <c r="D24" s="286">
        <f>data!D87</f>
        <v>0</v>
      </c>
      <c r="E24" s="286">
        <f>data!E87</f>
        <v>5472804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ht="20.149999999999999" customHeight="1" x14ac:dyDescent="0.35">
      <c r="A25" s="278">
        <v>20</v>
      </c>
      <c r="B25" s="294" t="s">
        <v>982</v>
      </c>
      <c r="C25" s="286">
        <f>data!C88</f>
        <v>503378</v>
      </c>
      <c r="D25" s="286">
        <f>data!D88</f>
        <v>0</v>
      </c>
      <c r="E25" s="286">
        <f>data!E88</f>
        <v>3835920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35">
      <c r="A26" s="278">
        <v>21</v>
      </c>
      <c r="B26" s="294" t="s">
        <v>983</v>
      </c>
      <c r="C26" s="286">
        <f>data!C89</f>
        <v>2591455</v>
      </c>
      <c r="D26" s="286">
        <f>data!D89</f>
        <v>0</v>
      </c>
      <c r="E26" s="286">
        <f>data!E89</f>
        <v>9308724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ht="20.149999999999999" customHeight="1" x14ac:dyDescent="0.35">
      <c r="A27" s="278" t="s">
        <v>984</v>
      </c>
      <c r="B27" s="286"/>
      <c r="C27" s="296"/>
      <c r="D27" s="296"/>
      <c r="E27" s="296"/>
      <c r="F27" s="296"/>
      <c r="G27" s="296"/>
      <c r="H27" s="296"/>
      <c r="I27" s="296"/>
    </row>
    <row r="28" spans="1:9" ht="20.149999999999999" customHeight="1" x14ac:dyDescent="0.35">
      <c r="A28" s="278">
        <v>22</v>
      </c>
      <c r="B28" s="286" t="s">
        <v>985</v>
      </c>
      <c r="C28" s="286">
        <f>data!C90</f>
        <v>2897</v>
      </c>
      <c r="D28" s="286">
        <f>data!D90</f>
        <v>0</v>
      </c>
      <c r="E28" s="286">
        <f>data!E90</f>
        <v>13113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ht="20.149999999999999" customHeight="1" x14ac:dyDescent="0.35">
      <c r="A29" s="278">
        <v>23</v>
      </c>
      <c r="B29" s="286" t="s">
        <v>986</v>
      </c>
      <c r="C29" s="286">
        <f>data!C91</f>
        <v>2578</v>
      </c>
      <c r="D29" s="286">
        <f>data!D91</f>
        <v>0</v>
      </c>
      <c r="E29" s="286">
        <f>data!E91</f>
        <v>12314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ht="20.149999999999999" customHeight="1" x14ac:dyDescent="0.35">
      <c r="A30" s="278">
        <v>24</v>
      </c>
      <c r="B30" s="286" t="s">
        <v>987</v>
      </c>
      <c r="C30" s="286">
        <f>data!C92</f>
        <v>1800</v>
      </c>
      <c r="D30" s="286">
        <f>data!D92</f>
        <v>0</v>
      </c>
      <c r="E30" s="286">
        <f>data!E92</f>
        <v>4160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49999999999999" customHeight="1" x14ac:dyDescent="0.35">
      <c r="A31" s="278">
        <v>25</v>
      </c>
      <c r="B31" s="286" t="s">
        <v>988</v>
      </c>
      <c r="C31" s="286">
        <f>data!C93</f>
        <v>22765</v>
      </c>
      <c r="D31" s="286">
        <f>data!D93</f>
        <v>0</v>
      </c>
      <c r="E31" s="286">
        <f>data!E93</f>
        <v>90398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ht="20.149999999999999" customHeight="1" x14ac:dyDescent="0.35">
      <c r="A32" s="278">
        <v>26</v>
      </c>
      <c r="B32" s="286" t="s">
        <v>279</v>
      </c>
      <c r="C32" s="293">
        <f>data!C94</f>
        <v>12.6</v>
      </c>
      <c r="D32" s="293">
        <f>data!D94</f>
        <v>0</v>
      </c>
      <c r="E32" s="293">
        <f>data!E94</f>
        <v>18.399999999999999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ht="20.149999999999999" customHeight="1" x14ac:dyDescent="0.35">
      <c r="A33" s="279" t="s">
        <v>970</v>
      </c>
      <c r="B33" s="280"/>
      <c r="C33" s="280"/>
      <c r="D33" s="280"/>
      <c r="E33" s="280"/>
      <c r="F33" s="280"/>
      <c r="G33" s="280"/>
      <c r="H33" s="280"/>
      <c r="I33" s="279"/>
    </row>
    <row r="34" spans="1:9" ht="20.149999999999999" customHeight="1" x14ac:dyDescent="0.35">
      <c r="A34" s="282"/>
      <c r="I34" s="283" t="s">
        <v>989</v>
      </c>
    </row>
    <row r="35" spans="1:9" ht="20.149999999999999" customHeight="1" x14ac:dyDescent="0.35">
      <c r="A35" s="282"/>
      <c r="I35" s="282"/>
    </row>
    <row r="36" spans="1:9" ht="20.149999999999999" customHeight="1" x14ac:dyDescent="0.35">
      <c r="A36" s="284" t="str">
        <f>"Hospital: "&amp;data!C98</f>
        <v>Hospital: Kittitas Valley Healthcare</v>
      </c>
      <c r="G36" s="285"/>
      <c r="H36" s="284" t="str">
        <f>"FYE: "&amp;data!C96</f>
        <v>FYE: 12/31/2022</v>
      </c>
    </row>
    <row r="37" spans="1:9" ht="20.149999999999999" customHeight="1" x14ac:dyDescent="0.35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49999999999999" customHeight="1" x14ac:dyDescent="0.35">
      <c r="A38" s="289">
        <v>2</v>
      </c>
      <c r="B38" s="290" t="s">
        <v>972</v>
      </c>
      <c r="C38" s="292"/>
      <c r="D38" s="292" t="s">
        <v>111</v>
      </c>
      <c r="E38" s="292" t="s">
        <v>112</v>
      </c>
      <c r="F38" s="292" t="s">
        <v>990</v>
      </c>
      <c r="G38" s="292" t="s">
        <v>114</v>
      </c>
      <c r="H38" s="292" t="s">
        <v>991</v>
      </c>
      <c r="I38" s="292" t="s">
        <v>116</v>
      </c>
    </row>
    <row r="39" spans="1:9" ht="20.149999999999999" customHeight="1" x14ac:dyDescent="0.35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49999999999999" customHeight="1" x14ac:dyDescent="0.35">
      <c r="A40" s="278">
        <v>3</v>
      </c>
      <c r="B40" s="286" t="s">
        <v>976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49999999999999" customHeight="1" x14ac:dyDescent="0.35">
      <c r="A41" s="278">
        <v>4</v>
      </c>
      <c r="B41" s="286" t="s">
        <v>246</v>
      </c>
      <c r="C41" s="286">
        <f>data!J59</f>
        <v>526</v>
      </c>
      <c r="D41" s="286">
        <f>data!K59</f>
        <v>0</v>
      </c>
      <c r="E41" s="286">
        <f>data!L59</f>
        <v>57</v>
      </c>
      <c r="F41" s="286">
        <f>data!M59</f>
        <v>0</v>
      </c>
      <c r="G41" s="286">
        <f>data!N59</f>
        <v>0</v>
      </c>
      <c r="H41" s="286">
        <f>data!O59</f>
        <v>318</v>
      </c>
      <c r="I41" s="286">
        <f>data!P59</f>
        <v>142557</v>
      </c>
    </row>
    <row r="42" spans="1:9" ht="20.149999999999999" customHeight="1" x14ac:dyDescent="0.35">
      <c r="A42" s="278">
        <v>5</v>
      </c>
      <c r="B42" s="286" t="s">
        <v>247</v>
      </c>
      <c r="C42" s="293">
        <f>data!J60</f>
        <v>2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15.8</v>
      </c>
      <c r="I42" s="293">
        <f>data!P60</f>
        <v>28.369999999999997</v>
      </c>
    </row>
    <row r="43" spans="1:9" ht="20.149999999999999" customHeight="1" x14ac:dyDescent="0.35">
      <c r="A43" s="278">
        <v>6</v>
      </c>
      <c r="B43" s="286" t="s">
        <v>248</v>
      </c>
      <c r="C43" s="286">
        <f>data!J61</f>
        <v>148042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1574628</v>
      </c>
      <c r="I43" s="286">
        <f>data!P61</f>
        <v>2753257</v>
      </c>
    </row>
    <row r="44" spans="1:9" ht="20.149999999999999" customHeight="1" x14ac:dyDescent="0.35">
      <c r="A44" s="278">
        <v>7</v>
      </c>
      <c r="B44" s="286" t="s">
        <v>9</v>
      </c>
      <c r="C44" s="286">
        <f>data!J62</f>
        <v>35381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376324</v>
      </c>
      <c r="I44" s="286">
        <f>data!P62</f>
        <v>658007</v>
      </c>
    </row>
    <row r="45" spans="1:9" ht="20.149999999999999" customHeight="1" x14ac:dyDescent="0.35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0</v>
      </c>
      <c r="I45" s="286">
        <f>data!P63</f>
        <v>0</v>
      </c>
    </row>
    <row r="46" spans="1:9" ht="20.149999999999999" customHeight="1" x14ac:dyDescent="0.35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149588</v>
      </c>
      <c r="I46" s="286">
        <f>data!P64</f>
        <v>4209981</v>
      </c>
    </row>
    <row r="47" spans="1:9" ht="20.149999999999999" customHeight="1" x14ac:dyDescent="0.35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5101</v>
      </c>
    </row>
    <row r="48" spans="1:9" ht="20.149999999999999" customHeight="1" x14ac:dyDescent="0.35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16210</v>
      </c>
      <c r="I48" s="286">
        <f>data!P66</f>
        <v>131882</v>
      </c>
    </row>
    <row r="49" spans="1:11" ht="20.149999999999999" customHeight="1" x14ac:dyDescent="0.35">
      <c r="A49" s="278">
        <v>12</v>
      </c>
      <c r="B49" s="286" t="s">
        <v>11</v>
      </c>
      <c r="C49" s="286">
        <f>data!J67</f>
        <v>3378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95365</v>
      </c>
      <c r="I49" s="286">
        <f>data!P67</f>
        <v>478071</v>
      </c>
    </row>
    <row r="50" spans="1:11" ht="20.149999999999999" customHeight="1" x14ac:dyDescent="0.35">
      <c r="A50" s="278">
        <v>13</v>
      </c>
      <c r="B50" s="286" t="s">
        <v>977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0</v>
      </c>
    </row>
    <row r="51" spans="1:11" ht="20.149999999999999" customHeight="1" x14ac:dyDescent="0.35">
      <c r="A51" s="278">
        <v>14</v>
      </c>
      <c r="B51" s="286" t="s">
        <v>978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447899</v>
      </c>
      <c r="I51" s="286">
        <f>data!P69</f>
        <v>1178181</v>
      </c>
    </row>
    <row r="52" spans="1:11" ht="20.149999999999999" customHeight="1" x14ac:dyDescent="0.35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49999999999999" customHeight="1" x14ac:dyDescent="0.35">
      <c r="A53" s="278">
        <v>16</v>
      </c>
      <c r="B53" s="294" t="s">
        <v>979</v>
      </c>
      <c r="C53" s="286">
        <f>data!J85</f>
        <v>186801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2660014</v>
      </c>
      <c r="I53" s="286">
        <f>data!P85</f>
        <v>9414480</v>
      </c>
    </row>
    <row r="54" spans="1:11" ht="20.149999999999999" customHeight="1" x14ac:dyDescent="0.35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49999999999999" customHeight="1" x14ac:dyDescent="0.35">
      <c r="A55" s="278">
        <v>18</v>
      </c>
      <c r="B55" s="286" t="s">
        <v>980</v>
      </c>
      <c r="C55" s="294">
        <f>+data!M675</f>
        <v>137183</v>
      </c>
      <c r="D55" s="294">
        <f>+data!M676</f>
        <v>0</v>
      </c>
      <c r="E55" s="294">
        <f>+data!M677</f>
        <v>4790</v>
      </c>
      <c r="F55" s="294">
        <f>+data!M678</f>
        <v>0</v>
      </c>
      <c r="G55" s="294">
        <f>+data!M679</f>
        <v>0</v>
      </c>
      <c r="H55" s="294">
        <f>+data!M680</f>
        <v>1030888</v>
      </c>
      <c r="I55" s="294">
        <f>+data!M681</f>
        <v>4586278</v>
      </c>
    </row>
    <row r="56" spans="1:11" ht="20.149999999999999" customHeight="1" x14ac:dyDescent="0.35">
      <c r="A56" s="278">
        <v>19</v>
      </c>
      <c r="B56" s="294" t="s">
        <v>981</v>
      </c>
      <c r="C56" s="286">
        <f>data!J87</f>
        <v>839665</v>
      </c>
      <c r="D56" s="286">
        <f>data!K87</f>
        <v>0</v>
      </c>
      <c r="E56" s="286">
        <f>data!L87</f>
        <v>60876</v>
      </c>
      <c r="F56" s="286">
        <f>data!M87</f>
        <v>0</v>
      </c>
      <c r="G56" s="286">
        <f>data!N87</f>
        <v>0</v>
      </c>
      <c r="H56" s="286">
        <f>data!O87</f>
        <v>3415848</v>
      </c>
      <c r="I56" s="286">
        <f>data!P87</f>
        <v>7239162</v>
      </c>
    </row>
    <row r="57" spans="1:11" ht="20.149999999999999" customHeight="1" x14ac:dyDescent="0.35">
      <c r="A57" s="278">
        <v>20</v>
      </c>
      <c r="B57" s="294" t="s">
        <v>982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850964</v>
      </c>
      <c r="I57" s="286">
        <f>data!P88</f>
        <v>26051141</v>
      </c>
    </row>
    <row r="58" spans="1:11" ht="20.149999999999999" customHeight="1" x14ac:dyDescent="0.35">
      <c r="A58" s="278">
        <v>21</v>
      </c>
      <c r="B58" s="294" t="s">
        <v>983</v>
      </c>
      <c r="C58" s="286">
        <f>data!J89</f>
        <v>839665</v>
      </c>
      <c r="D58" s="286">
        <f>data!K89</f>
        <v>0</v>
      </c>
      <c r="E58" s="286">
        <f>data!L89</f>
        <v>60876</v>
      </c>
      <c r="F58" s="286">
        <f>data!M89</f>
        <v>0</v>
      </c>
      <c r="G58" s="286">
        <f>data!N89</f>
        <v>0</v>
      </c>
      <c r="H58" s="286">
        <f>data!O89</f>
        <v>4266812</v>
      </c>
      <c r="I58" s="286">
        <f>data!P89</f>
        <v>33290303</v>
      </c>
    </row>
    <row r="59" spans="1:11" ht="20.149999999999999" customHeight="1" x14ac:dyDescent="0.35">
      <c r="A59" s="278" t="s">
        <v>984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49999999999999" customHeight="1" x14ac:dyDescent="0.35">
      <c r="A60" s="278">
        <v>22</v>
      </c>
      <c r="B60" s="286" t="s">
        <v>985</v>
      </c>
      <c r="C60" s="286">
        <f>data!J90</f>
        <v>252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3134</v>
      </c>
      <c r="I60" s="286">
        <f>data!P90</f>
        <v>12295</v>
      </c>
      <c r="K60" s="297"/>
    </row>
    <row r="61" spans="1:11" ht="20.149999999999999" customHeight="1" x14ac:dyDescent="0.35">
      <c r="A61" s="278">
        <v>23</v>
      </c>
      <c r="B61" s="286" t="s">
        <v>986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43</v>
      </c>
    </row>
    <row r="62" spans="1:11" ht="20.149999999999999" customHeight="1" x14ac:dyDescent="0.35">
      <c r="A62" s="278">
        <v>24</v>
      </c>
      <c r="B62" s="286" t="s">
        <v>987</v>
      </c>
      <c r="C62" s="286">
        <f>data!J92</f>
        <v>280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1700</v>
      </c>
      <c r="I62" s="286">
        <f>data!P92</f>
        <v>7040</v>
      </c>
    </row>
    <row r="63" spans="1:11" ht="20.149999999999999" customHeight="1" x14ac:dyDescent="0.35">
      <c r="A63" s="278">
        <v>25</v>
      </c>
      <c r="B63" s="286" t="s">
        <v>988</v>
      </c>
      <c r="C63" s="286">
        <f>data!J93</f>
        <v>6176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31570</v>
      </c>
      <c r="I63" s="286">
        <f>data!P93</f>
        <v>54931</v>
      </c>
    </row>
    <row r="64" spans="1:11" ht="20.149999999999999" customHeight="1" x14ac:dyDescent="0.35">
      <c r="A64" s="278">
        <v>26</v>
      </c>
      <c r="B64" s="286" t="s">
        <v>279</v>
      </c>
      <c r="C64" s="293">
        <f>data!J94</f>
        <v>1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10.6</v>
      </c>
      <c r="I64" s="293">
        <f>data!P94</f>
        <v>19.600000000000001</v>
      </c>
    </row>
    <row r="65" spans="1:9" ht="20.149999999999999" customHeight="1" x14ac:dyDescent="0.35">
      <c r="A65" s="279" t="s">
        <v>970</v>
      </c>
      <c r="B65" s="280"/>
      <c r="C65" s="280"/>
      <c r="D65" s="280"/>
      <c r="E65" s="280"/>
      <c r="F65" s="280"/>
      <c r="G65" s="280"/>
      <c r="H65" s="280"/>
      <c r="I65" s="279"/>
    </row>
    <row r="66" spans="1:9" ht="20.149999999999999" customHeight="1" x14ac:dyDescent="0.35">
      <c r="D66" s="282"/>
      <c r="I66" s="283" t="s">
        <v>992</v>
      </c>
    </row>
    <row r="67" spans="1:9" ht="20.149999999999999" customHeight="1" x14ac:dyDescent="0.35">
      <c r="A67" s="282"/>
    </row>
    <row r="68" spans="1:9" ht="20.149999999999999" customHeight="1" x14ac:dyDescent="0.35">
      <c r="A68" s="284" t="str">
        <f>"Hospital: "&amp;data!C98</f>
        <v>Hospital: Kittitas Valley Healthcare</v>
      </c>
      <c r="G68" s="285"/>
      <c r="H68" s="284" t="str">
        <f>"FYE: "&amp;data!C96</f>
        <v>FYE: 12/31/2022</v>
      </c>
    </row>
    <row r="69" spans="1:9" ht="20.149999999999999" customHeight="1" x14ac:dyDescent="0.35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49999999999999" customHeight="1" x14ac:dyDescent="0.35">
      <c r="A70" s="289">
        <v>2</v>
      </c>
      <c r="B70" s="290" t="s">
        <v>972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49999999999999" customHeight="1" x14ac:dyDescent="0.35">
      <c r="A71" s="289"/>
      <c r="B71" s="290"/>
      <c r="C71" s="292" t="s">
        <v>183</v>
      </c>
      <c r="D71" s="292" t="s">
        <v>993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49999999999999" customHeight="1" x14ac:dyDescent="0.35">
      <c r="A72" s="278">
        <v>3</v>
      </c>
      <c r="B72" s="286" t="s">
        <v>976</v>
      </c>
      <c r="C72" s="288" t="s">
        <v>994</v>
      </c>
      <c r="D72" s="287" t="s">
        <v>995</v>
      </c>
      <c r="E72" s="298"/>
      <c r="F72" s="298"/>
      <c r="G72" s="287" t="s">
        <v>996</v>
      </c>
      <c r="H72" s="287" t="s">
        <v>996</v>
      </c>
      <c r="I72" s="288" t="s">
        <v>235</v>
      </c>
    </row>
    <row r="73" spans="1:9" ht="20.149999999999999" customHeight="1" x14ac:dyDescent="0.35">
      <c r="A73" s="278">
        <v>4</v>
      </c>
      <c r="B73" s="286" t="s">
        <v>246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277627</v>
      </c>
      <c r="H73" s="286">
        <f>data!V59</f>
        <v>0</v>
      </c>
      <c r="I73" s="286">
        <f>data!W59</f>
        <v>2277</v>
      </c>
    </row>
    <row r="74" spans="1:9" ht="20.149999999999999" customHeight="1" x14ac:dyDescent="0.35">
      <c r="A74" s="278">
        <v>5</v>
      </c>
      <c r="B74" s="286" t="s">
        <v>247</v>
      </c>
      <c r="C74" s="293">
        <f>data!Q60</f>
        <v>0.27</v>
      </c>
      <c r="D74" s="293">
        <f>data!R60</f>
        <v>0</v>
      </c>
      <c r="E74" s="293">
        <f>data!S60</f>
        <v>5.17</v>
      </c>
      <c r="F74" s="293">
        <f>data!T60</f>
        <v>0</v>
      </c>
      <c r="G74" s="293">
        <f>data!U60</f>
        <v>25.89</v>
      </c>
      <c r="H74" s="293">
        <f>data!V60</f>
        <v>0</v>
      </c>
      <c r="I74" s="293">
        <f>data!W60</f>
        <v>0</v>
      </c>
    </row>
    <row r="75" spans="1:9" ht="20.149999999999999" customHeight="1" x14ac:dyDescent="0.35">
      <c r="A75" s="278">
        <v>6</v>
      </c>
      <c r="B75" s="286" t="s">
        <v>248</v>
      </c>
      <c r="C75" s="286">
        <f>data!Q61</f>
        <v>99094</v>
      </c>
      <c r="D75" s="286">
        <f>data!R61</f>
        <v>0</v>
      </c>
      <c r="E75" s="286">
        <f>data!S61</f>
        <v>283836</v>
      </c>
      <c r="F75" s="286">
        <f>data!T61</f>
        <v>0</v>
      </c>
      <c r="G75" s="286">
        <f>data!U61</f>
        <v>1857186</v>
      </c>
      <c r="H75" s="286">
        <f>data!V61</f>
        <v>0</v>
      </c>
      <c r="I75" s="286">
        <f>data!W61</f>
        <v>0</v>
      </c>
    </row>
    <row r="76" spans="1:9" ht="20.149999999999999" customHeight="1" x14ac:dyDescent="0.35">
      <c r="A76" s="278">
        <v>7</v>
      </c>
      <c r="B76" s="286" t="s">
        <v>9</v>
      </c>
      <c r="C76" s="286">
        <f>data!Q62</f>
        <v>23683</v>
      </c>
      <c r="D76" s="286">
        <f>data!R62</f>
        <v>0</v>
      </c>
      <c r="E76" s="286">
        <f>data!S62</f>
        <v>67835</v>
      </c>
      <c r="F76" s="286">
        <f>data!T62</f>
        <v>0</v>
      </c>
      <c r="G76" s="286">
        <f>data!U62</f>
        <v>443853</v>
      </c>
      <c r="H76" s="286">
        <f>data!V62</f>
        <v>0</v>
      </c>
      <c r="I76" s="286">
        <f>data!W62</f>
        <v>0</v>
      </c>
    </row>
    <row r="77" spans="1:9" ht="20.149999999999999" customHeight="1" x14ac:dyDescent="0.35">
      <c r="A77" s="278">
        <v>8</v>
      </c>
      <c r="B77" s="286" t="s">
        <v>249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14945</v>
      </c>
      <c r="H77" s="286">
        <f>data!V63</f>
        <v>0</v>
      </c>
      <c r="I77" s="286">
        <f>data!W63</f>
        <v>0</v>
      </c>
    </row>
    <row r="78" spans="1:9" ht="20.149999999999999" customHeight="1" x14ac:dyDescent="0.35">
      <c r="A78" s="278">
        <v>9</v>
      </c>
      <c r="B78" s="286" t="s">
        <v>250</v>
      </c>
      <c r="C78" s="286">
        <f>data!Q64</f>
        <v>21693</v>
      </c>
      <c r="D78" s="286">
        <f>data!R64</f>
        <v>39033</v>
      </c>
      <c r="E78" s="286">
        <f>data!S64</f>
        <v>138027</v>
      </c>
      <c r="F78" s="286">
        <f>data!T64</f>
        <v>0</v>
      </c>
      <c r="G78" s="286">
        <f>data!U64</f>
        <v>2027049</v>
      </c>
      <c r="H78" s="286">
        <f>data!V64</f>
        <v>0</v>
      </c>
      <c r="I78" s="286">
        <f>data!W64</f>
        <v>0</v>
      </c>
    </row>
    <row r="79" spans="1:9" ht="20.149999999999999" customHeight="1" x14ac:dyDescent="0.35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ht="20.149999999999999" customHeight="1" x14ac:dyDescent="0.35">
      <c r="A80" s="278">
        <v>11</v>
      </c>
      <c r="B80" s="286" t="s">
        <v>498</v>
      </c>
      <c r="C80" s="286">
        <f>data!Q66</f>
        <v>0</v>
      </c>
      <c r="D80" s="286">
        <f>data!R66</f>
        <v>78844</v>
      </c>
      <c r="E80" s="286">
        <f>data!S66</f>
        <v>47030</v>
      </c>
      <c r="F80" s="286">
        <f>data!T66</f>
        <v>0</v>
      </c>
      <c r="G80" s="286">
        <f>data!U66</f>
        <v>1258391</v>
      </c>
      <c r="H80" s="286">
        <f>data!V66</f>
        <v>0</v>
      </c>
      <c r="I80" s="286">
        <f>data!W66</f>
        <v>411216</v>
      </c>
    </row>
    <row r="81" spans="1:9" ht="20.149999999999999" customHeight="1" x14ac:dyDescent="0.35">
      <c r="A81" s="278">
        <v>12</v>
      </c>
      <c r="B81" s="286" t="s">
        <v>11</v>
      </c>
      <c r="C81" s="286">
        <f>data!Q67</f>
        <v>24971</v>
      </c>
      <c r="D81" s="286">
        <f>data!R67</f>
        <v>13454</v>
      </c>
      <c r="E81" s="286">
        <f>data!S67</f>
        <v>72219</v>
      </c>
      <c r="F81" s="286">
        <f>data!T67</f>
        <v>0</v>
      </c>
      <c r="G81" s="286">
        <f>data!U67</f>
        <v>286240</v>
      </c>
      <c r="H81" s="286">
        <f>data!V67</f>
        <v>0</v>
      </c>
      <c r="I81" s="286">
        <f>data!W67</f>
        <v>1904</v>
      </c>
    </row>
    <row r="82" spans="1:9" ht="20.149999999999999" customHeight="1" x14ac:dyDescent="0.35">
      <c r="A82" s="278">
        <v>13</v>
      </c>
      <c r="B82" s="286" t="s">
        <v>977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0</v>
      </c>
      <c r="H82" s="286">
        <f>data!V68</f>
        <v>0</v>
      </c>
      <c r="I82" s="286">
        <f>data!W68</f>
        <v>0</v>
      </c>
    </row>
    <row r="83" spans="1:9" ht="20.149999999999999" customHeight="1" x14ac:dyDescent="0.35">
      <c r="A83" s="278">
        <v>14</v>
      </c>
      <c r="B83" s="286" t="s">
        <v>978</v>
      </c>
      <c r="C83" s="286">
        <f>data!Q69</f>
        <v>0</v>
      </c>
      <c r="D83" s="286">
        <f>data!R69</f>
        <v>0</v>
      </c>
      <c r="E83" s="286">
        <f>data!S69</f>
        <v>3030</v>
      </c>
      <c r="F83" s="286">
        <f>data!T69</f>
        <v>0</v>
      </c>
      <c r="G83" s="286">
        <f>data!U69</f>
        <v>311157</v>
      </c>
      <c r="H83" s="286">
        <f>data!V69</f>
        <v>0</v>
      </c>
      <c r="I83" s="286">
        <f>data!W69</f>
        <v>0</v>
      </c>
    </row>
    <row r="84" spans="1:9" ht="20.149999999999999" customHeight="1" x14ac:dyDescent="0.35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0</v>
      </c>
      <c r="F84" s="286">
        <f>data!T84</f>
        <v>0</v>
      </c>
      <c r="G84" s="286">
        <f>data!U84</f>
        <v>0</v>
      </c>
      <c r="H84" s="286">
        <f>data!V84</f>
        <v>0</v>
      </c>
      <c r="I84" s="286">
        <f>data!W84</f>
        <v>0</v>
      </c>
    </row>
    <row r="85" spans="1:9" ht="20.149999999999999" customHeight="1" x14ac:dyDescent="0.35">
      <c r="A85" s="278">
        <v>16</v>
      </c>
      <c r="B85" s="294" t="s">
        <v>979</v>
      </c>
      <c r="C85" s="286">
        <f>data!Q85</f>
        <v>169441</v>
      </c>
      <c r="D85" s="286">
        <f>data!R85</f>
        <v>131331</v>
      </c>
      <c r="E85" s="286">
        <f>data!S85</f>
        <v>611977</v>
      </c>
      <c r="F85" s="286">
        <f>data!T85</f>
        <v>0</v>
      </c>
      <c r="G85" s="286">
        <f>data!U85</f>
        <v>6198821</v>
      </c>
      <c r="H85" s="286">
        <f>data!V85</f>
        <v>0</v>
      </c>
      <c r="I85" s="286">
        <f>data!W85</f>
        <v>413120</v>
      </c>
    </row>
    <row r="86" spans="1:9" ht="20.149999999999999" customHeight="1" x14ac:dyDescent="0.35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49999999999999" customHeight="1" x14ac:dyDescent="0.35">
      <c r="A87" s="278">
        <v>18</v>
      </c>
      <c r="B87" s="286" t="s">
        <v>980</v>
      </c>
      <c r="C87" s="294">
        <f>+data!M682</f>
        <v>391587</v>
      </c>
      <c r="D87" s="294">
        <f>+data!M683</f>
        <v>7419</v>
      </c>
      <c r="E87" s="294">
        <f>+data!M684</f>
        <v>133159</v>
      </c>
      <c r="F87" s="294">
        <f>+data!M685</f>
        <v>0</v>
      </c>
      <c r="G87" s="294">
        <f>+data!M686</f>
        <v>2756498</v>
      </c>
      <c r="H87" s="294">
        <f>+data!M687</f>
        <v>0</v>
      </c>
      <c r="I87" s="294">
        <f>+data!M688</f>
        <v>731076</v>
      </c>
    </row>
    <row r="88" spans="1:9" ht="20.149999999999999" customHeight="1" x14ac:dyDescent="0.35">
      <c r="A88" s="278">
        <v>19</v>
      </c>
      <c r="B88" s="294" t="s">
        <v>981</v>
      </c>
      <c r="C88" s="286">
        <f>data!Q87</f>
        <v>395332</v>
      </c>
      <c r="D88" s="286">
        <f>data!R87</f>
        <v>0</v>
      </c>
      <c r="E88" s="286">
        <f>data!S87</f>
        <v>0</v>
      </c>
      <c r="F88" s="286">
        <f>data!T87</f>
        <v>0</v>
      </c>
      <c r="G88" s="286">
        <f>data!U87</f>
        <v>2194814</v>
      </c>
      <c r="H88" s="286">
        <f>data!V87</f>
        <v>0</v>
      </c>
      <c r="I88" s="286">
        <f>data!W87</f>
        <v>140890</v>
      </c>
    </row>
    <row r="89" spans="1:9" ht="20.149999999999999" customHeight="1" x14ac:dyDescent="0.35">
      <c r="A89" s="278">
        <v>20</v>
      </c>
      <c r="B89" s="294" t="s">
        <v>982</v>
      </c>
      <c r="C89" s="286">
        <f>data!Q88</f>
        <v>2640773</v>
      </c>
      <c r="D89" s="286">
        <f>data!R88</f>
        <v>0</v>
      </c>
      <c r="E89" s="286">
        <f>data!S88</f>
        <v>0</v>
      </c>
      <c r="F89" s="286">
        <f>data!T88</f>
        <v>0</v>
      </c>
      <c r="G89" s="286">
        <f>data!U88</f>
        <v>24088225</v>
      </c>
      <c r="H89" s="286">
        <f>data!V88</f>
        <v>0</v>
      </c>
      <c r="I89" s="286">
        <f>data!W88</f>
        <v>8428570</v>
      </c>
    </row>
    <row r="90" spans="1:9" ht="20.149999999999999" customHeight="1" x14ac:dyDescent="0.35">
      <c r="A90" s="278">
        <v>21</v>
      </c>
      <c r="B90" s="294" t="s">
        <v>983</v>
      </c>
      <c r="C90" s="286">
        <f>data!Q89</f>
        <v>3036105</v>
      </c>
      <c r="D90" s="286">
        <f>data!R89</f>
        <v>0</v>
      </c>
      <c r="E90" s="286">
        <f>data!S89</f>
        <v>0</v>
      </c>
      <c r="F90" s="286">
        <f>data!T89</f>
        <v>0</v>
      </c>
      <c r="G90" s="286">
        <f>data!U89</f>
        <v>26283039</v>
      </c>
      <c r="H90" s="286">
        <f>data!V89</f>
        <v>0</v>
      </c>
      <c r="I90" s="286">
        <f>data!W89</f>
        <v>8569460</v>
      </c>
    </row>
    <row r="91" spans="1:9" ht="20.149999999999999" customHeight="1" x14ac:dyDescent="0.35">
      <c r="A91" s="278" t="s">
        <v>984</v>
      </c>
      <c r="B91" s="286"/>
      <c r="C91" s="296"/>
      <c r="D91" s="296"/>
      <c r="E91" s="296"/>
      <c r="F91" s="296"/>
      <c r="G91" s="296"/>
      <c r="H91" s="296"/>
      <c r="I91" s="296"/>
    </row>
    <row r="92" spans="1:9" ht="20.149999999999999" customHeight="1" x14ac:dyDescent="0.35">
      <c r="A92" s="278">
        <v>22</v>
      </c>
      <c r="B92" s="286" t="s">
        <v>985</v>
      </c>
      <c r="C92" s="286">
        <f>data!Q90</f>
        <v>1012</v>
      </c>
      <c r="D92" s="286">
        <f>data!R90</f>
        <v>0</v>
      </c>
      <c r="E92" s="286">
        <f>data!S90</f>
        <v>1529</v>
      </c>
      <c r="F92" s="286">
        <f>data!T90</f>
        <v>0</v>
      </c>
      <c r="G92" s="286">
        <f>data!U90</f>
        <v>4560</v>
      </c>
      <c r="H92" s="286">
        <f>data!V90</f>
        <v>0</v>
      </c>
      <c r="I92" s="286">
        <f>data!W90</f>
        <v>142</v>
      </c>
    </row>
    <row r="93" spans="1:9" ht="20.149999999999999" customHeight="1" x14ac:dyDescent="0.35">
      <c r="A93" s="278">
        <v>23</v>
      </c>
      <c r="B93" s="286" t="s">
        <v>986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49999999999999" customHeight="1" x14ac:dyDescent="0.35">
      <c r="A94" s="278">
        <v>24</v>
      </c>
      <c r="B94" s="286" t="s">
        <v>987</v>
      </c>
      <c r="C94" s="286">
        <f>data!Q92</f>
        <v>2080</v>
      </c>
      <c r="D94" s="286">
        <f>data!R92</f>
        <v>0</v>
      </c>
      <c r="E94" s="286">
        <f>data!S92</f>
        <v>500</v>
      </c>
      <c r="F94" s="286">
        <f>data!T92</f>
        <v>0</v>
      </c>
      <c r="G94" s="286">
        <f>data!U92</f>
        <v>1456</v>
      </c>
      <c r="H94" s="286">
        <f>data!V92</f>
        <v>0</v>
      </c>
      <c r="I94" s="286">
        <f>data!W92</f>
        <v>728</v>
      </c>
    </row>
    <row r="95" spans="1:9" ht="20.149999999999999" customHeight="1" x14ac:dyDescent="0.35">
      <c r="A95" s="278">
        <v>25</v>
      </c>
      <c r="B95" s="286" t="s">
        <v>988</v>
      </c>
      <c r="C95" s="286">
        <f>data!Q93</f>
        <v>22765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2014</v>
      </c>
      <c r="H95" s="286">
        <f>data!V93</f>
        <v>0</v>
      </c>
      <c r="I95" s="286">
        <f>data!W93</f>
        <v>4819</v>
      </c>
    </row>
    <row r="96" spans="1:9" ht="20.149999999999999" customHeight="1" x14ac:dyDescent="0.35">
      <c r="A96" s="278">
        <v>26</v>
      </c>
      <c r="B96" s="286" t="s">
        <v>279</v>
      </c>
      <c r="C96" s="293">
        <f>data!Q94</f>
        <v>0.4</v>
      </c>
      <c r="D96" s="293">
        <f>data!R94</f>
        <v>0</v>
      </c>
      <c r="E96" s="293">
        <f>data!S94</f>
        <v>0.3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49999999999999" customHeight="1" x14ac:dyDescent="0.35">
      <c r="A97" s="279" t="s">
        <v>970</v>
      </c>
      <c r="B97" s="280"/>
      <c r="C97" s="280"/>
      <c r="D97" s="280"/>
      <c r="E97" s="280"/>
      <c r="F97" s="280"/>
      <c r="G97" s="280"/>
      <c r="H97" s="280"/>
      <c r="I97" s="279"/>
    </row>
    <row r="98" spans="1:9" ht="20.149999999999999" customHeight="1" x14ac:dyDescent="0.35">
      <c r="D98" s="282"/>
      <c r="I98" s="283" t="s">
        <v>997</v>
      </c>
    </row>
    <row r="99" spans="1:9" ht="20.149999999999999" customHeight="1" x14ac:dyDescent="0.35">
      <c r="A99" s="282"/>
    </row>
    <row r="100" spans="1:9" ht="20.149999999999999" customHeight="1" x14ac:dyDescent="0.35">
      <c r="A100" s="284" t="str">
        <f>"Hospital: "&amp;data!C98</f>
        <v>Hospital: Kittitas Valley Healthcare</v>
      </c>
      <c r="G100" s="285"/>
      <c r="H100" s="284" t="str">
        <f>"FYE: "&amp;data!C96</f>
        <v>FYE: 12/31/2022</v>
      </c>
    </row>
    <row r="101" spans="1:9" ht="20.149999999999999" customHeight="1" x14ac:dyDescent="0.35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49999999999999" customHeight="1" x14ac:dyDescent="0.35">
      <c r="A102" s="289">
        <v>2</v>
      </c>
      <c r="B102" s="290" t="s">
        <v>972</v>
      </c>
      <c r="C102" s="292" t="s">
        <v>998</v>
      </c>
      <c r="D102" s="292" t="s">
        <v>999</v>
      </c>
      <c r="E102" s="292" t="s">
        <v>999</v>
      </c>
      <c r="F102" s="292" t="s">
        <v>126</v>
      </c>
      <c r="G102" s="292"/>
      <c r="H102" s="292" t="s">
        <v>128</v>
      </c>
      <c r="I102" s="292"/>
    </row>
    <row r="103" spans="1:9" ht="20.149999999999999" customHeight="1" x14ac:dyDescent="0.35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49999999999999" customHeight="1" x14ac:dyDescent="0.35">
      <c r="A104" s="278">
        <v>3</v>
      </c>
      <c r="B104" s="286" t="s">
        <v>976</v>
      </c>
      <c r="C104" s="287" t="s">
        <v>236</v>
      </c>
      <c r="D104" s="288" t="s">
        <v>1000</v>
      </c>
      <c r="E104" s="288" t="s">
        <v>1000</v>
      </c>
      <c r="F104" s="288" t="s">
        <v>1000</v>
      </c>
      <c r="G104" s="298"/>
      <c r="H104" s="288" t="s">
        <v>238</v>
      </c>
      <c r="I104" s="288" t="s">
        <v>239</v>
      </c>
    </row>
    <row r="105" spans="1:9" ht="20.149999999999999" customHeight="1" x14ac:dyDescent="0.35">
      <c r="A105" s="278">
        <v>4</v>
      </c>
      <c r="B105" s="286" t="s">
        <v>246</v>
      </c>
      <c r="C105" s="286">
        <f>data!X59</f>
        <v>6220</v>
      </c>
      <c r="D105" s="286">
        <f>data!Y59</f>
        <v>26725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ht="20.149999999999999" customHeight="1" x14ac:dyDescent="0.35">
      <c r="A106" s="278">
        <v>5</v>
      </c>
      <c r="B106" s="286" t="s">
        <v>247</v>
      </c>
      <c r="C106" s="293">
        <f>data!X60</f>
        <v>9.34</v>
      </c>
      <c r="D106" s="293">
        <f>data!Y60</f>
        <v>13.330000000000002</v>
      </c>
      <c r="E106" s="293">
        <f>data!Z60</f>
        <v>0</v>
      </c>
      <c r="F106" s="293">
        <f>data!AA60</f>
        <v>0</v>
      </c>
      <c r="G106" s="293">
        <f>data!AB60</f>
        <v>13.48</v>
      </c>
      <c r="H106" s="293">
        <f>data!AC60</f>
        <v>7.51</v>
      </c>
      <c r="I106" s="293">
        <f>data!AD60</f>
        <v>0</v>
      </c>
    </row>
    <row r="107" spans="1:9" ht="20.149999999999999" customHeight="1" x14ac:dyDescent="0.35">
      <c r="A107" s="278">
        <v>6</v>
      </c>
      <c r="B107" s="286" t="s">
        <v>248</v>
      </c>
      <c r="C107" s="286">
        <f>data!X61</f>
        <v>828792</v>
      </c>
      <c r="D107" s="286">
        <f>data!Y61</f>
        <v>1064210</v>
      </c>
      <c r="E107" s="286">
        <f>data!Z61</f>
        <v>0</v>
      </c>
      <c r="F107" s="286">
        <f>data!AA61</f>
        <v>0</v>
      </c>
      <c r="G107" s="286">
        <f>data!AB61</f>
        <v>1503949</v>
      </c>
      <c r="H107" s="286">
        <f>data!AC61</f>
        <v>668467</v>
      </c>
      <c r="I107" s="286">
        <f>data!AD61</f>
        <v>0</v>
      </c>
    </row>
    <row r="108" spans="1:9" ht="20.149999999999999" customHeight="1" x14ac:dyDescent="0.35">
      <c r="A108" s="278">
        <v>7</v>
      </c>
      <c r="B108" s="286" t="s">
        <v>9</v>
      </c>
      <c r="C108" s="286">
        <f>data!X62</f>
        <v>198075</v>
      </c>
      <c r="D108" s="286">
        <f>data!Y62</f>
        <v>254338</v>
      </c>
      <c r="E108" s="286">
        <f>data!Z62</f>
        <v>0</v>
      </c>
      <c r="F108" s="286">
        <f>data!AA62</f>
        <v>0</v>
      </c>
      <c r="G108" s="286">
        <f>data!AB62</f>
        <v>359432</v>
      </c>
      <c r="H108" s="286">
        <f>data!AC62</f>
        <v>159758</v>
      </c>
      <c r="I108" s="286">
        <f>data!AD62</f>
        <v>0</v>
      </c>
    </row>
    <row r="109" spans="1:9" ht="20.149999999999999" customHeight="1" x14ac:dyDescent="0.35">
      <c r="A109" s="278">
        <v>8</v>
      </c>
      <c r="B109" s="286" t="s">
        <v>249</v>
      </c>
      <c r="C109" s="286">
        <f>data!X63</f>
        <v>0</v>
      </c>
      <c r="D109" s="286">
        <f>data!Y63</f>
        <v>-65111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5467</v>
      </c>
      <c r="I109" s="286">
        <f>data!AD63</f>
        <v>0</v>
      </c>
    </row>
    <row r="110" spans="1:9" ht="20.149999999999999" customHeight="1" x14ac:dyDescent="0.35">
      <c r="A110" s="278">
        <v>9</v>
      </c>
      <c r="B110" s="286" t="s">
        <v>250</v>
      </c>
      <c r="C110" s="286">
        <f>data!X64</f>
        <v>0</v>
      </c>
      <c r="D110" s="286">
        <f>data!Y64</f>
        <v>119521</v>
      </c>
      <c r="E110" s="286">
        <f>data!Z64</f>
        <v>0</v>
      </c>
      <c r="F110" s="286">
        <f>data!AA64</f>
        <v>0</v>
      </c>
      <c r="G110" s="286">
        <f>data!AB64</f>
        <v>2231630</v>
      </c>
      <c r="H110" s="286">
        <f>data!AC64</f>
        <v>60215</v>
      </c>
      <c r="I110" s="286">
        <f>data!AD64</f>
        <v>0</v>
      </c>
    </row>
    <row r="111" spans="1:9" ht="20.149999999999999" customHeight="1" x14ac:dyDescent="0.35">
      <c r="A111" s="278">
        <v>10</v>
      </c>
      <c r="B111" s="286" t="s">
        <v>497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0</v>
      </c>
      <c r="H111" s="286">
        <f>data!AC65</f>
        <v>0</v>
      </c>
      <c r="I111" s="286">
        <f>data!AD65</f>
        <v>0</v>
      </c>
    </row>
    <row r="112" spans="1:9" ht="20.149999999999999" customHeight="1" x14ac:dyDescent="0.35">
      <c r="A112" s="278">
        <v>11</v>
      </c>
      <c r="B112" s="286" t="s">
        <v>498</v>
      </c>
      <c r="C112" s="286">
        <f>data!X66</f>
        <v>148143</v>
      </c>
      <c r="D112" s="286">
        <f>data!Y66</f>
        <v>423774</v>
      </c>
      <c r="E112" s="286">
        <f>data!Z66</f>
        <v>0</v>
      </c>
      <c r="F112" s="286">
        <f>data!AA66</f>
        <v>0</v>
      </c>
      <c r="G112" s="286">
        <f>data!AB66</f>
        <v>252992</v>
      </c>
      <c r="H112" s="286">
        <f>data!AC66</f>
        <v>17959</v>
      </c>
      <c r="I112" s="286">
        <f>data!AD66</f>
        <v>0</v>
      </c>
    </row>
    <row r="113" spans="1:9" ht="20.149999999999999" customHeight="1" x14ac:dyDescent="0.35">
      <c r="A113" s="278">
        <v>12</v>
      </c>
      <c r="B113" s="286" t="s">
        <v>11</v>
      </c>
      <c r="C113" s="286">
        <f>data!X67</f>
        <v>30458</v>
      </c>
      <c r="D113" s="286">
        <f>data!Y67</f>
        <v>770361</v>
      </c>
      <c r="E113" s="286">
        <f>data!Z67</f>
        <v>0</v>
      </c>
      <c r="F113" s="286">
        <f>data!AA67</f>
        <v>0</v>
      </c>
      <c r="G113" s="286">
        <f>data!AB67</f>
        <v>214243</v>
      </c>
      <c r="H113" s="286">
        <f>data!AC67</f>
        <v>70784</v>
      </c>
      <c r="I113" s="286">
        <f>data!AD67</f>
        <v>0</v>
      </c>
    </row>
    <row r="114" spans="1:9" ht="20.149999999999999" customHeight="1" x14ac:dyDescent="0.35">
      <c r="A114" s="278">
        <v>13</v>
      </c>
      <c r="B114" s="286" t="s">
        <v>977</v>
      </c>
      <c r="C114" s="286">
        <f>data!X68</f>
        <v>0</v>
      </c>
      <c r="D114" s="286">
        <f>data!Y68</f>
        <v>0</v>
      </c>
      <c r="E114" s="286">
        <f>data!Z68</f>
        <v>0</v>
      </c>
      <c r="F114" s="286">
        <f>data!AA68</f>
        <v>0</v>
      </c>
      <c r="G114" s="286">
        <f>data!AB68</f>
        <v>0</v>
      </c>
      <c r="H114" s="286">
        <f>data!AC68</f>
        <v>0</v>
      </c>
      <c r="I114" s="286">
        <f>data!AD68</f>
        <v>0</v>
      </c>
    </row>
    <row r="115" spans="1:9" ht="20.149999999999999" customHeight="1" x14ac:dyDescent="0.35">
      <c r="A115" s="278">
        <v>14</v>
      </c>
      <c r="B115" s="286" t="s">
        <v>978</v>
      </c>
      <c r="C115" s="286">
        <f>data!X69</f>
        <v>0</v>
      </c>
      <c r="D115" s="286">
        <f>data!Y69</f>
        <v>412629</v>
      </c>
      <c r="E115" s="286">
        <f>data!Z69</f>
        <v>0</v>
      </c>
      <c r="F115" s="286">
        <f>data!AA69</f>
        <v>0</v>
      </c>
      <c r="G115" s="286">
        <f>data!AB69</f>
        <v>2081</v>
      </c>
      <c r="H115" s="286">
        <f>data!AC69</f>
        <v>131</v>
      </c>
      <c r="I115" s="286">
        <f>data!AD69</f>
        <v>0</v>
      </c>
    </row>
    <row r="116" spans="1:9" ht="20.149999999999999" customHeight="1" x14ac:dyDescent="0.35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0</v>
      </c>
      <c r="H116" s="286">
        <f>-data!AC84</f>
        <v>0</v>
      </c>
      <c r="I116" s="286">
        <f>-data!AD84</f>
        <v>0</v>
      </c>
    </row>
    <row r="117" spans="1:9" ht="20.149999999999999" customHeight="1" x14ac:dyDescent="0.35">
      <c r="A117" s="278">
        <v>16</v>
      </c>
      <c r="B117" s="294" t="s">
        <v>979</v>
      </c>
      <c r="C117" s="286">
        <f>data!X85</f>
        <v>1205468</v>
      </c>
      <c r="D117" s="286">
        <f>data!Y85</f>
        <v>2979722</v>
      </c>
      <c r="E117" s="286">
        <f>data!Z85</f>
        <v>0</v>
      </c>
      <c r="F117" s="286">
        <f>data!AA85</f>
        <v>0</v>
      </c>
      <c r="G117" s="286">
        <f>data!AB85</f>
        <v>4564327</v>
      </c>
      <c r="H117" s="286">
        <f>data!AC85</f>
        <v>982781</v>
      </c>
      <c r="I117" s="286">
        <f>data!AD85</f>
        <v>0</v>
      </c>
    </row>
    <row r="118" spans="1:9" ht="20.149999999999999" customHeight="1" x14ac:dyDescent="0.35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49999999999999" customHeight="1" x14ac:dyDescent="0.35">
      <c r="A119" s="278">
        <v>18</v>
      </c>
      <c r="B119" s="286" t="s">
        <v>980</v>
      </c>
      <c r="C119" s="294">
        <f>+data!M689</f>
        <v>2209417</v>
      </c>
      <c r="D119" s="294">
        <f>+data!M690</f>
        <v>1493721</v>
      </c>
      <c r="E119" s="294">
        <f>+data!M691</f>
        <v>0</v>
      </c>
      <c r="F119" s="294">
        <f>+data!M692</f>
        <v>0</v>
      </c>
      <c r="G119" s="294">
        <f>+data!M693</f>
        <v>1830970</v>
      </c>
      <c r="H119" s="294">
        <f>+data!M694</f>
        <v>410752</v>
      </c>
      <c r="I119" s="294">
        <f>+data!M695</f>
        <v>0</v>
      </c>
    </row>
    <row r="120" spans="1:9" ht="20.149999999999999" customHeight="1" x14ac:dyDescent="0.35">
      <c r="A120" s="278">
        <v>19</v>
      </c>
      <c r="B120" s="294" t="s">
        <v>981</v>
      </c>
      <c r="C120" s="286">
        <f>data!X87</f>
        <v>1534111</v>
      </c>
      <c r="D120" s="286">
        <f>data!Y87</f>
        <v>696806</v>
      </c>
      <c r="E120" s="286">
        <f>data!Z87</f>
        <v>0</v>
      </c>
      <c r="F120" s="286">
        <f>data!AA87</f>
        <v>0</v>
      </c>
      <c r="G120" s="286">
        <f>data!AB87</f>
        <v>4900513</v>
      </c>
      <c r="H120" s="286">
        <f>data!AC87</f>
        <v>513493</v>
      </c>
      <c r="I120" s="286">
        <f>data!AD87</f>
        <v>0</v>
      </c>
    </row>
    <row r="121" spans="1:9" ht="20.149999999999999" customHeight="1" x14ac:dyDescent="0.35">
      <c r="A121" s="278">
        <v>20</v>
      </c>
      <c r="B121" s="294" t="s">
        <v>982</v>
      </c>
      <c r="C121" s="286">
        <f>data!X88</f>
        <v>23613354</v>
      </c>
      <c r="D121" s="286">
        <f>data!Y88</f>
        <v>13548375</v>
      </c>
      <c r="E121" s="286">
        <f>data!Z88</f>
        <v>0</v>
      </c>
      <c r="F121" s="286">
        <f>data!AA88</f>
        <v>0</v>
      </c>
      <c r="G121" s="286">
        <f>data!AB88</f>
        <v>12700855</v>
      </c>
      <c r="H121" s="286">
        <f>data!AC88</f>
        <v>2102091</v>
      </c>
      <c r="I121" s="286">
        <f>data!AD88</f>
        <v>0</v>
      </c>
    </row>
    <row r="122" spans="1:9" ht="20.149999999999999" customHeight="1" x14ac:dyDescent="0.35">
      <c r="A122" s="278">
        <v>21</v>
      </c>
      <c r="B122" s="294" t="s">
        <v>983</v>
      </c>
      <c r="C122" s="286">
        <f>data!X89</f>
        <v>25147465</v>
      </c>
      <c r="D122" s="286">
        <f>data!Y89</f>
        <v>14245181</v>
      </c>
      <c r="E122" s="286">
        <f>data!Z89</f>
        <v>0</v>
      </c>
      <c r="F122" s="286">
        <f>data!AA89</f>
        <v>0</v>
      </c>
      <c r="G122" s="286">
        <f>data!AB89</f>
        <v>17601368</v>
      </c>
      <c r="H122" s="286">
        <f>data!AC89</f>
        <v>2615584</v>
      </c>
      <c r="I122" s="286">
        <f>data!AD89</f>
        <v>0</v>
      </c>
    </row>
    <row r="123" spans="1:9" ht="20.149999999999999" customHeight="1" x14ac:dyDescent="0.35">
      <c r="A123" s="278" t="s">
        <v>984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49999999999999" customHeight="1" x14ac:dyDescent="0.35">
      <c r="A124" s="278">
        <v>22</v>
      </c>
      <c r="B124" s="286" t="s">
        <v>985</v>
      </c>
      <c r="C124" s="286">
        <f>data!X90</f>
        <v>2272</v>
      </c>
      <c r="D124" s="286">
        <f>data!Y90</f>
        <v>2355</v>
      </c>
      <c r="E124" s="286">
        <f>data!Z90</f>
        <v>0</v>
      </c>
      <c r="F124" s="286">
        <f>data!AA90</f>
        <v>0</v>
      </c>
      <c r="G124" s="286">
        <f>data!AB90</f>
        <v>1163</v>
      </c>
      <c r="H124" s="286">
        <f>data!AC90</f>
        <v>1032</v>
      </c>
      <c r="I124" s="286">
        <f>data!AD90</f>
        <v>0</v>
      </c>
    </row>
    <row r="125" spans="1:9" ht="20.149999999999999" customHeight="1" x14ac:dyDescent="0.35">
      <c r="A125" s="278">
        <v>23</v>
      </c>
      <c r="B125" s="286" t="s">
        <v>986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49999999999999" customHeight="1" x14ac:dyDescent="0.35">
      <c r="A126" s="278">
        <v>24</v>
      </c>
      <c r="B126" s="286" t="s">
        <v>987</v>
      </c>
      <c r="C126" s="286">
        <f>data!X92</f>
        <v>1228</v>
      </c>
      <c r="D126" s="286">
        <f>data!Y92</f>
        <v>1228</v>
      </c>
      <c r="E126" s="286">
        <f>data!Z92</f>
        <v>0</v>
      </c>
      <c r="F126" s="286">
        <f>data!AA92</f>
        <v>0</v>
      </c>
      <c r="G126" s="286">
        <f>data!AB92</f>
        <v>1200</v>
      </c>
      <c r="H126" s="286">
        <f>data!AC92</f>
        <v>1800</v>
      </c>
      <c r="I126" s="286">
        <f>data!AD92</f>
        <v>0</v>
      </c>
    </row>
    <row r="127" spans="1:9" ht="20.149999999999999" customHeight="1" x14ac:dyDescent="0.35">
      <c r="A127" s="278">
        <v>25</v>
      </c>
      <c r="B127" s="286" t="s">
        <v>988</v>
      </c>
      <c r="C127" s="286">
        <f>data!X93</f>
        <v>13163</v>
      </c>
      <c r="D127" s="286">
        <f>data!Y93</f>
        <v>56558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16789</v>
      </c>
      <c r="I127" s="286">
        <f>data!AD93</f>
        <v>0</v>
      </c>
    </row>
    <row r="128" spans="1:9" ht="20.149999999999999" customHeight="1" x14ac:dyDescent="0.35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49999999999999" customHeight="1" x14ac:dyDescent="0.35">
      <c r="A129" s="279" t="s">
        <v>970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49999999999999" customHeight="1" x14ac:dyDescent="0.35">
      <c r="D130" s="282"/>
      <c r="I130" s="283" t="s">
        <v>1001</v>
      </c>
    </row>
    <row r="131" spans="1:14" ht="20.149999999999999" customHeight="1" x14ac:dyDescent="0.35">
      <c r="A131" s="282"/>
    </row>
    <row r="132" spans="1:14" ht="20.149999999999999" customHeight="1" x14ac:dyDescent="0.35">
      <c r="A132" s="284" t="str">
        <f>"Hospital: "&amp;data!C98</f>
        <v>Hospital: Kittitas Valley Healthcare</v>
      </c>
      <c r="G132" s="285"/>
      <c r="H132" s="284" t="str">
        <f>"FYE: "&amp;data!C96</f>
        <v>FYE: 12/31/2022</v>
      </c>
    </row>
    <row r="133" spans="1:14" ht="20.149999999999999" customHeight="1" x14ac:dyDescent="0.35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49999999999999" customHeight="1" x14ac:dyDescent="0.35">
      <c r="A134" s="289">
        <v>2</v>
      </c>
      <c r="B134" s="290" t="s">
        <v>972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1002</v>
      </c>
      <c r="H134" s="292"/>
      <c r="I134" s="292" t="s">
        <v>134</v>
      </c>
    </row>
    <row r="135" spans="1:14" ht="20.149999999999999" customHeight="1" x14ac:dyDescent="0.35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49999999999999" customHeight="1" x14ac:dyDescent="0.35">
      <c r="A136" s="278">
        <v>3</v>
      </c>
      <c r="B136" s="286" t="s">
        <v>976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1003</v>
      </c>
      <c r="H136" s="288" t="s">
        <v>240</v>
      </c>
      <c r="I136" s="288" t="s">
        <v>238</v>
      </c>
    </row>
    <row r="137" spans="1:14" ht="20.149999999999999" customHeight="1" x14ac:dyDescent="0.35">
      <c r="A137" s="278">
        <v>4</v>
      </c>
      <c r="B137" s="286" t="s">
        <v>246</v>
      </c>
      <c r="C137" s="286">
        <f>data!AE59</f>
        <v>12427</v>
      </c>
      <c r="D137" s="286">
        <f>data!AF59</f>
        <v>0</v>
      </c>
      <c r="E137" s="286">
        <f>data!AG59</f>
        <v>15643</v>
      </c>
      <c r="F137" s="286">
        <f>data!AH59</f>
        <v>0</v>
      </c>
      <c r="G137" s="286">
        <f>data!AI59</f>
        <v>0</v>
      </c>
      <c r="H137" s="286">
        <f>data!AJ59</f>
        <v>88913</v>
      </c>
      <c r="I137" s="286">
        <f>data!AK59</f>
        <v>2587</v>
      </c>
      <c r="K137" s="297"/>
      <c r="L137" s="299"/>
      <c r="M137" s="299"/>
      <c r="N137" s="299"/>
    </row>
    <row r="138" spans="1:14" ht="20.149999999999999" customHeight="1" x14ac:dyDescent="0.35">
      <c r="A138" s="278">
        <v>5</v>
      </c>
      <c r="B138" s="286" t="s">
        <v>247</v>
      </c>
      <c r="C138" s="293">
        <f>data!AE60</f>
        <v>3.73</v>
      </c>
      <c r="D138" s="293">
        <f>data!AF60</f>
        <v>0</v>
      </c>
      <c r="E138" s="293">
        <f>data!AG60</f>
        <v>24.000000000000004</v>
      </c>
      <c r="F138" s="293">
        <f>data!AH60</f>
        <v>0</v>
      </c>
      <c r="G138" s="293">
        <f>data!AI60</f>
        <v>0</v>
      </c>
      <c r="H138" s="293">
        <f>data!AJ60</f>
        <v>167.57</v>
      </c>
      <c r="I138" s="293">
        <f>data!AK60</f>
        <v>0</v>
      </c>
    </row>
    <row r="139" spans="1:14" ht="20.149999999999999" customHeight="1" x14ac:dyDescent="0.35">
      <c r="A139" s="278">
        <v>6</v>
      </c>
      <c r="B139" s="286" t="s">
        <v>248</v>
      </c>
      <c r="C139" s="286">
        <f>data!AE61</f>
        <v>291571</v>
      </c>
      <c r="D139" s="286">
        <f>data!AF61</f>
        <v>0</v>
      </c>
      <c r="E139" s="286">
        <f>data!AG61</f>
        <v>5395489</v>
      </c>
      <c r="F139" s="286">
        <f>data!AH61</f>
        <v>0</v>
      </c>
      <c r="G139" s="286">
        <f>data!AI61</f>
        <v>0</v>
      </c>
      <c r="H139" s="286">
        <f>data!AJ61</f>
        <v>18439029</v>
      </c>
      <c r="I139" s="286">
        <f>data!AK61</f>
        <v>160</v>
      </c>
    </row>
    <row r="140" spans="1:14" ht="20.149999999999999" customHeight="1" x14ac:dyDescent="0.35">
      <c r="A140" s="278">
        <v>7</v>
      </c>
      <c r="B140" s="286" t="s">
        <v>9</v>
      </c>
      <c r="C140" s="286">
        <f>data!AE62</f>
        <v>69683</v>
      </c>
      <c r="D140" s="286">
        <f>data!AF62</f>
        <v>0</v>
      </c>
      <c r="E140" s="286">
        <f>data!AG62</f>
        <v>1289480</v>
      </c>
      <c r="F140" s="286">
        <f>data!AH62</f>
        <v>0</v>
      </c>
      <c r="G140" s="286">
        <f>data!AI62</f>
        <v>0</v>
      </c>
      <c r="H140" s="286">
        <f>data!AJ62</f>
        <v>4406785</v>
      </c>
      <c r="I140" s="286">
        <f>data!AK62</f>
        <v>38</v>
      </c>
    </row>
    <row r="141" spans="1:14" ht="20.149999999999999" customHeight="1" x14ac:dyDescent="0.35">
      <c r="A141" s="278">
        <v>8</v>
      </c>
      <c r="B141" s="286" t="s">
        <v>249</v>
      </c>
      <c r="C141" s="286">
        <f>data!AE63</f>
        <v>0</v>
      </c>
      <c r="D141" s="286">
        <f>data!AF63</f>
        <v>0</v>
      </c>
      <c r="E141" s="286">
        <f>data!AG63</f>
        <v>53254</v>
      </c>
      <c r="F141" s="286">
        <f>data!AH63</f>
        <v>0</v>
      </c>
      <c r="G141" s="286">
        <f>data!AI63</f>
        <v>0</v>
      </c>
      <c r="H141" s="286">
        <f>data!AJ63</f>
        <v>2396406</v>
      </c>
      <c r="I141" s="286">
        <f>data!AK63</f>
        <v>0</v>
      </c>
    </row>
    <row r="142" spans="1:14" ht="20.149999999999999" customHeight="1" x14ac:dyDescent="0.35">
      <c r="A142" s="278">
        <v>9</v>
      </c>
      <c r="B142" s="286" t="s">
        <v>250</v>
      </c>
      <c r="C142" s="286">
        <f>data!AE64</f>
        <v>20366</v>
      </c>
      <c r="D142" s="286">
        <f>data!AF64</f>
        <v>0</v>
      </c>
      <c r="E142" s="286">
        <f>data!AG64</f>
        <v>364285</v>
      </c>
      <c r="F142" s="286">
        <f>data!AH64</f>
        <v>0</v>
      </c>
      <c r="G142" s="286">
        <f>data!AI64</f>
        <v>0</v>
      </c>
      <c r="H142" s="286">
        <f>data!AJ64</f>
        <v>1734431</v>
      </c>
      <c r="I142" s="286">
        <f>data!AK64</f>
        <v>6582</v>
      </c>
    </row>
    <row r="143" spans="1:14" ht="20.149999999999999" customHeight="1" x14ac:dyDescent="0.35">
      <c r="A143" s="278">
        <v>10</v>
      </c>
      <c r="B143" s="286" t="s">
        <v>497</v>
      </c>
      <c r="C143" s="286">
        <f>data!AE65</f>
        <v>417</v>
      </c>
      <c r="D143" s="286">
        <f>data!AF65</f>
        <v>0</v>
      </c>
      <c r="E143" s="286">
        <f>data!AG65</f>
        <v>0</v>
      </c>
      <c r="F143" s="286">
        <f>data!AH65</f>
        <v>0</v>
      </c>
      <c r="G143" s="286">
        <f>data!AI65</f>
        <v>0</v>
      </c>
      <c r="H143" s="286">
        <f>data!AJ65</f>
        <v>221054</v>
      </c>
      <c r="I143" s="286">
        <f>data!AK65</f>
        <v>0</v>
      </c>
    </row>
    <row r="144" spans="1:14" ht="20.149999999999999" customHeight="1" x14ac:dyDescent="0.35">
      <c r="A144" s="278">
        <v>11</v>
      </c>
      <c r="B144" s="286" t="s">
        <v>498</v>
      </c>
      <c r="C144" s="286">
        <f>data!AE66</f>
        <v>985801</v>
      </c>
      <c r="D144" s="286">
        <f>data!AF66</f>
        <v>0</v>
      </c>
      <c r="E144" s="286">
        <f>data!AG66</f>
        <v>116600</v>
      </c>
      <c r="F144" s="286">
        <f>data!AH66</f>
        <v>0</v>
      </c>
      <c r="G144" s="286">
        <f>data!AI66</f>
        <v>0</v>
      </c>
      <c r="H144" s="286">
        <f>data!AJ66</f>
        <v>1273101</v>
      </c>
      <c r="I144" s="286">
        <f>data!AK66</f>
        <v>238841</v>
      </c>
    </row>
    <row r="145" spans="1:9" ht="20.149999999999999" customHeight="1" x14ac:dyDescent="0.35">
      <c r="A145" s="278">
        <v>12</v>
      </c>
      <c r="B145" s="286" t="s">
        <v>11</v>
      </c>
      <c r="C145" s="286">
        <f>data!AE67</f>
        <v>143879</v>
      </c>
      <c r="D145" s="286">
        <f>data!AF67</f>
        <v>0</v>
      </c>
      <c r="E145" s="286">
        <f>data!AG67</f>
        <v>100818</v>
      </c>
      <c r="F145" s="286">
        <f>data!AH67</f>
        <v>0</v>
      </c>
      <c r="G145" s="286">
        <f>data!AI67</f>
        <v>0</v>
      </c>
      <c r="H145" s="286">
        <f>data!AJ67</f>
        <v>1118210</v>
      </c>
      <c r="I145" s="286">
        <f>data!AK67</f>
        <v>42034</v>
      </c>
    </row>
    <row r="146" spans="1:9" ht="20.149999999999999" customHeight="1" x14ac:dyDescent="0.35">
      <c r="A146" s="278">
        <v>13</v>
      </c>
      <c r="B146" s="286" t="s">
        <v>977</v>
      </c>
      <c r="C146" s="286">
        <f>data!AE68</f>
        <v>0</v>
      </c>
      <c r="D146" s="286">
        <f>data!AF68</f>
        <v>0</v>
      </c>
      <c r="E146" s="286">
        <f>data!AG68</f>
        <v>0</v>
      </c>
      <c r="F146" s="286">
        <f>data!AH68</f>
        <v>0</v>
      </c>
      <c r="G146" s="286">
        <f>data!AI68</f>
        <v>0</v>
      </c>
      <c r="H146" s="286">
        <f>data!AJ68</f>
        <v>0</v>
      </c>
      <c r="I146" s="286">
        <f>data!AK68</f>
        <v>0</v>
      </c>
    </row>
    <row r="147" spans="1:9" ht="20.149999999999999" customHeight="1" x14ac:dyDescent="0.35">
      <c r="A147" s="278">
        <v>14</v>
      </c>
      <c r="B147" s="286" t="s">
        <v>978</v>
      </c>
      <c r="C147" s="286">
        <f>data!AE69</f>
        <v>2348</v>
      </c>
      <c r="D147" s="286">
        <f>data!AF69</f>
        <v>0</v>
      </c>
      <c r="E147" s="286">
        <f>data!AG69</f>
        <v>1166899</v>
      </c>
      <c r="F147" s="286">
        <f>data!AH69</f>
        <v>0</v>
      </c>
      <c r="G147" s="286">
        <f>data!AI69</f>
        <v>0</v>
      </c>
      <c r="H147" s="286">
        <f>data!AJ69</f>
        <v>1247503</v>
      </c>
      <c r="I147" s="286">
        <f>data!AK69</f>
        <v>0</v>
      </c>
    </row>
    <row r="148" spans="1:9" ht="20.149999999999999" customHeight="1" x14ac:dyDescent="0.35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49999999999999" customHeight="1" x14ac:dyDescent="0.35">
      <c r="A149" s="278">
        <v>16</v>
      </c>
      <c r="B149" s="294" t="s">
        <v>979</v>
      </c>
      <c r="C149" s="286">
        <f>data!AE85</f>
        <v>1514065</v>
      </c>
      <c r="D149" s="286">
        <f>data!AF85</f>
        <v>0</v>
      </c>
      <c r="E149" s="286">
        <f>data!AG85</f>
        <v>8486825</v>
      </c>
      <c r="F149" s="286">
        <f>data!AH85</f>
        <v>0</v>
      </c>
      <c r="G149" s="286">
        <f>data!AI85</f>
        <v>0</v>
      </c>
      <c r="H149" s="286">
        <f>data!AJ85</f>
        <v>30836519</v>
      </c>
      <c r="I149" s="286">
        <f>data!AK85</f>
        <v>287655</v>
      </c>
    </row>
    <row r="150" spans="1:9" ht="20.149999999999999" customHeight="1" x14ac:dyDescent="0.35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49999999999999" customHeight="1" x14ac:dyDescent="0.35">
      <c r="A151" s="278">
        <v>18</v>
      </c>
      <c r="B151" s="286" t="s">
        <v>980</v>
      </c>
      <c r="C151" s="294">
        <f>+data!M696</f>
        <v>466303</v>
      </c>
      <c r="D151" s="294">
        <f>+data!M697</f>
        <v>0</v>
      </c>
      <c r="E151" s="294">
        <f>+data!M698</f>
        <v>3626536</v>
      </c>
      <c r="F151" s="294">
        <f>+data!M699</f>
        <v>0</v>
      </c>
      <c r="G151" s="294">
        <f>+data!M700</f>
        <v>0</v>
      </c>
      <c r="H151" s="294">
        <f>+data!M701</f>
        <v>6973171</v>
      </c>
      <c r="I151" s="294">
        <f>+data!M702</f>
        <v>85711</v>
      </c>
    </row>
    <row r="152" spans="1:9" ht="20.149999999999999" customHeight="1" x14ac:dyDescent="0.35">
      <c r="A152" s="278">
        <v>19</v>
      </c>
      <c r="B152" s="294" t="s">
        <v>981</v>
      </c>
      <c r="C152" s="286">
        <f>data!AE87</f>
        <v>253936</v>
      </c>
      <c r="D152" s="286">
        <f>data!AF87</f>
        <v>0</v>
      </c>
      <c r="E152" s="286">
        <f>data!AG87</f>
        <v>502508</v>
      </c>
      <c r="F152" s="286">
        <f>data!AH87</f>
        <v>0</v>
      </c>
      <c r="G152" s="286">
        <f>data!AI87</f>
        <v>0</v>
      </c>
      <c r="H152" s="286">
        <f>data!AJ87</f>
        <v>0</v>
      </c>
      <c r="I152" s="286">
        <f>data!AK87</f>
        <v>95105</v>
      </c>
    </row>
    <row r="153" spans="1:9" ht="20.149999999999999" customHeight="1" x14ac:dyDescent="0.35">
      <c r="A153" s="278">
        <v>20</v>
      </c>
      <c r="B153" s="294" t="s">
        <v>982</v>
      </c>
      <c r="C153" s="286">
        <f>data!AE88</f>
        <v>3587805</v>
      </c>
      <c r="D153" s="286">
        <f>data!AF88</f>
        <v>0</v>
      </c>
      <c r="E153" s="286">
        <f>data!AG88</f>
        <v>23505199</v>
      </c>
      <c r="F153" s="286">
        <f>data!AH88</f>
        <v>0</v>
      </c>
      <c r="G153" s="286">
        <f>data!AI88</f>
        <v>0</v>
      </c>
      <c r="H153" s="286">
        <f>data!AJ88</f>
        <v>33363996</v>
      </c>
      <c r="I153" s="286">
        <f>data!AK88</f>
        <v>632794</v>
      </c>
    </row>
    <row r="154" spans="1:9" ht="20.149999999999999" customHeight="1" x14ac:dyDescent="0.35">
      <c r="A154" s="278">
        <v>21</v>
      </c>
      <c r="B154" s="294" t="s">
        <v>983</v>
      </c>
      <c r="C154" s="286">
        <f>data!AE89</f>
        <v>3841741</v>
      </c>
      <c r="D154" s="286">
        <f>data!AF89</f>
        <v>0</v>
      </c>
      <c r="E154" s="286">
        <f>data!AG89</f>
        <v>24007707</v>
      </c>
      <c r="F154" s="286">
        <f>data!AH89</f>
        <v>0</v>
      </c>
      <c r="G154" s="286">
        <f>data!AI89</f>
        <v>0</v>
      </c>
      <c r="H154" s="286">
        <f>data!AJ89</f>
        <v>33363996</v>
      </c>
      <c r="I154" s="286">
        <f>data!AK89</f>
        <v>727899</v>
      </c>
    </row>
    <row r="155" spans="1:9" ht="20.149999999999999" customHeight="1" x14ac:dyDescent="0.35">
      <c r="A155" s="278" t="s">
        <v>984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49999999999999" customHeight="1" x14ac:dyDescent="0.35">
      <c r="A156" s="278">
        <v>22</v>
      </c>
      <c r="B156" s="286" t="s">
        <v>985</v>
      </c>
      <c r="C156" s="286">
        <f>data!AE90</f>
        <v>0</v>
      </c>
      <c r="D156" s="286">
        <f>data!AF90</f>
        <v>0</v>
      </c>
      <c r="E156" s="286">
        <f>data!AG90</f>
        <v>5160</v>
      </c>
      <c r="F156" s="286">
        <f>data!AH90</f>
        <v>0</v>
      </c>
      <c r="G156" s="286">
        <f>data!AI90</f>
        <v>0</v>
      </c>
      <c r="H156" s="286">
        <f>data!AJ90</f>
        <v>41797</v>
      </c>
      <c r="I156" s="286">
        <f>data!AK90</f>
        <v>0</v>
      </c>
    </row>
    <row r="157" spans="1:9" ht="20.149999999999999" customHeight="1" x14ac:dyDescent="0.35">
      <c r="A157" s="278">
        <v>23</v>
      </c>
      <c r="B157" s="286" t="s">
        <v>986</v>
      </c>
      <c r="C157" s="286">
        <f>data!AE91</f>
        <v>0</v>
      </c>
      <c r="D157" s="286">
        <f>data!AF91</f>
        <v>0</v>
      </c>
      <c r="E157" s="286">
        <f>data!AG91</f>
        <v>936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49999999999999" customHeight="1" x14ac:dyDescent="0.35">
      <c r="A158" s="278">
        <v>24</v>
      </c>
      <c r="B158" s="286" t="s">
        <v>987</v>
      </c>
      <c r="C158" s="286">
        <f>data!AE92</f>
        <v>1600</v>
      </c>
      <c r="D158" s="286">
        <f>data!AF92</f>
        <v>0</v>
      </c>
      <c r="E158" s="286">
        <f>data!AG92</f>
        <v>8320</v>
      </c>
      <c r="F158" s="286">
        <f>data!AH92</f>
        <v>0</v>
      </c>
      <c r="G158" s="286">
        <f>data!AI92</f>
        <v>0</v>
      </c>
      <c r="H158" s="286">
        <f>data!AJ92</f>
        <v>9495</v>
      </c>
      <c r="I158" s="286">
        <f>data!AK92</f>
        <v>300</v>
      </c>
    </row>
    <row r="159" spans="1:9" ht="20.149999999999999" customHeight="1" x14ac:dyDescent="0.35">
      <c r="A159" s="278">
        <v>25</v>
      </c>
      <c r="B159" s="286" t="s">
        <v>988</v>
      </c>
      <c r="C159" s="286">
        <f>data!AE93</f>
        <v>8394</v>
      </c>
      <c r="D159" s="286">
        <f>data!AF93</f>
        <v>0</v>
      </c>
      <c r="E159" s="286">
        <f>data!AG93</f>
        <v>77294</v>
      </c>
      <c r="F159" s="286">
        <f>data!AH93</f>
        <v>0</v>
      </c>
      <c r="G159" s="286">
        <f>data!AI93</f>
        <v>0</v>
      </c>
      <c r="H159" s="286">
        <f>data!AJ93</f>
        <v>22835</v>
      </c>
      <c r="I159" s="286">
        <f>data!AK93</f>
        <v>3358</v>
      </c>
    </row>
    <row r="160" spans="1:9" ht="20.149999999999999" customHeight="1" x14ac:dyDescent="0.35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22.1</v>
      </c>
      <c r="F160" s="293">
        <f>data!AH94</f>
        <v>0</v>
      </c>
      <c r="G160" s="293">
        <f>data!AI94</f>
        <v>0</v>
      </c>
      <c r="H160" s="293">
        <f>data!AJ94</f>
        <v>13.280000000000001</v>
      </c>
      <c r="I160" s="293">
        <f>data!AK94</f>
        <v>0</v>
      </c>
    </row>
    <row r="161" spans="1:9" ht="20.149999999999999" customHeight="1" x14ac:dyDescent="0.35">
      <c r="A161" s="279" t="s">
        <v>970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49999999999999" customHeight="1" x14ac:dyDescent="0.35">
      <c r="D162" s="282"/>
      <c r="I162" s="283" t="s">
        <v>1004</v>
      </c>
    </row>
    <row r="163" spans="1:9" ht="20.149999999999999" customHeight="1" x14ac:dyDescent="0.35">
      <c r="A163" s="282"/>
    </row>
    <row r="164" spans="1:9" ht="20.149999999999999" customHeight="1" x14ac:dyDescent="0.35">
      <c r="A164" s="284" t="str">
        <f>"Hospital: "&amp;data!C98</f>
        <v>Hospital: Kittitas Valley Healthcare</v>
      </c>
      <c r="G164" s="285"/>
      <c r="H164" s="284" t="str">
        <f>"FYE: "&amp;data!C96</f>
        <v>FYE: 12/31/2022</v>
      </c>
    </row>
    <row r="165" spans="1:9" ht="20.149999999999999" customHeight="1" x14ac:dyDescent="0.35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49999999999999" customHeight="1" x14ac:dyDescent="0.35">
      <c r="A166" s="289">
        <v>2</v>
      </c>
      <c r="B166" s="290" t="s">
        <v>972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1005</v>
      </c>
      <c r="H166" s="292" t="s">
        <v>139</v>
      </c>
      <c r="I166" s="292" t="s">
        <v>140</v>
      </c>
    </row>
    <row r="167" spans="1:9" ht="20.149999999999999" customHeight="1" x14ac:dyDescent="0.35">
      <c r="A167" s="289"/>
      <c r="B167" s="290"/>
      <c r="C167" s="292" t="s">
        <v>184</v>
      </c>
      <c r="D167" s="292" t="s">
        <v>184</v>
      </c>
      <c r="E167" s="292" t="s">
        <v>1006</v>
      </c>
      <c r="F167" s="292" t="s">
        <v>194</v>
      </c>
      <c r="G167" s="292" t="s">
        <v>133</v>
      </c>
      <c r="H167" s="291" t="s">
        <v>1007</v>
      </c>
      <c r="I167" s="292" t="s">
        <v>181</v>
      </c>
    </row>
    <row r="168" spans="1:9" ht="20.149999999999999" customHeight="1" x14ac:dyDescent="0.35">
      <c r="A168" s="278">
        <v>3</v>
      </c>
      <c r="B168" s="286" t="s">
        <v>976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49999999999999" customHeight="1" x14ac:dyDescent="0.35">
      <c r="A169" s="278">
        <v>4</v>
      </c>
      <c r="B169" s="286" t="s">
        <v>246</v>
      </c>
      <c r="C169" s="286">
        <f>data!AL59</f>
        <v>2046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14761</v>
      </c>
    </row>
    <row r="170" spans="1:9" ht="20.149999999999999" customHeight="1" x14ac:dyDescent="0.35">
      <c r="A170" s="278">
        <v>5</v>
      </c>
      <c r="B170" s="286" t="s">
        <v>247</v>
      </c>
      <c r="C170" s="293">
        <f>data!AL60</f>
        <v>0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0</v>
      </c>
      <c r="H170" s="293">
        <f>data!AQ60</f>
        <v>0</v>
      </c>
      <c r="I170" s="293">
        <f>data!AR60</f>
        <v>17.329999999999998</v>
      </c>
    </row>
    <row r="171" spans="1:9" ht="20.149999999999999" customHeight="1" x14ac:dyDescent="0.35">
      <c r="A171" s="278">
        <v>6</v>
      </c>
      <c r="B171" s="286" t="s">
        <v>248</v>
      </c>
      <c r="C171" s="286">
        <f>data!AL61</f>
        <v>-488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0</v>
      </c>
      <c r="H171" s="286">
        <f>data!AQ61</f>
        <v>0</v>
      </c>
      <c r="I171" s="286">
        <f>data!AR61</f>
        <v>1410163</v>
      </c>
    </row>
    <row r="172" spans="1:9" ht="20.149999999999999" customHeight="1" x14ac:dyDescent="0.35">
      <c r="A172" s="278">
        <v>7</v>
      </c>
      <c r="B172" s="286" t="s">
        <v>9</v>
      </c>
      <c r="C172" s="286">
        <f>data!AL62</f>
        <v>-117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337018</v>
      </c>
    </row>
    <row r="173" spans="1:9" ht="20.149999999999999" customHeight="1" x14ac:dyDescent="0.35">
      <c r="A173" s="278">
        <v>8</v>
      </c>
      <c r="B173" s="286" t="s">
        <v>249</v>
      </c>
      <c r="C173" s="286">
        <f>data!AL63</f>
        <v>10300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2088</v>
      </c>
    </row>
    <row r="174" spans="1:9" ht="20.149999999999999" customHeight="1" x14ac:dyDescent="0.35">
      <c r="A174" s="278">
        <v>9</v>
      </c>
      <c r="B174" s="286" t="s">
        <v>250</v>
      </c>
      <c r="C174" s="286">
        <f>data!AL64</f>
        <v>4857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110404</v>
      </c>
    </row>
    <row r="175" spans="1:9" ht="20.149999999999999" customHeight="1" x14ac:dyDescent="0.35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ht="20.149999999999999" customHeight="1" x14ac:dyDescent="0.35">
      <c r="A176" s="278">
        <v>11</v>
      </c>
      <c r="B176" s="286" t="s">
        <v>498</v>
      </c>
      <c r="C176" s="286">
        <f>data!AL66</f>
        <v>197291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292160</v>
      </c>
    </row>
    <row r="177" spans="1:9" ht="20.149999999999999" customHeight="1" x14ac:dyDescent="0.35">
      <c r="A177" s="278">
        <v>12</v>
      </c>
      <c r="B177" s="286" t="s">
        <v>11</v>
      </c>
      <c r="C177" s="286">
        <f>data!AL67</f>
        <v>11775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0</v>
      </c>
      <c r="H177" s="286">
        <f>data!AQ67</f>
        <v>0</v>
      </c>
      <c r="I177" s="286">
        <f>data!AR67</f>
        <v>39988</v>
      </c>
    </row>
    <row r="178" spans="1:9" ht="20.149999999999999" customHeight="1" x14ac:dyDescent="0.35">
      <c r="A178" s="278">
        <v>13</v>
      </c>
      <c r="B178" s="286" t="s">
        <v>977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ht="20.149999999999999" customHeight="1" x14ac:dyDescent="0.35">
      <c r="A179" s="278">
        <v>14</v>
      </c>
      <c r="B179" s="286" t="s">
        <v>978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890588</v>
      </c>
    </row>
    <row r="180" spans="1:9" ht="20.149999999999999" customHeight="1" x14ac:dyDescent="0.35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49999999999999" customHeight="1" x14ac:dyDescent="0.35">
      <c r="A181" s="278">
        <v>16</v>
      </c>
      <c r="B181" s="294" t="s">
        <v>979</v>
      </c>
      <c r="C181" s="286">
        <f>data!AL85</f>
        <v>223618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0</v>
      </c>
      <c r="H181" s="286">
        <f>data!AQ85</f>
        <v>0</v>
      </c>
      <c r="I181" s="286">
        <f>data!AR85</f>
        <v>3082409</v>
      </c>
    </row>
    <row r="182" spans="1:9" ht="20.149999999999999" customHeight="1" x14ac:dyDescent="0.35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49999999999999" customHeight="1" x14ac:dyDescent="0.35">
      <c r="A183" s="278">
        <v>18</v>
      </c>
      <c r="B183" s="286" t="s">
        <v>980</v>
      </c>
      <c r="C183" s="294">
        <f>+data!M703</f>
        <v>63634</v>
      </c>
      <c r="D183" s="294">
        <f>+data!M704</f>
        <v>0</v>
      </c>
      <c r="E183" s="294">
        <f>+data!M705</f>
        <v>0</v>
      </c>
      <c r="F183" s="294">
        <f>+data!M706</f>
        <v>0</v>
      </c>
      <c r="G183" s="294">
        <f>+data!M707</f>
        <v>0</v>
      </c>
      <c r="H183" s="294">
        <f>+data!M708</f>
        <v>0</v>
      </c>
      <c r="I183" s="294">
        <f>+data!M709</f>
        <v>735264</v>
      </c>
    </row>
    <row r="184" spans="1:9" ht="20.149999999999999" customHeight="1" x14ac:dyDescent="0.35">
      <c r="A184" s="278">
        <v>19</v>
      </c>
      <c r="B184" s="294" t="s">
        <v>981</v>
      </c>
      <c r="C184" s="286">
        <f>data!AL87</f>
        <v>44870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49999999999999" customHeight="1" x14ac:dyDescent="0.35">
      <c r="A185" s="278">
        <v>20</v>
      </c>
      <c r="B185" s="294" t="s">
        <v>982</v>
      </c>
      <c r="C185" s="286">
        <f>data!AL88</f>
        <v>535621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0</v>
      </c>
      <c r="H185" s="286">
        <f>data!AQ88</f>
        <v>0</v>
      </c>
      <c r="I185" s="286">
        <f>data!AR88</f>
        <v>3114210</v>
      </c>
    </row>
    <row r="186" spans="1:9" ht="20.149999999999999" customHeight="1" x14ac:dyDescent="0.35">
      <c r="A186" s="278">
        <v>21</v>
      </c>
      <c r="B186" s="294" t="s">
        <v>983</v>
      </c>
      <c r="C186" s="286">
        <f>data!AL89</f>
        <v>580491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0</v>
      </c>
      <c r="H186" s="286">
        <f>data!AQ89</f>
        <v>0</v>
      </c>
      <c r="I186" s="286">
        <f>data!AR89</f>
        <v>3114210</v>
      </c>
    </row>
    <row r="187" spans="1:9" ht="20.149999999999999" customHeight="1" x14ac:dyDescent="0.35">
      <c r="A187" s="278" t="s">
        <v>984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49999999999999" customHeight="1" x14ac:dyDescent="0.35">
      <c r="A188" s="278">
        <v>22</v>
      </c>
      <c r="B188" s="286" t="s">
        <v>985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0</v>
      </c>
      <c r="H188" s="286">
        <f>data!AQ90</f>
        <v>0</v>
      </c>
      <c r="I188" s="286">
        <f>data!AR90</f>
        <v>1394</v>
      </c>
    </row>
    <row r="189" spans="1:9" ht="20.149999999999999" customHeight="1" x14ac:dyDescent="0.35">
      <c r="A189" s="278">
        <v>23</v>
      </c>
      <c r="B189" s="286" t="s">
        <v>986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49999999999999" customHeight="1" x14ac:dyDescent="0.35">
      <c r="A190" s="278">
        <v>24</v>
      </c>
      <c r="B190" s="286" t="s">
        <v>987</v>
      </c>
      <c r="C190" s="286">
        <f>data!AL92</f>
        <v>180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624</v>
      </c>
    </row>
    <row r="191" spans="1:9" ht="20.149999999999999" customHeight="1" x14ac:dyDescent="0.35">
      <c r="A191" s="278">
        <v>25</v>
      </c>
      <c r="B191" s="286" t="s">
        <v>988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671</v>
      </c>
    </row>
    <row r="192" spans="1:9" ht="20.149999999999999" customHeight="1" x14ac:dyDescent="0.35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6.4899999999999993</v>
      </c>
    </row>
    <row r="193" spans="1:9" ht="20.149999999999999" customHeight="1" x14ac:dyDescent="0.35">
      <c r="A193" s="279" t="s">
        <v>970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49999999999999" customHeight="1" x14ac:dyDescent="0.35">
      <c r="D194" s="282"/>
      <c r="I194" s="283" t="s">
        <v>1008</v>
      </c>
    </row>
    <row r="195" spans="1:9" ht="20.149999999999999" customHeight="1" x14ac:dyDescent="0.35">
      <c r="A195" s="282"/>
    </row>
    <row r="196" spans="1:9" ht="20.149999999999999" customHeight="1" x14ac:dyDescent="0.35">
      <c r="A196" s="284" t="str">
        <f>"Hospital: "&amp;data!C98</f>
        <v>Hospital: Kittitas Valley Healthcare</v>
      </c>
      <c r="G196" s="285"/>
      <c r="H196" s="284" t="str">
        <f>"FYE: "&amp;data!C96</f>
        <v>FYE: 12/31/2022</v>
      </c>
    </row>
    <row r="197" spans="1:9" ht="20.149999999999999" customHeight="1" x14ac:dyDescent="0.35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49999999999999" customHeight="1" x14ac:dyDescent="0.35">
      <c r="A198" s="289">
        <v>2</v>
      </c>
      <c r="B198" s="290" t="s">
        <v>972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1009</v>
      </c>
      <c r="H198" s="292" t="s">
        <v>146</v>
      </c>
      <c r="I198" s="292"/>
    </row>
    <row r="199" spans="1:9" ht="20.149999999999999" customHeight="1" x14ac:dyDescent="0.35">
      <c r="A199" s="289"/>
      <c r="B199" s="290"/>
      <c r="C199" s="292" t="s">
        <v>141</v>
      </c>
      <c r="D199" s="292" t="s">
        <v>243</v>
      </c>
      <c r="E199" s="292" t="s">
        <v>1010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49999999999999" customHeight="1" x14ac:dyDescent="0.35">
      <c r="A200" s="278">
        <v>3</v>
      </c>
      <c r="B200" s="286" t="s">
        <v>976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49999999999999" customHeight="1" x14ac:dyDescent="0.35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15871</v>
      </c>
    </row>
    <row r="202" spans="1:9" ht="20.149999999999999" customHeight="1" x14ac:dyDescent="0.35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4.2200000000000006</v>
      </c>
    </row>
    <row r="203" spans="1:9" ht="20.149999999999999" customHeight="1" x14ac:dyDescent="0.35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0</v>
      </c>
      <c r="G203" s="286">
        <f>data!AW61</f>
        <v>0</v>
      </c>
      <c r="H203" s="286">
        <f>data!AX61</f>
        <v>0</v>
      </c>
      <c r="I203" s="286">
        <f>data!AY61</f>
        <v>226827</v>
      </c>
    </row>
    <row r="204" spans="1:9" ht="20.149999999999999" customHeight="1" x14ac:dyDescent="0.35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0</v>
      </c>
      <c r="G204" s="286">
        <f>data!AW62</f>
        <v>0</v>
      </c>
      <c r="H204" s="286">
        <f>data!AX62</f>
        <v>0</v>
      </c>
      <c r="I204" s="286">
        <f>data!AY62</f>
        <v>54210</v>
      </c>
    </row>
    <row r="205" spans="1:9" ht="20.149999999999999" customHeight="1" x14ac:dyDescent="0.35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ht="20.149999999999999" customHeight="1" x14ac:dyDescent="0.35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0</v>
      </c>
      <c r="G206" s="286">
        <f>data!AW64</f>
        <v>0</v>
      </c>
      <c r="H206" s="286">
        <f>data!AX64</f>
        <v>0</v>
      </c>
      <c r="I206" s="286">
        <f>data!AY64</f>
        <v>89721</v>
      </c>
    </row>
    <row r="207" spans="1:9" ht="20.149999999999999" customHeight="1" x14ac:dyDescent="0.35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49999999999999" customHeight="1" x14ac:dyDescent="0.35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0</v>
      </c>
      <c r="G208" s="286">
        <f>data!AW66</f>
        <v>0</v>
      </c>
      <c r="H208" s="286">
        <f>data!AX66</f>
        <v>0</v>
      </c>
      <c r="I208" s="286">
        <f>data!AY66</f>
        <v>10866</v>
      </c>
    </row>
    <row r="209" spans="1:9" ht="20.149999999999999" customHeight="1" x14ac:dyDescent="0.35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0</v>
      </c>
      <c r="G209" s="286">
        <f>data!AW67</f>
        <v>0</v>
      </c>
      <c r="H209" s="286">
        <f>data!AX67</f>
        <v>0</v>
      </c>
      <c r="I209" s="286">
        <f>data!AY67</f>
        <v>44279</v>
      </c>
    </row>
    <row r="210" spans="1:9" ht="20.149999999999999" customHeight="1" x14ac:dyDescent="0.35">
      <c r="A210" s="278">
        <v>13</v>
      </c>
      <c r="B210" s="286" t="s">
        <v>977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0</v>
      </c>
    </row>
    <row r="211" spans="1:9" ht="20.149999999999999" customHeight="1" x14ac:dyDescent="0.35">
      <c r="A211" s="278">
        <v>14</v>
      </c>
      <c r="B211" s="286" t="s">
        <v>978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0</v>
      </c>
      <c r="G211" s="286">
        <f>data!AW69</f>
        <v>0</v>
      </c>
      <c r="H211" s="286">
        <f>data!AX69</f>
        <v>0</v>
      </c>
      <c r="I211" s="286">
        <f>data!AY69</f>
        <v>4474</v>
      </c>
    </row>
    <row r="212" spans="1:9" ht="20.149999999999999" customHeight="1" x14ac:dyDescent="0.35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0</v>
      </c>
    </row>
    <row r="213" spans="1:9" ht="20.149999999999999" customHeight="1" x14ac:dyDescent="0.35">
      <c r="A213" s="278">
        <v>16</v>
      </c>
      <c r="B213" s="294" t="s">
        <v>979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0</v>
      </c>
      <c r="G213" s="286">
        <f>data!AW85</f>
        <v>0</v>
      </c>
      <c r="H213" s="286">
        <f>data!AX85</f>
        <v>0</v>
      </c>
      <c r="I213" s="286">
        <f>data!AY85</f>
        <v>430377</v>
      </c>
    </row>
    <row r="214" spans="1:9" ht="20.149999999999999" customHeight="1" x14ac:dyDescent="0.35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49999999999999" customHeight="1" x14ac:dyDescent="0.35">
      <c r="A215" s="278">
        <v>18</v>
      </c>
      <c r="B215" s="286" t="s">
        <v>980</v>
      </c>
      <c r="C215" s="294">
        <f>+data!M710</f>
        <v>0</v>
      </c>
      <c r="D215" s="294">
        <f>+data!M711</f>
        <v>0</v>
      </c>
      <c r="E215" s="294">
        <f>+data!M712</f>
        <v>0</v>
      </c>
      <c r="F215" s="294">
        <f>+data!M713</f>
        <v>0</v>
      </c>
      <c r="G215" s="300"/>
      <c r="H215" s="286"/>
      <c r="I215" s="286"/>
    </row>
    <row r="216" spans="1:9" ht="20.149999999999999" customHeight="1" x14ac:dyDescent="0.35">
      <c r="A216" s="278">
        <v>19</v>
      </c>
      <c r="B216" s="294" t="s">
        <v>981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49999999999999" customHeight="1" x14ac:dyDescent="0.35">
      <c r="A217" s="278">
        <v>20</v>
      </c>
      <c r="B217" s="294" t="s">
        <v>982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0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49999999999999" customHeight="1" x14ac:dyDescent="0.35">
      <c r="A218" s="278">
        <v>21</v>
      </c>
      <c r="B218" s="294" t="s">
        <v>983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0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49999999999999" customHeight="1" x14ac:dyDescent="0.35">
      <c r="A219" s="278" t="s">
        <v>984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49999999999999" customHeight="1" x14ac:dyDescent="0.35">
      <c r="A220" s="278">
        <v>22</v>
      </c>
      <c r="B220" s="286" t="s">
        <v>985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0</v>
      </c>
      <c r="G220" s="286">
        <f>data!AW90</f>
        <v>0</v>
      </c>
      <c r="H220" s="286">
        <f>data!AX90</f>
        <v>0</v>
      </c>
      <c r="I220" s="286">
        <f>data!AY90</f>
        <v>2628</v>
      </c>
    </row>
    <row r="221" spans="1:9" ht="20.149999999999999" customHeight="1" x14ac:dyDescent="0.35">
      <c r="A221" s="278">
        <v>23</v>
      </c>
      <c r="B221" s="286" t="s">
        <v>986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49999999999999" customHeight="1" x14ac:dyDescent="0.35">
      <c r="A222" s="278">
        <v>24</v>
      </c>
      <c r="B222" s="286" t="s">
        <v>987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49999999999999" customHeight="1" x14ac:dyDescent="0.35">
      <c r="A223" s="278">
        <v>25</v>
      </c>
      <c r="B223" s="286" t="s">
        <v>988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49999999999999" customHeight="1" x14ac:dyDescent="0.35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49999999999999" customHeight="1" x14ac:dyDescent="0.35">
      <c r="A225" s="279" t="s">
        <v>970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49999999999999" customHeight="1" x14ac:dyDescent="0.35">
      <c r="D226" s="282"/>
      <c r="I226" s="283" t="s">
        <v>1011</v>
      </c>
    </row>
    <row r="227" spans="1:9" ht="20.149999999999999" customHeight="1" x14ac:dyDescent="0.35">
      <c r="A227" s="282"/>
    </row>
    <row r="228" spans="1:9" ht="20.149999999999999" customHeight="1" x14ac:dyDescent="0.35">
      <c r="A228" s="284" t="str">
        <f>"Hospital: "&amp;data!C98</f>
        <v>Hospital: Kittitas Valley Healthcare</v>
      </c>
      <c r="G228" s="285"/>
      <c r="H228" s="284" t="str">
        <f>"FYE: "&amp;data!C96</f>
        <v>FYE: 12/31/2022</v>
      </c>
    </row>
    <row r="229" spans="1:9" ht="20.149999999999999" customHeight="1" x14ac:dyDescent="0.35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49999999999999" customHeight="1" x14ac:dyDescent="0.35">
      <c r="A230" s="289">
        <v>2</v>
      </c>
      <c r="B230" s="290" t="s">
        <v>972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49999999999999" customHeight="1" x14ac:dyDescent="0.35">
      <c r="A231" s="289"/>
      <c r="B231" s="290"/>
      <c r="C231" s="292" t="s">
        <v>148</v>
      </c>
      <c r="D231" s="292" t="s">
        <v>201</v>
      </c>
      <c r="E231" s="292" t="s">
        <v>1012</v>
      </c>
      <c r="F231" s="292" t="s">
        <v>1013</v>
      </c>
      <c r="G231" s="292" t="s">
        <v>151</v>
      </c>
      <c r="H231" s="292" t="s">
        <v>152</v>
      </c>
      <c r="I231" s="292" t="s">
        <v>153</v>
      </c>
    </row>
    <row r="232" spans="1:9" ht="20.149999999999999" customHeight="1" x14ac:dyDescent="0.35">
      <c r="A232" s="278">
        <v>3</v>
      </c>
      <c r="B232" s="286" t="s">
        <v>976</v>
      </c>
      <c r="C232" s="288" t="s">
        <v>1014</v>
      </c>
      <c r="D232" s="288" t="s">
        <v>1015</v>
      </c>
      <c r="E232" s="298"/>
      <c r="F232" s="298"/>
      <c r="G232" s="298"/>
      <c r="H232" s="288" t="s">
        <v>245</v>
      </c>
      <c r="I232" s="298"/>
    </row>
    <row r="233" spans="1:9" ht="20.149999999999999" customHeight="1" x14ac:dyDescent="0.35">
      <c r="A233" s="278">
        <v>4</v>
      </c>
      <c r="B233" s="286" t="s">
        <v>246</v>
      </c>
      <c r="C233" s="286">
        <f>data!AZ59</f>
        <v>38735</v>
      </c>
      <c r="D233" s="286">
        <f>data!BA59</f>
        <v>0</v>
      </c>
      <c r="E233" s="298"/>
      <c r="F233" s="298"/>
      <c r="G233" s="298"/>
      <c r="H233" s="286">
        <f>data!BE59</f>
        <v>145897</v>
      </c>
      <c r="I233" s="298"/>
    </row>
    <row r="234" spans="1:9" ht="20.149999999999999" customHeight="1" x14ac:dyDescent="0.35">
      <c r="A234" s="278">
        <v>5</v>
      </c>
      <c r="B234" s="286" t="s">
        <v>247</v>
      </c>
      <c r="C234" s="293">
        <f>data!AZ60</f>
        <v>8.85</v>
      </c>
      <c r="D234" s="293">
        <f>data!BA60</f>
        <v>3.21</v>
      </c>
      <c r="E234" s="293">
        <f>data!BB60</f>
        <v>1.52</v>
      </c>
      <c r="F234" s="293">
        <f>data!BC60</f>
        <v>0</v>
      </c>
      <c r="G234" s="293">
        <f>data!BD60</f>
        <v>5.53</v>
      </c>
      <c r="H234" s="293">
        <f>data!BE60</f>
        <v>7.97</v>
      </c>
      <c r="I234" s="293">
        <f>data!BF60</f>
        <v>24.07</v>
      </c>
    </row>
    <row r="235" spans="1:9" ht="20.149999999999999" customHeight="1" x14ac:dyDescent="0.35">
      <c r="A235" s="278">
        <v>6</v>
      </c>
      <c r="B235" s="286" t="s">
        <v>248</v>
      </c>
      <c r="C235" s="286">
        <f>data!AZ61</f>
        <v>553595</v>
      </c>
      <c r="D235" s="286">
        <f>data!BA61</f>
        <v>187345</v>
      </c>
      <c r="E235" s="286">
        <f>data!BB61</f>
        <v>112271</v>
      </c>
      <c r="F235" s="286">
        <f>data!BC61</f>
        <v>0</v>
      </c>
      <c r="G235" s="286">
        <f>data!BD61</f>
        <v>332929</v>
      </c>
      <c r="H235" s="286">
        <f>data!BE61</f>
        <v>631967</v>
      </c>
      <c r="I235" s="286">
        <f>data!BF61</f>
        <v>1152514</v>
      </c>
    </row>
    <row r="236" spans="1:9" ht="20.149999999999999" customHeight="1" x14ac:dyDescent="0.35">
      <c r="A236" s="278">
        <v>7</v>
      </c>
      <c r="B236" s="286" t="s">
        <v>9</v>
      </c>
      <c r="C236" s="286">
        <f>data!AZ62</f>
        <v>132305</v>
      </c>
      <c r="D236" s="286">
        <f>data!BA62</f>
        <v>44774</v>
      </c>
      <c r="E236" s="286">
        <f>data!BB62</f>
        <v>26832</v>
      </c>
      <c r="F236" s="286">
        <f>data!BC62</f>
        <v>0</v>
      </c>
      <c r="G236" s="286">
        <f>data!BD62</f>
        <v>79567</v>
      </c>
      <c r="H236" s="286">
        <f>data!BE62</f>
        <v>151035</v>
      </c>
      <c r="I236" s="286">
        <f>data!BF62</f>
        <v>275442</v>
      </c>
    </row>
    <row r="237" spans="1:9" ht="20.149999999999999" customHeight="1" x14ac:dyDescent="0.35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ht="20.149999999999999" customHeight="1" x14ac:dyDescent="0.35">
      <c r="A238" s="278">
        <v>9</v>
      </c>
      <c r="B238" s="286" t="s">
        <v>250</v>
      </c>
      <c r="C238" s="286">
        <f>data!AZ64</f>
        <v>251303</v>
      </c>
      <c r="D238" s="286">
        <f>data!BA64</f>
        <v>590</v>
      </c>
      <c r="E238" s="286">
        <f>data!BB64</f>
        <v>946</v>
      </c>
      <c r="F238" s="286">
        <f>data!BC64</f>
        <v>0</v>
      </c>
      <c r="G238" s="286">
        <f>data!BD64</f>
        <v>-205346</v>
      </c>
      <c r="H238" s="286">
        <f>data!BE64</f>
        <v>85961</v>
      </c>
      <c r="I238" s="286">
        <f>data!BF64</f>
        <v>286584</v>
      </c>
    </row>
    <row r="239" spans="1:9" ht="20.149999999999999" customHeight="1" x14ac:dyDescent="0.35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125</v>
      </c>
      <c r="H239" s="286">
        <f>data!BE65</f>
        <v>853653</v>
      </c>
      <c r="I239" s="286">
        <f>data!BF65</f>
        <v>0</v>
      </c>
    </row>
    <row r="240" spans="1:9" ht="20.149999999999999" customHeight="1" x14ac:dyDescent="0.35">
      <c r="A240" s="278">
        <v>11</v>
      </c>
      <c r="B240" s="286" t="s">
        <v>498</v>
      </c>
      <c r="C240" s="286">
        <f>data!AZ66</f>
        <v>0</v>
      </c>
      <c r="D240" s="286">
        <f>data!BA66</f>
        <v>538</v>
      </c>
      <c r="E240" s="286">
        <f>data!BB66</f>
        <v>11287</v>
      </c>
      <c r="F240" s="286">
        <f>data!BC66</f>
        <v>0</v>
      </c>
      <c r="G240" s="286">
        <f>data!BD66</f>
        <v>95129</v>
      </c>
      <c r="H240" s="286">
        <f>data!BE66</f>
        <v>1819267</v>
      </c>
      <c r="I240" s="286">
        <f>data!BF66</f>
        <v>130908</v>
      </c>
    </row>
    <row r="241" spans="1:9" ht="20.149999999999999" customHeight="1" x14ac:dyDescent="0.35">
      <c r="A241" s="278">
        <v>12</v>
      </c>
      <c r="B241" s="286" t="s">
        <v>11</v>
      </c>
      <c r="C241" s="286">
        <f>data!AZ67</f>
        <v>25873</v>
      </c>
      <c r="D241" s="286">
        <f>data!BA67</f>
        <v>17806</v>
      </c>
      <c r="E241" s="286">
        <f>data!BB67</f>
        <v>2896</v>
      </c>
      <c r="F241" s="286">
        <f>data!BC67</f>
        <v>0</v>
      </c>
      <c r="G241" s="286">
        <f>data!BD67</f>
        <v>42041</v>
      </c>
      <c r="H241" s="286">
        <f>data!BE67</f>
        <v>139632</v>
      </c>
      <c r="I241" s="286">
        <f>data!BF67</f>
        <v>7193</v>
      </c>
    </row>
    <row r="242" spans="1:9" ht="20.149999999999999" customHeight="1" x14ac:dyDescent="0.35">
      <c r="A242" s="278">
        <v>13</v>
      </c>
      <c r="B242" s="286" t="s">
        <v>977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0</v>
      </c>
      <c r="I242" s="286">
        <f>data!BF68</f>
        <v>0</v>
      </c>
    </row>
    <row r="243" spans="1:9" ht="20.149999999999999" customHeight="1" x14ac:dyDescent="0.35">
      <c r="A243" s="278">
        <v>14</v>
      </c>
      <c r="B243" s="286" t="s">
        <v>978</v>
      </c>
      <c r="C243" s="286">
        <f>data!AZ69</f>
        <v>0</v>
      </c>
      <c r="D243" s="286">
        <f>data!BA69</f>
        <v>0</v>
      </c>
      <c r="E243" s="286">
        <f>data!BB69</f>
        <v>813</v>
      </c>
      <c r="F243" s="286">
        <f>data!BC69</f>
        <v>0</v>
      </c>
      <c r="G243" s="286">
        <f>data!BD69</f>
        <v>972</v>
      </c>
      <c r="H243" s="286">
        <f>data!BE69</f>
        <v>12797</v>
      </c>
      <c r="I243" s="286">
        <f>data!BF69</f>
        <v>32</v>
      </c>
    </row>
    <row r="244" spans="1:9" ht="20.149999999999999" customHeight="1" x14ac:dyDescent="0.35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49999999999999" customHeight="1" x14ac:dyDescent="0.35">
      <c r="A245" s="278">
        <v>16</v>
      </c>
      <c r="B245" s="294" t="s">
        <v>979</v>
      </c>
      <c r="C245" s="286">
        <f>data!AZ85</f>
        <v>963076</v>
      </c>
      <c r="D245" s="286">
        <f>data!BA85</f>
        <v>251053</v>
      </c>
      <c r="E245" s="286">
        <f>data!BB85</f>
        <v>155045</v>
      </c>
      <c r="F245" s="286">
        <f>data!BC85</f>
        <v>0</v>
      </c>
      <c r="G245" s="286">
        <f>data!BD85</f>
        <v>345417</v>
      </c>
      <c r="H245" s="286">
        <f>data!BE85</f>
        <v>3694312</v>
      </c>
      <c r="I245" s="286">
        <f>data!BF85</f>
        <v>1852673</v>
      </c>
    </row>
    <row r="246" spans="1:9" ht="20.149999999999999" customHeight="1" x14ac:dyDescent="0.35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49999999999999" customHeight="1" x14ac:dyDescent="0.35">
      <c r="A247" s="278">
        <v>18</v>
      </c>
      <c r="B247" s="286" t="s">
        <v>980</v>
      </c>
      <c r="C247" s="286"/>
      <c r="D247" s="286"/>
      <c r="E247" s="286"/>
      <c r="F247" s="286"/>
      <c r="G247" s="286"/>
      <c r="H247" s="286"/>
      <c r="I247" s="286"/>
    </row>
    <row r="248" spans="1:9" ht="20.149999999999999" customHeight="1" x14ac:dyDescent="0.35">
      <c r="A248" s="278">
        <v>19</v>
      </c>
      <c r="B248" s="294" t="s">
        <v>981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49999999999999" customHeight="1" x14ac:dyDescent="0.35">
      <c r="A249" s="278">
        <v>20</v>
      </c>
      <c r="B249" s="294" t="s">
        <v>982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49999999999999" customHeight="1" x14ac:dyDescent="0.35">
      <c r="A250" s="278">
        <v>21</v>
      </c>
      <c r="B250" s="294" t="s">
        <v>983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49999999999999" customHeight="1" x14ac:dyDescent="0.35">
      <c r="A251" s="278" t="s">
        <v>984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49999999999999" customHeight="1" x14ac:dyDescent="0.35">
      <c r="A252" s="278">
        <v>22</v>
      </c>
      <c r="B252" s="286" t="s">
        <v>985</v>
      </c>
      <c r="C252" s="302">
        <f>data!AZ90</f>
        <v>1930</v>
      </c>
      <c r="D252" s="302">
        <f>data!BA90</f>
        <v>855</v>
      </c>
      <c r="E252" s="302">
        <f>data!BB90</f>
        <v>216</v>
      </c>
      <c r="F252" s="302">
        <f>data!BC90</f>
        <v>0</v>
      </c>
      <c r="G252" s="302">
        <f>data!BD90</f>
        <v>3136</v>
      </c>
      <c r="H252" s="302">
        <f>data!BE90</f>
        <v>5182</v>
      </c>
      <c r="I252" s="302">
        <f>data!BF90</f>
        <v>343</v>
      </c>
    </row>
    <row r="253" spans="1:9" ht="20.149999999999999" customHeight="1" x14ac:dyDescent="0.35">
      <c r="A253" s="278">
        <v>23</v>
      </c>
      <c r="B253" s="286" t="s">
        <v>986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49999999999999" customHeight="1" x14ac:dyDescent="0.35">
      <c r="A254" s="278">
        <v>24</v>
      </c>
      <c r="B254" s="286" t="s">
        <v>987</v>
      </c>
      <c r="C254" s="301" t="str">
        <f>IF(data!AZ78&gt;0,data!AZ78,"")</f>
        <v/>
      </c>
      <c r="D254" s="302">
        <f>data!BA92</f>
        <v>360</v>
      </c>
      <c r="E254" s="302">
        <f>data!BB92</f>
        <v>360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49999999999999" customHeight="1" x14ac:dyDescent="0.35">
      <c r="A255" s="278">
        <v>25</v>
      </c>
      <c r="B255" s="286" t="s">
        <v>988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49999999999999" customHeight="1" x14ac:dyDescent="0.35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49999999999999" customHeight="1" x14ac:dyDescent="0.35">
      <c r="A257" s="279" t="s">
        <v>970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49999999999999" customHeight="1" x14ac:dyDescent="0.35">
      <c r="D258" s="282"/>
      <c r="I258" s="283" t="s">
        <v>1016</v>
      </c>
    </row>
    <row r="259" spans="1:9" ht="20.149999999999999" customHeight="1" x14ac:dyDescent="0.35">
      <c r="A259" s="282"/>
    </row>
    <row r="260" spans="1:9" ht="20.149999999999999" customHeight="1" x14ac:dyDescent="0.35">
      <c r="A260" s="284" t="str">
        <f>"Hospital: "&amp;data!C98</f>
        <v>Hospital: Kittitas Valley Healthcare</v>
      </c>
      <c r="G260" s="285"/>
      <c r="H260" s="284" t="str">
        <f>"FYE: "&amp;data!C96</f>
        <v>FYE: 12/31/2022</v>
      </c>
    </row>
    <row r="261" spans="1:9" ht="20.149999999999999" customHeight="1" x14ac:dyDescent="0.35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49999999999999" customHeight="1" x14ac:dyDescent="0.35">
      <c r="A262" s="289">
        <v>2</v>
      </c>
      <c r="B262" s="290" t="s">
        <v>972</v>
      </c>
      <c r="C262" s="292" t="s">
        <v>1017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49999999999999" customHeight="1" x14ac:dyDescent="0.35">
      <c r="A263" s="289"/>
      <c r="B263" s="290"/>
      <c r="C263" s="292" t="s">
        <v>1018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1019</v>
      </c>
    </row>
    <row r="264" spans="1:9" ht="20.149999999999999" customHeight="1" x14ac:dyDescent="0.35">
      <c r="A264" s="278">
        <v>3</v>
      </c>
      <c r="B264" s="286" t="s">
        <v>976</v>
      </c>
      <c r="C264" s="298"/>
      <c r="D264" s="298"/>
      <c r="E264" s="298"/>
      <c r="F264" s="298"/>
      <c r="G264" s="298"/>
      <c r="H264" s="298"/>
      <c r="I264" s="298"/>
    </row>
    <row r="265" spans="1:9" ht="20.149999999999999" customHeight="1" x14ac:dyDescent="0.35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49999999999999" customHeight="1" x14ac:dyDescent="0.35">
      <c r="A266" s="278">
        <v>5</v>
      </c>
      <c r="B266" s="286" t="s">
        <v>247</v>
      </c>
      <c r="C266" s="293">
        <f>data!BG60</f>
        <v>0</v>
      </c>
      <c r="D266" s="293">
        <f>data!BH60</f>
        <v>17.649999999999999</v>
      </c>
      <c r="E266" s="293">
        <f>data!BI60</f>
        <v>0</v>
      </c>
      <c r="F266" s="293">
        <f>data!BJ60</f>
        <v>6.98</v>
      </c>
      <c r="G266" s="293">
        <f>data!BK60</f>
        <v>21.05</v>
      </c>
      <c r="H266" s="293">
        <f>data!BL60</f>
        <v>17.21</v>
      </c>
      <c r="I266" s="293">
        <f>data!BM60</f>
        <v>0</v>
      </c>
    </row>
    <row r="267" spans="1:9" ht="20.149999999999999" customHeight="1" x14ac:dyDescent="0.35">
      <c r="A267" s="278">
        <v>6</v>
      </c>
      <c r="B267" s="286" t="s">
        <v>248</v>
      </c>
      <c r="C267" s="286">
        <f>data!BG61</f>
        <v>0</v>
      </c>
      <c r="D267" s="286">
        <f>data!BH61</f>
        <v>1734318</v>
      </c>
      <c r="E267" s="286">
        <f>data!BI61</f>
        <v>0</v>
      </c>
      <c r="F267" s="286">
        <f>data!BJ61</f>
        <v>605035</v>
      </c>
      <c r="G267" s="286">
        <f>data!BK61</f>
        <v>1201432</v>
      </c>
      <c r="H267" s="286">
        <f>data!BL61</f>
        <v>817375</v>
      </c>
      <c r="I267" s="286">
        <f>data!BM61</f>
        <v>0</v>
      </c>
    </row>
    <row r="268" spans="1:9" ht="20.149999999999999" customHeight="1" x14ac:dyDescent="0.35">
      <c r="A268" s="278">
        <v>7</v>
      </c>
      <c r="B268" s="286" t="s">
        <v>9</v>
      </c>
      <c r="C268" s="286">
        <f>data!BG62</f>
        <v>0</v>
      </c>
      <c r="D268" s="286">
        <f>data!BH62</f>
        <v>414489</v>
      </c>
      <c r="E268" s="286">
        <f>data!BI62</f>
        <v>0</v>
      </c>
      <c r="F268" s="286">
        <f>data!BJ62</f>
        <v>144599</v>
      </c>
      <c r="G268" s="286">
        <f>data!BK62</f>
        <v>287133</v>
      </c>
      <c r="H268" s="286">
        <f>data!BL62</f>
        <v>195346</v>
      </c>
      <c r="I268" s="286">
        <f>data!BM62</f>
        <v>0</v>
      </c>
    </row>
    <row r="269" spans="1:9" ht="20.149999999999999" customHeight="1" x14ac:dyDescent="0.35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102245</v>
      </c>
      <c r="G269" s="286">
        <f>data!BK63</f>
        <v>15600</v>
      </c>
      <c r="H269" s="286">
        <f>data!BL63</f>
        <v>0</v>
      </c>
      <c r="I269" s="286">
        <f>data!BM63</f>
        <v>0</v>
      </c>
    </row>
    <row r="270" spans="1:9" ht="20.149999999999999" customHeight="1" x14ac:dyDescent="0.35">
      <c r="A270" s="278">
        <v>9</v>
      </c>
      <c r="B270" s="286" t="s">
        <v>250</v>
      </c>
      <c r="C270" s="286">
        <f>data!BG64</f>
        <v>0</v>
      </c>
      <c r="D270" s="286">
        <f>data!BH64</f>
        <v>407888</v>
      </c>
      <c r="E270" s="286">
        <f>data!BI64</f>
        <v>0</v>
      </c>
      <c r="F270" s="286">
        <f>data!BJ64</f>
        <v>8804</v>
      </c>
      <c r="G270" s="286">
        <f>data!BK64</f>
        <v>3760</v>
      </c>
      <c r="H270" s="286">
        <f>data!BL64</f>
        <v>23000</v>
      </c>
      <c r="I270" s="286">
        <f>data!BM64</f>
        <v>0</v>
      </c>
    </row>
    <row r="271" spans="1:9" ht="20.149999999999999" customHeight="1" x14ac:dyDescent="0.35">
      <c r="A271" s="278">
        <v>10</v>
      </c>
      <c r="B271" s="286" t="s">
        <v>497</v>
      </c>
      <c r="C271" s="286">
        <f>data!BG65</f>
        <v>0</v>
      </c>
      <c r="D271" s="286">
        <f>data!BH65</f>
        <v>115665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ht="20.149999999999999" customHeight="1" x14ac:dyDescent="0.35">
      <c r="A272" s="278">
        <v>11</v>
      </c>
      <c r="B272" s="286" t="s">
        <v>498</v>
      </c>
      <c r="C272" s="286">
        <f>data!BG66</f>
        <v>0</v>
      </c>
      <c r="D272" s="286">
        <f>data!BH66</f>
        <v>2652587</v>
      </c>
      <c r="E272" s="286">
        <f>data!BI66</f>
        <v>0</v>
      </c>
      <c r="F272" s="286">
        <f>data!BJ66</f>
        <v>395207</v>
      </c>
      <c r="G272" s="286">
        <f>data!BK66</f>
        <v>708444</v>
      </c>
      <c r="H272" s="286">
        <f>data!BL66</f>
        <v>62458</v>
      </c>
      <c r="I272" s="286">
        <f>data!BM66</f>
        <v>0</v>
      </c>
    </row>
    <row r="273" spans="1:9" ht="20.149999999999999" customHeight="1" x14ac:dyDescent="0.35">
      <c r="A273" s="278">
        <v>12</v>
      </c>
      <c r="B273" s="286" t="s">
        <v>11</v>
      </c>
      <c r="C273" s="286">
        <f>data!BG67</f>
        <v>0</v>
      </c>
      <c r="D273" s="286">
        <f>data!BH67</f>
        <v>1036683</v>
      </c>
      <c r="E273" s="286">
        <f>data!BI67</f>
        <v>0</v>
      </c>
      <c r="F273" s="286">
        <f>data!BJ67</f>
        <v>9642</v>
      </c>
      <c r="G273" s="286">
        <f>data!BK67</f>
        <v>109797</v>
      </c>
      <c r="H273" s="286">
        <f>data!BL67</f>
        <v>5644</v>
      </c>
      <c r="I273" s="286">
        <f>data!BM67</f>
        <v>0</v>
      </c>
    </row>
    <row r="274" spans="1:9" ht="20.149999999999999" customHeight="1" x14ac:dyDescent="0.35">
      <c r="A274" s="278">
        <v>13</v>
      </c>
      <c r="B274" s="286" t="s">
        <v>977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ht="20.149999999999999" customHeight="1" x14ac:dyDescent="0.35">
      <c r="A275" s="278">
        <v>14</v>
      </c>
      <c r="B275" s="286" t="s">
        <v>978</v>
      </c>
      <c r="C275" s="286">
        <f>data!BG69</f>
        <v>0</v>
      </c>
      <c r="D275" s="286">
        <f>data!BH69</f>
        <v>9276</v>
      </c>
      <c r="E275" s="286">
        <f>data!BI69</f>
        <v>0</v>
      </c>
      <c r="F275" s="286">
        <f>data!BJ69</f>
        <v>45128</v>
      </c>
      <c r="G275" s="286">
        <f>data!BK69</f>
        <v>100207</v>
      </c>
      <c r="H275" s="286">
        <f>data!BL69</f>
        <v>1956</v>
      </c>
      <c r="I275" s="286">
        <f>data!BM69</f>
        <v>0</v>
      </c>
    </row>
    <row r="276" spans="1:9" ht="20.149999999999999" customHeight="1" x14ac:dyDescent="0.35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49999999999999" customHeight="1" x14ac:dyDescent="0.35">
      <c r="A277" s="278">
        <v>16</v>
      </c>
      <c r="B277" s="294" t="s">
        <v>979</v>
      </c>
      <c r="C277" s="286">
        <f>data!BG85</f>
        <v>0</v>
      </c>
      <c r="D277" s="286">
        <f>data!BH85</f>
        <v>6370906</v>
      </c>
      <c r="E277" s="286">
        <f>data!BI85</f>
        <v>0</v>
      </c>
      <c r="F277" s="286">
        <f>data!BJ85</f>
        <v>1310660</v>
      </c>
      <c r="G277" s="286">
        <f>data!BK85</f>
        <v>2426373</v>
      </c>
      <c r="H277" s="286">
        <f>data!BL85</f>
        <v>1105779</v>
      </c>
      <c r="I277" s="286">
        <f>data!BM85</f>
        <v>0</v>
      </c>
    </row>
    <row r="278" spans="1:9" ht="20.149999999999999" customHeight="1" x14ac:dyDescent="0.35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49999999999999" customHeight="1" x14ac:dyDescent="0.35">
      <c r="A279" s="278">
        <v>18</v>
      </c>
      <c r="B279" s="286" t="s">
        <v>980</v>
      </c>
      <c r="C279" s="286"/>
      <c r="D279" s="286"/>
      <c r="E279" s="286"/>
      <c r="F279" s="286"/>
      <c r="G279" s="286"/>
      <c r="H279" s="286"/>
      <c r="I279" s="286"/>
    </row>
    <row r="280" spans="1:9" ht="20.149999999999999" customHeight="1" x14ac:dyDescent="0.35">
      <c r="A280" s="278">
        <v>19</v>
      </c>
      <c r="B280" s="294" t="s">
        <v>981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49999999999999" customHeight="1" x14ac:dyDescent="0.35">
      <c r="A281" s="278">
        <v>20</v>
      </c>
      <c r="B281" s="294" t="s">
        <v>982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49999999999999" customHeight="1" x14ac:dyDescent="0.35">
      <c r="A282" s="278">
        <v>21</v>
      </c>
      <c r="B282" s="294" t="s">
        <v>983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49999999999999" customHeight="1" x14ac:dyDescent="0.35">
      <c r="A283" s="278" t="s">
        <v>984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49999999999999" customHeight="1" x14ac:dyDescent="0.35">
      <c r="A284" s="278">
        <v>22</v>
      </c>
      <c r="B284" s="286" t="s">
        <v>985</v>
      </c>
      <c r="C284" s="302">
        <f>data!BG90</f>
        <v>0</v>
      </c>
      <c r="D284" s="302">
        <f>data!BH90</f>
        <v>3456</v>
      </c>
      <c r="E284" s="302">
        <f>data!BI90</f>
        <v>0</v>
      </c>
      <c r="F284" s="302">
        <f>data!BJ90</f>
        <v>664</v>
      </c>
      <c r="G284" s="302">
        <f>data!BK90</f>
        <v>7998</v>
      </c>
      <c r="H284" s="302">
        <f>data!BL90</f>
        <v>421</v>
      </c>
      <c r="I284" s="302">
        <f>data!BM90</f>
        <v>0</v>
      </c>
    </row>
    <row r="285" spans="1:9" ht="20.149999999999999" customHeight="1" x14ac:dyDescent="0.35">
      <c r="A285" s="278">
        <v>23</v>
      </c>
      <c r="B285" s="286" t="s">
        <v>986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49999999999999" customHeight="1" x14ac:dyDescent="0.35">
      <c r="A286" s="278">
        <v>24</v>
      </c>
      <c r="B286" s="286" t="s">
        <v>987</v>
      </c>
      <c r="C286" s="301" t="str">
        <f>IF(data!BG78&gt;0,data!BG78,"")</f>
        <v/>
      </c>
      <c r="D286" s="302">
        <f>data!BH92</f>
        <v>1000</v>
      </c>
      <c r="E286" s="302">
        <f>data!BI92</f>
        <v>0</v>
      </c>
      <c r="F286" s="301" t="str">
        <f>IF(data!BJ78&gt;0,data!BJ78,"")</f>
        <v/>
      </c>
      <c r="G286" s="302">
        <f>data!BK92</f>
        <v>1040</v>
      </c>
      <c r="H286" s="302">
        <f>data!BL92</f>
        <v>360</v>
      </c>
      <c r="I286" s="302">
        <f>data!BM92</f>
        <v>0</v>
      </c>
    </row>
    <row r="287" spans="1:9" ht="20.149999999999999" customHeight="1" x14ac:dyDescent="0.35">
      <c r="A287" s="278">
        <v>25</v>
      </c>
      <c r="B287" s="286" t="s">
        <v>988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49999999999999" customHeight="1" x14ac:dyDescent="0.35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49999999999999" customHeight="1" x14ac:dyDescent="0.35">
      <c r="A289" s="279" t="s">
        <v>970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49999999999999" customHeight="1" x14ac:dyDescent="0.35">
      <c r="D290" s="282"/>
      <c r="I290" s="283" t="s">
        <v>1020</v>
      </c>
    </row>
    <row r="291" spans="1:9" ht="20.149999999999999" customHeight="1" x14ac:dyDescent="0.35">
      <c r="A291" s="282"/>
    </row>
    <row r="292" spans="1:9" ht="20.149999999999999" customHeight="1" x14ac:dyDescent="0.35">
      <c r="A292" s="284" t="str">
        <f>"Hospital: "&amp;data!C98</f>
        <v>Hospital: Kittitas Valley Healthcare</v>
      </c>
      <c r="G292" s="285"/>
      <c r="H292" s="284" t="str">
        <f>"FYE: "&amp;data!C96</f>
        <v>FYE: 12/31/2022</v>
      </c>
    </row>
    <row r="293" spans="1:9" ht="20.149999999999999" customHeight="1" x14ac:dyDescent="0.35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49999999999999" customHeight="1" x14ac:dyDescent="0.35">
      <c r="A294" s="289">
        <v>2</v>
      </c>
      <c r="B294" s="290" t="s">
        <v>972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49999999999999" customHeight="1" x14ac:dyDescent="0.35">
      <c r="A295" s="289"/>
      <c r="B295" s="290"/>
      <c r="C295" s="292" t="s">
        <v>1021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49999999999999" customHeight="1" x14ac:dyDescent="0.35">
      <c r="A296" s="278">
        <v>3</v>
      </c>
      <c r="B296" s="286" t="s">
        <v>976</v>
      </c>
      <c r="C296" s="298"/>
      <c r="D296" s="298"/>
      <c r="E296" s="298"/>
      <c r="F296" s="298"/>
      <c r="G296" s="298"/>
      <c r="H296" s="298"/>
      <c r="I296" s="298"/>
    </row>
    <row r="297" spans="1:9" ht="20.149999999999999" customHeight="1" x14ac:dyDescent="0.35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49999999999999" customHeight="1" x14ac:dyDescent="0.35">
      <c r="A298" s="278">
        <v>5</v>
      </c>
      <c r="B298" s="286" t="s">
        <v>247</v>
      </c>
      <c r="C298" s="293">
        <f>data!BN60</f>
        <v>7.25</v>
      </c>
      <c r="D298" s="293">
        <f>data!BO60</f>
        <v>2.85</v>
      </c>
      <c r="E298" s="293">
        <f>data!BP60</f>
        <v>3.89</v>
      </c>
      <c r="F298" s="293">
        <f>data!BQ60</f>
        <v>0</v>
      </c>
      <c r="G298" s="293">
        <f>data!BR60</f>
        <v>8.1999999999999993</v>
      </c>
      <c r="H298" s="293">
        <f>data!BS60</f>
        <v>0</v>
      </c>
      <c r="I298" s="293">
        <f>data!BT60</f>
        <v>0</v>
      </c>
    </row>
    <row r="299" spans="1:9" ht="20.149999999999999" customHeight="1" x14ac:dyDescent="0.35">
      <c r="A299" s="278">
        <v>6</v>
      </c>
      <c r="B299" s="286" t="s">
        <v>248</v>
      </c>
      <c r="C299" s="286">
        <f>data!BN61</f>
        <v>1188870</v>
      </c>
      <c r="D299" s="286">
        <f>data!BO61</f>
        <v>246444</v>
      </c>
      <c r="E299" s="286">
        <f>data!BP61</f>
        <v>389523</v>
      </c>
      <c r="F299" s="286">
        <f>data!BQ61</f>
        <v>0</v>
      </c>
      <c r="G299" s="286">
        <f>data!BR61</f>
        <v>689292</v>
      </c>
      <c r="H299" s="286">
        <f>data!BS61</f>
        <v>0</v>
      </c>
      <c r="I299" s="286">
        <f>data!BT61</f>
        <v>0</v>
      </c>
    </row>
    <row r="300" spans="1:9" ht="20.149999999999999" customHeight="1" x14ac:dyDescent="0.35">
      <c r="A300" s="278">
        <v>7</v>
      </c>
      <c r="B300" s="286" t="s">
        <v>9</v>
      </c>
      <c r="C300" s="286">
        <f>data!BN62</f>
        <v>284131</v>
      </c>
      <c r="D300" s="286">
        <f>data!BO62</f>
        <v>58898</v>
      </c>
      <c r="E300" s="286">
        <f>data!BP62</f>
        <v>93093</v>
      </c>
      <c r="F300" s="286">
        <f>data!BQ62</f>
        <v>0</v>
      </c>
      <c r="G300" s="286">
        <f>data!BR62</f>
        <v>164735</v>
      </c>
      <c r="H300" s="286">
        <f>data!BS62</f>
        <v>0</v>
      </c>
      <c r="I300" s="286">
        <f>data!BT62</f>
        <v>0</v>
      </c>
    </row>
    <row r="301" spans="1:9" ht="20.149999999999999" customHeight="1" x14ac:dyDescent="0.35">
      <c r="A301" s="278">
        <v>8</v>
      </c>
      <c r="B301" s="286" t="s">
        <v>249</v>
      </c>
      <c r="C301" s="286">
        <f>data!BN63</f>
        <v>158657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22424</v>
      </c>
      <c r="H301" s="286">
        <f>data!BS63</f>
        <v>0</v>
      </c>
      <c r="I301" s="286">
        <f>data!BT63</f>
        <v>0</v>
      </c>
    </row>
    <row r="302" spans="1:9" ht="20.149999999999999" customHeight="1" x14ac:dyDescent="0.35">
      <c r="A302" s="278">
        <v>9</v>
      </c>
      <c r="B302" s="286" t="s">
        <v>250</v>
      </c>
      <c r="C302" s="286">
        <f>data!BN64</f>
        <v>34601</v>
      </c>
      <c r="D302" s="286">
        <f>data!BO64</f>
        <v>9241</v>
      </c>
      <c r="E302" s="286">
        <f>data!BP64</f>
        <v>7649</v>
      </c>
      <c r="F302" s="286">
        <f>data!BQ64</f>
        <v>0</v>
      </c>
      <c r="G302" s="286">
        <f>data!BR64</f>
        <v>13986</v>
      </c>
      <c r="H302" s="286">
        <f>data!BS64</f>
        <v>0</v>
      </c>
      <c r="I302" s="286">
        <f>data!BT64</f>
        <v>0</v>
      </c>
    </row>
    <row r="303" spans="1:9" ht="20.149999999999999" customHeight="1" x14ac:dyDescent="0.35">
      <c r="A303" s="278">
        <v>10</v>
      </c>
      <c r="B303" s="286" t="s">
        <v>497</v>
      </c>
      <c r="C303" s="286">
        <f>data!BN65</f>
        <v>0</v>
      </c>
      <c r="D303" s="286">
        <f>data!BO65</f>
        <v>2531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ht="20.149999999999999" customHeight="1" x14ac:dyDescent="0.35">
      <c r="A304" s="278">
        <v>11</v>
      </c>
      <c r="B304" s="286" t="s">
        <v>498</v>
      </c>
      <c r="C304" s="286">
        <f>data!BN66</f>
        <v>48007</v>
      </c>
      <c r="D304" s="286">
        <f>data!BO66</f>
        <v>66168</v>
      </c>
      <c r="E304" s="286">
        <f>data!BP66</f>
        <v>21163</v>
      </c>
      <c r="F304" s="286">
        <f>data!BQ66</f>
        <v>0</v>
      </c>
      <c r="G304" s="286">
        <f>data!BR66</f>
        <v>177365</v>
      </c>
      <c r="H304" s="286">
        <f>data!BS66</f>
        <v>0</v>
      </c>
      <c r="I304" s="286">
        <f>data!BT66</f>
        <v>0</v>
      </c>
    </row>
    <row r="305" spans="1:9" ht="20.149999999999999" customHeight="1" x14ac:dyDescent="0.35">
      <c r="A305" s="278">
        <v>12</v>
      </c>
      <c r="B305" s="286" t="s">
        <v>11</v>
      </c>
      <c r="C305" s="286">
        <f>data!BN67</f>
        <v>325089</v>
      </c>
      <c r="D305" s="286">
        <f>data!BO67</f>
        <v>43900</v>
      </c>
      <c r="E305" s="286">
        <f>data!BP67</f>
        <v>5215</v>
      </c>
      <c r="F305" s="286">
        <f>data!BQ67</f>
        <v>0</v>
      </c>
      <c r="G305" s="286">
        <f>data!BR67</f>
        <v>16358</v>
      </c>
      <c r="H305" s="286">
        <f>data!BS67</f>
        <v>0</v>
      </c>
      <c r="I305" s="286">
        <f>data!BT67</f>
        <v>0</v>
      </c>
    </row>
    <row r="306" spans="1:9" ht="20.149999999999999" customHeight="1" x14ac:dyDescent="0.35">
      <c r="A306" s="278">
        <v>13</v>
      </c>
      <c r="B306" s="286" t="s">
        <v>977</v>
      </c>
      <c r="C306" s="286">
        <f>data!BN68</f>
        <v>0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49999999999999" customHeight="1" x14ac:dyDescent="0.35">
      <c r="A307" s="278">
        <v>14</v>
      </c>
      <c r="B307" s="286" t="s">
        <v>978</v>
      </c>
      <c r="C307" s="286">
        <f>data!BN69</f>
        <v>208149</v>
      </c>
      <c r="D307" s="286">
        <f>data!BO69</f>
        <v>84652</v>
      </c>
      <c r="E307" s="286">
        <f>data!BP69</f>
        <v>250483</v>
      </c>
      <c r="F307" s="286">
        <f>data!BQ69</f>
        <v>0</v>
      </c>
      <c r="G307" s="286">
        <f>data!BR69</f>
        <v>36024</v>
      </c>
      <c r="H307" s="286">
        <f>data!BS69</f>
        <v>0</v>
      </c>
      <c r="I307" s="286">
        <f>data!BT69</f>
        <v>0</v>
      </c>
    </row>
    <row r="308" spans="1:9" ht="20.149999999999999" customHeight="1" x14ac:dyDescent="0.35">
      <c r="A308" s="278">
        <v>15</v>
      </c>
      <c r="B308" s="286" t="s">
        <v>269</v>
      </c>
      <c r="C308" s="286">
        <f>-data!BN84</f>
        <v>0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49999999999999" customHeight="1" x14ac:dyDescent="0.35">
      <c r="A309" s="278">
        <v>16</v>
      </c>
      <c r="B309" s="294" t="s">
        <v>979</v>
      </c>
      <c r="C309" s="286">
        <f>data!BN85</f>
        <v>2247504</v>
      </c>
      <c r="D309" s="286">
        <f>data!BO85</f>
        <v>511834</v>
      </c>
      <c r="E309" s="286">
        <f>data!BP85</f>
        <v>767126</v>
      </c>
      <c r="F309" s="286">
        <f>data!BQ85</f>
        <v>0</v>
      </c>
      <c r="G309" s="286">
        <f>data!BR85</f>
        <v>1120184</v>
      </c>
      <c r="H309" s="286">
        <f>data!BS85</f>
        <v>0</v>
      </c>
      <c r="I309" s="286">
        <f>data!BT85</f>
        <v>0</v>
      </c>
    </row>
    <row r="310" spans="1:9" ht="20.149999999999999" customHeight="1" x14ac:dyDescent="0.35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49999999999999" customHeight="1" x14ac:dyDescent="0.35">
      <c r="A311" s="278">
        <v>18</v>
      </c>
      <c r="B311" s="286" t="s">
        <v>980</v>
      </c>
      <c r="C311" s="286"/>
      <c r="D311" s="286"/>
      <c r="E311" s="286"/>
      <c r="F311" s="286"/>
      <c r="G311" s="286"/>
      <c r="H311" s="286"/>
      <c r="I311" s="286"/>
    </row>
    <row r="312" spans="1:9" ht="20.149999999999999" customHeight="1" x14ac:dyDescent="0.35">
      <c r="A312" s="278">
        <v>19</v>
      </c>
      <c r="B312" s="294" t="s">
        <v>981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49999999999999" customHeight="1" x14ac:dyDescent="0.35">
      <c r="A313" s="278">
        <v>20</v>
      </c>
      <c r="B313" s="294" t="s">
        <v>982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49999999999999" customHeight="1" x14ac:dyDescent="0.35">
      <c r="A314" s="278">
        <v>21</v>
      </c>
      <c r="B314" s="294" t="s">
        <v>983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49999999999999" customHeight="1" x14ac:dyDescent="0.35">
      <c r="A315" s="278" t="s">
        <v>984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49999999999999" customHeight="1" x14ac:dyDescent="0.35">
      <c r="A316" s="278">
        <v>22</v>
      </c>
      <c r="B316" s="286" t="s">
        <v>985</v>
      </c>
      <c r="C316" s="302">
        <f>data!BN90</f>
        <v>20248</v>
      </c>
      <c r="D316" s="302">
        <f>data!BO90</f>
        <v>360</v>
      </c>
      <c r="E316" s="302">
        <f>data!BP90</f>
        <v>389</v>
      </c>
      <c r="F316" s="302">
        <f>data!BQ90</f>
        <v>0</v>
      </c>
      <c r="G316" s="302">
        <f>data!BR90</f>
        <v>1023</v>
      </c>
      <c r="H316" s="302">
        <f>data!BS90</f>
        <v>0</v>
      </c>
      <c r="I316" s="302">
        <f>data!BT90</f>
        <v>0</v>
      </c>
    </row>
    <row r="317" spans="1:9" ht="20.149999999999999" customHeight="1" x14ac:dyDescent="0.35">
      <c r="A317" s="278">
        <v>23</v>
      </c>
      <c r="B317" s="286" t="s">
        <v>986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49999999999999" customHeight="1" x14ac:dyDescent="0.35">
      <c r="A318" s="278">
        <v>24</v>
      </c>
      <c r="B318" s="286" t="s">
        <v>987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49999999999999" customHeight="1" x14ac:dyDescent="0.35">
      <c r="A319" s="278">
        <v>25</v>
      </c>
      <c r="B319" s="286" t="s">
        <v>988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49999999999999" customHeight="1" x14ac:dyDescent="0.35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49999999999999" customHeight="1" x14ac:dyDescent="0.35">
      <c r="A321" s="279" t="s">
        <v>970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49999999999999" customHeight="1" x14ac:dyDescent="0.35">
      <c r="D322" s="282"/>
      <c r="I322" s="283" t="s">
        <v>1022</v>
      </c>
    </row>
    <row r="323" spans="1:9" ht="20.149999999999999" customHeight="1" x14ac:dyDescent="0.35">
      <c r="A323" s="282"/>
    </row>
    <row r="324" spans="1:9" ht="20.149999999999999" customHeight="1" x14ac:dyDescent="0.35">
      <c r="A324" s="284" t="str">
        <f>"Hospital: "&amp;data!C98</f>
        <v>Hospital: Kittitas Valley Healthcare</v>
      </c>
      <c r="G324" s="285"/>
      <c r="H324" s="284" t="str">
        <f>"FYE: "&amp;data!C96</f>
        <v>FYE: 12/31/2022</v>
      </c>
    </row>
    <row r="325" spans="1:9" ht="20.149999999999999" customHeight="1" x14ac:dyDescent="0.35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49999999999999" customHeight="1" x14ac:dyDescent="0.35">
      <c r="A326" s="289">
        <v>2</v>
      </c>
      <c r="B326" s="290" t="s">
        <v>972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49999999999999" customHeight="1" x14ac:dyDescent="0.35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1021</v>
      </c>
      <c r="H327" s="292" t="s">
        <v>164</v>
      </c>
      <c r="I327" s="292" t="s">
        <v>213</v>
      </c>
    </row>
    <row r="328" spans="1:9" ht="20.149999999999999" customHeight="1" x14ac:dyDescent="0.35">
      <c r="A328" s="278">
        <v>3</v>
      </c>
      <c r="B328" s="286" t="s">
        <v>976</v>
      </c>
      <c r="C328" s="298"/>
      <c r="D328" s="298"/>
      <c r="E328" s="298"/>
      <c r="F328" s="298"/>
      <c r="G328" s="298"/>
      <c r="H328" s="298"/>
      <c r="I328" s="298"/>
    </row>
    <row r="329" spans="1:9" ht="20.149999999999999" customHeight="1" x14ac:dyDescent="0.35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49999999999999" customHeight="1" x14ac:dyDescent="0.35">
      <c r="A330" s="278">
        <v>5</v>
      </c>
      <c r="B330" s="286" t="s">
        <v>247</v>
      </c>
      <c r="C330" s="293">
        <f>data!BU60</f>
        <v>0</v>
      </c>
      <c r="D330" s="293">
        <f>data!BV60</f>
        <v>23.05</v>
      </c>
      <c r="E330" s="293">
        <f>data!BW60</f>
        <v>4.03</v>
      </c>
      <c r="F330" s="293">
        <f>data!BX60</f>
        <v>7.52</v>
      </c>
      <c r="G330" s="293">
        <f>data!BY60</f>
        <v>14.2</v>
      </c>
      <c r="H330" s="293">
        <f>data!BZ60</f>
        <v>0</v>
      </c>
      <c r="I330" s="293">
        <f>data!CA60</f>
        <v>0</v>
      </c>
    </row>
    <row r="331" spans="1:9" ht="20.149999999999999" customHeight="1" x14ac:dyDescent="0.35">
      <c r="A331" s="278">
        <v>6</v>
      </c>
      <c r="B331" s="286" t="s">
        <v>248</v>
      </c>
      <c r="C331" s="305">
        <f>data!BU61</f>
        <v>0</v>
      </c>
      <c r="D331" s="305">
        <f>data!BV61</f>
        <v>1481909</v>
      </c>
      <c r="E331" s="305">
        <f>data!BW61</f>
        <v>863881</v>
      </c>
      <c r="F331" s="305">
        <f>data!BX61</f>
        <v>888350</v>
      </c>
      <c r="G331" s="305">
        <f>data!BY61</f>
        <v>1656920</v>
      </c>
      <c r="H331" s="305">
        <f>data!BZ61</f>
        <v>0</v>
      </c>
      <c r="I331" s="305">
        <f>data!CA61</f>
        <v>0</v>
      </c>
    </row>
    <row r="332" spans="1:9" ht="20.149999999999999" customHeight="1" x14ac:dyDescent="0.35">
      <c r="A332" s="278">
        <v>7</v>
      </c>
      <c r="B332" s="286" t="s">
        <v>9</v>
      </c>
      <c r="C332" s="305">
        <f>data!BU62</f>
        <v>0</v>
      </c>
      <c r="D332" s="305">
        <f>data!BV62</f>
        <v>354165</v>
      </c>
      <c r="E332" s="305">
        <f>data!BW62</f>
        <v>206461</v>
      </c>
      <c r="F332" s="305">
        <f>data!BX62</f>
        <v>212309</v>
      </c>
      <c r="G332" s="305">
        <f>data!BY62</f>
        <v>395991</v>
      </c>
      <c r="H332" s="305">
        <f>data!BZ62</f>
        <v>0</v>
      </c>
      <c r="I332" s="305">
        <f>data!CA62</f>
        <v>0</v>
      </c>
    </row>
    <row r="333" spans="1:9" ht="20.149999999999999" customHeight="1" x14ac:dyDescent="0.35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ht="20.149999999999999" customHeight="1" x14ac:dyDescent="0.35">
      <c r="A334" s="278">
        <v>9</v>
      </c>
      <c r="B334" s="286" t="s">
        <v>250</v>
      </c>
      <c r="C334" s="305">
        <f>data!BU64</f>
        <v>0</v>
      </c>
      <c r="D334" s="305">
        <f>data!BV64</f>
        <v>9098</v>
      </c>
      <c r="E334" s="305">
        <f>data!BW64</f>
        <v>2487</v>
      </c>
      <c r="F334" s="305">
        <f>data!BX64</f>
        <v>19524</v>
      </c>
      <c r="G334" s="305">
        <f>data!BY64</f>
        <v>13075</v>
      </c>
      <c r="H334" s="305">
        <f>data!BZ64</f>
        <v>0</v>
      </c>
      <c r="I334" s="305">
        <f>data!CA64</f>
        <v>0</v>
      </c>
    </row>
    <row r="335" spans="1:9" ht="20.149999999999999" customHeight="1" x14ac:dyDescent="0.35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0</v>
      </c>
      <c r="H335" s="305">
        <f>data!BZ65</f>
        <v>0</v>
      </c>
      <c r="I335" s="305">
        <f>data!CA65</f>
        <v>0</v>
      </c>
    </row>
    <row r="336" spans="1:9" ht="20.149999999999999" customHeight="1" x14ac:dyDescent="0.35">
      <c r="A336" s="278">
        <v>11</v>
      </c>
      <c r="B336" s="286" t="s">
        <v>498</v>
      </c>
      <c r="C336" s="305">
        <f>data!BU66</f>
        <v>0</v>
      </c>
      <c r="D336" s="305">
        <f>data!BV66</f>
        <v>433284</v>
      </c>
      <c r="E336" s="305">
        <f>data!BW66</f>
        <v>30778</v>
      </c>
      <c r="F336" s="305">
        <f>data!BX66</f>
        <v>181226</v>
      </c>
      <c r="G336" s="305">
        <f>data!BY66</f>
        <v>624588</v>
      </c>
      <c r="H336" s="305">
        <f>data!BZ66</f>
        <v>0</v>
      </c>
      <c r="I336" s="305">
        <f>data!CA66</f>
        <v>0</v>
      </c>
    </row>
    <row r="337" spans="1:9" ht="20.149999999999999" customHeight="1" x14ac:dyDescent="0.35">
      <c r="A337" s="278">
        <v>12</v>
      </c>
      <c r="B337" s="286" t="s">
        <v>11</v>
      </c>
      <c r="C337" s="305">
        <f>data!BU67</f>
        <v>0</v>
      </c>
      <c r="D337" s="305">
        <f>data!BV67</f>
        <v>26089</v>
      </c>
      <c r="E337" s="305">
        <f>data!BW67</f>
        <v>1126</v>
      </c>
      <c r="F337" s="305">
        <f>data!BX67</f>
        <v>12646</v>
      </c>
      <c r="G337" s="305">
        <f>data!BY67</f>
        <v>6409</v>
      </c>
      <c r="H337" s="305">
        <f>data!BZ67</f>
        <v>0</v>
      </c>
      <c r="I337" s="305">
        <f>data!CA67</f>
        <v>0</v>
      </c>
    </row>
    <row r="338" spans="1:9" ht="20.149999999999999" customHeight="1" x14ac:dyDescent="0.35">
      <c r="A338" s="278">
        <v>13</v>
      </c>
      <c r="B338" s="286" t="s">
        <v>977</v>
      </c>
      <c r="C338" s="305">
        <f>data!BU68</f>
        <v>0</v>
      </c>
      <c r="D338" s="305">
        <f>data!BV68</f>
        <v>0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ht="20.149999999999999" customHeight="1" x14ac:dyDescent="0.35">
      <c r="A339" s="278">
        <v>14</v>
      </c>
      <c r="B339" s="286" t="s">
        <v>978</v>
      </c>
      <c r="C339" s="305">
        <f>data!BU69</f>
        <v>0</v>
      </c>
      <c r="D339" s="305">
        <f>data!BV69</f>
        <v>4376</v>
      </c>
      <c r="E339" s="305">
        <f>data!BW69</f>
        <v>232699</v>
      </c>
      <c r="F339" s="305">
        <f>data!BX69</f>
        <v>11320</v>
      </c>
      <c r="G339" s="305">
        <f>data!BY69</f>
        <v>25420</v>
      </c>
      <c r="H339" s="305">
        <f>data!BZ69</f>
        <v>0</v>
      </c>
      <c r="I339" s="305">
        <f>data!CA69</f>
        <v>0</v>
      </c>
    </row>
    <row r="340" spans="1:9" ht="20.149999999999999" customHeight="1" x14ac:dyDescent="0.35">
      <c r="A340" s="278">
        <v>15</v>
      </c>
      <c r="B340" s="286" t="s">
        <v>269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49999999999999" customHeight="1" x14ac:dyDescent="0.35">
      <c r="A341" s="278">
        <v>16</v>
      </c>
      <c r="B341" s="294" t="s">
        <v>979</v>
      </c>
      <c r="C341" s="286">
        <f>data!BU85</f>
        <v>0</v>
      </c>
      <c r="D341" s="286">
        <f>data!BV85</f>
        <v>2308921</v>
      </c>
      <c r="E341" s="286">
        <f>data!BW85</f>
        <v>1337432</v>
      </c>
      <c r="F341" s="286">
        <f>data!BX85</f>
        <v>1325375</v>
      </c>
      <c r="G341" s="286">
        <f>data!BY85</f>
        <v>2722403</v>
      </c>
      <c r="H341" s="286">
        <f>data!BZ85</f>
        <v>0</v>
      </c>
      <c r="I341" s="286">
        <f>data!CA85</f>
        <v>0</v>
      </c>
    </row>
    <row r="342" spans="1:9" ht="20.149999999999999" customHeight="1" x14ac:dyDescent="0.35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49999999999999" customHeight="1" x14ac:dyDescent="0.35">
      <c r="A343" s="278">
        <v>18</v>
      </c>
      <c r="B343" s="286" t="s">
        <v>980</v>
      </c>
      <c r="C343" s="286"/>
      <c r="D343" s="286"/>
      <c r="E343" s="286"/>
      <c r="F343" s="286"/>
      <c r="G343" s="286"/>
      <c r="H343" s="286"/>
      <c r="I343" s="286"/>
    </row>
    <row r="344" spans="1:9" ht="20.149999999999999" customHeight="1" x14ac:dyDescent="0.35">
      <c r="A344" s="278">
        <v>19</v>
      </c>
      <c r="B344" s="294" t="s">
        <v>981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49999999999999" customHeight="1" x14ac:dyDescent="0.35">
      <c r="A345" s="278">
        <v>20</v>
      </c>
      <c r="B345" s="294" t="s">
        <v>982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49999999999999" customHeight="1" x14ac:dyDescent="0.35">
      <c r="A346" s="278">
        <v>21</v>
      </c>
      <c r="B346" s="294" t="s">
        <v>983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49999999999999" customHeight="1" x14ac:dyDescent="0.35">
      <c r="A347" s="278" t="s">
        <v>984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49999999999999" customHeight="1" x14ac:dyDescent="0.35">
      <c r="A348" s="278">
        <v>22</v>
      </c>
      <c r="B348" s="286" t="s">
        <v>985</v>
      </c>
      <c r="C348" s="302">
        <f>data!BU90</f>
        <v>0</v>
      </c>
      <c r="D348" s="302">
        <f>data!BV90</f>
        <v>1783</v>
      </c>
      <c r="E348" s="302">
        <f>data!BW90</f>
        <v>84</v>
      </c>
      <c r="F348" s="302">
        <f>data!BX90</f>
        <v>600</v>
      </c>
      <c r="G348" s="302">
        <f>data!BY90</f>
        <v>474</v>
      </c>
      <c r="H348" s="302">
        <f>data!BZ90</f>
        <v>0</v>
      </c>
      <c r="I348" s="302">
        <f>data!CA90</f>
        <v>0</v>
      </c>
    </row>
    <row r="349" spans="1:9" ht="20.149999999999999" customHeight="1" x14ac:dyDescent="0.35">
      <c r="A349" s="278">
        <v>23</v>
      </c>
      <c r="B349" s="286" t="s">
        <v>986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49999999999999" customHeight="1" x14ac:dyDescent="0.35">
      <c r="A350" s="278">
        <v>24</v>
      </c>
      <c r="B350" s="286" t="s">
        <v>987</v>
      </c>
      <c r="C350" s="302">
        <f>data!BU92</f>
        <v>0</v>
      </c>
      <c r="D350" s="302">
        <f>data!BV92</f>
        <v>600</v>
      </c>
      <c r="E350" s="302">
        <f>data!BW92</f>
        <v>100</v>
      </c>
      <c r="F350" s="302">
        <f>data!BX92</f>
        <v>100</v>
      </c>
      <c r="G350" s="302">
        <f>data!BY92</f>
        <v>458</v>
      </c>
      <c r="H350" s="302">
        <f>data!BZ92</f>
        <v>0</v>
      </c>
      <c r="I350" s="302">
        <f>data!CA92</f>
        <v>0</v>
      </c>
    </row>
    <row r="351" spans="1:9" ht="20.149999999999999" customHeight="1" x14ac:dyDescent="0.35">
      <c r="A351" s="278">
        <v>25</v>
      </c>
      <c r="B351" s="286" t="s">
        <v>988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49999999999999" customHeight="1" x14ac:dyDescent="0.35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49999999999999" customHeight="1" x14ac:dyDescent="0.35">
      <c r="A353" s="279" t="s">
        <v>970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49999999999999" customHeight="1" x14ac:dyDescent="0.35">
      <c r="D354" s="282"/>
      <c r="I354" s="283" t="s">
        <v>1023</v>
      </c>
    </row>
    <row r="355" spans="1:9" ht="20.149999999999999" customHeight="1" x14ac:dyDescent="0.35">
      <c r="A355" s="282"/>
    </row>
    <row r="356" spans="1:9" ht="20.149999999999999" customHeight="1" x14ac:dyDescent="0.35">
      <c r="A356" s="284" t="str">
        <f>"Hospital: "&amp;data!C98</f>
        <v>Hospital: Kittitas Valley Healthcare</v>
      </c>
      <c r="G356" s="285"/>
      <c r="H356" s="284" t="str">
        <f>"FYE: "&amp;data!C96</f>
        <v>FYE: 12/31/2022</v>
      </c>
    </row>
    <row r="357" spans="1:9" ht="20.149999999999999" customHeight="1" x14ac:dyDescent="0.35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49999999999999" customHeight="1" x14ac:dyDescent="0.35">
      <c r="A358" s="289">
        <v>2</v>
      </c>
      <c r="B358" s="290" t="s">
        <v>972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49999999999999" customHeight="1" x14ac:dyDescent="0.35">
      <c r="A359" s="289"/>
      <c r="B359" s="290"/>
      <c r="C359" s="292" t="s">
        <v>213</v>
      </c>
      <c r="D359" s="292" t="s">
        <v>1024</v>
      </c>
      <c r="E359" s="292" t="s">
        <v>225</v>
      </c>
      <c r="F359" s="307"/>
      <c r="G359" s="307"/>
      <c r="H359" s="307"/>
      <c r="I359" s="292" t="s">
        <v>215</v>
      </c>
    </row>
    <row r="360" spans="1:9" ht="20.149999999999999" customHeight="1" x14ac:dyDescent="0.35">
      <c r="A360" s="278">
        <v>3</v>
      </c>
      <c r="B360" s="286" t="s">
        <v>976</v>
      </c>
      <c r="C360" s="298"/>
      <c r="D360" s="298"/>
      <c r="E360" s="298"/>
      <c r="F360" s="298"/>
      <c r="G360" s="298"/>
      <c r="H360" s="298"/>
      <c r="I360" s="298"/>
    </row>
    <row r="361" spans="1:9" ht="20.149999999999999" customHeight="1" x14ac:dyDescent="0.35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49999999999999" customHeight="1" x14ac:dyDescent="0.35">
      <c r="A362" s="278">
        <v>5</v>
      </c>
      <c r="B362" s="286" t="s">
        <v>247</v>
      </c>
      <c r="C362" s="293">
        <f>data!CB60</f>
        <v>0</v>
      </c>
      <c r="D362" s="293">
        <f>data!CC60</f>
        <v>0</v>
      </c>
      <c r="E362" s="308"/>
      <c r="F362" s="296"/>
      <c r="G362" s="296"/>
      <c r="H362" s="296"/>
      <c r="I362" s="309">
        <f>data!CE60</f>
        <v>560.86999999999989</v>
      </c>
    </row>
    <row r="363" spans="1:9" ht="20.149999999999999" customHeight="1" x14ac:dyDescent="0.35">
      <c r="A363" s="278">
        <v>6</v>
      </c>
      <c r="B363" s="286" t="s">
        <v>248</v>
      </c>
      <c r="C363" s="305">
        <f>data!CB61</f>
        <v>0</v>
      </c>
      <c r="D363" s="305">
        <f>data!CC61</f>
        <v>0</v>
      </c>
      <c r="E363" s="310"/>
      <c r="F363" s="310"/>
      <c r="G363" s="310"/>
      <c r="H363" s="310"/>
      <c r="I363" s="305">
        <f>data!CE61</f>
        <v>54598631</v>
      </c>
    </row>
    <row r="364" spans="1:9" ht="20.149999999999999" customHeight="1" x14ac:dyDescent="0.35">
      <c r="A364" s="278">
        <v>7</v>
      </c>
      <c r="B364" s="286" t="s">
        <v>9</v>
      </c>
      <c r="C364" s="305">
        <f>data!CB62</f>
        <v>0</v>
      </c>
      <c r="D364" s="305">
        <f>data!CC62</f>
        <v>0</v>
      </c>
      <c r="E364" s="310"/>
      <c r="F364" s="310"/>
      <c r="G364" s="310"/>
      <c r="H364" s="310"/>
      <c r="I364" s="305">
        <f>data!CE62</f>
        <v>13048650</v>
      </c>
    </row>
    <row r="365" spans="1:9" ht="20.149999999999999" customHeight="1" x14ac:dyDescent="0.35">
      <c r="A365" s="278">
        <v>8</v>
      </c>
      <c r="B365" s="286" t="s">
        <v>249</v>
      </c>
      <c r="C365" s="305">
        <f>data!CB63</f>
        <v>0</v>
      </c>
      <c r="D365" s="305">
        <f>data!CC63</f>
        <v>0</v>
      </c>
      <c r="E365" s="310"/>
      <c r="F365" s="310"/>
      <c r="G365" s="310"/>
      <c r="H365" s="310"/>
      <c r="I365" s="305">
        <f>data!CE63</f>
        <v>2716275</v>
      </c>
    </row>
    <row r="366" spans="1:9" ht="20.149999999999999" customHeight="1" x14ac:dyDescent="0.35">
      <c r="A366" s="278">
        <v>9</v>
      </c>
      <c r="B366" s="286" t="s">
        <v>250</v>
      </c>
      <c r="C366" s="305">
        <f>data!CB64</f>
        <v>0</v>
      </c>
      <c r="D366" s="305">
        <f>data!CC64</f>
        <v>0</v>
      </c>
      <c r="E366" s="310"/>
      <c r="F366" s="310"/>
      <c r="G366" s="310"/>
      <c r="H366" s="310"/>
      <c r="I366" s="305">
        <f>data!CE64</f>
        <v>12536040</v>
      </c>
    </row>
    <row r="367" spans="1:9" ht="20.149999999999999" customHeight="1" x14ac:dyDescent="0.35">
      <c r="A367" s="278">
        <v>10</v>
      </c>
      <c r="B367" s="286" t="s">
        <v>497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1198546</v>
      </c>
    </row>
    <row r="368" spans="1:9" ht="20.149999999999999" customHeight="1" x14ac:dyDescent="0.35">
      <c r="A368" s="278">
        <v>11</v>
      </c>
      <c r="B368" s="286" t="s">
        <v>498</v>
      </c>
      <c r="C368" s="305">
        <f>data!CB66</f>
        <v>0</v>
      </c>
      <c r="D368" s="305">
        <f>data!CC66</f>
        <v>0</v>
      </c>
      <c r="E368" s="310"/>
      <c r="F368" s="310"/>
      <c r="G368" s="310"/>
      <c r="H368" s="310"/>
      <c r="I368" s="305">
        <f>data!CE66</f>
        <v>13503688</v>
      </c>
    </row>
    <row r="369" spans="1:9" ht="20.149999999999999" customHeight="1" x14ac:dyDescent="0.35">
      <c r="A369" s="278">
        <v>12</v>
      </c>
      <c r="B369" s="286" t="s">
        <v>11</v>
      </c>
      <c r="C369" s="305">
        <f>data!CB67</f>
        <v>0</v>
      </c>
      <c r="D369" s="305">
        <f>data!CC67</f>
        <v>0</v>
      </c>
      <c r="E369" s="310"/>
      <c r="F369" s="310"/>
      <c r="G369" s="310"/>
      <c r="H369" s="310"/>
      <c r="I369" s="305">
        <f>data!CE67</f>
        <v>5661937</v>
      </c>
    </row>
    <row r="370" spans="1:9" ht="20.149999999999999" customHeight="1" x14ac:dyDescent="0.35">
      <c r="A370" s="278">
        <v>13</v>
      </c>
      <c r="B370" s="286" t="s">
        <v>977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0</v>
      </c>
    </row>
    <row r="371" spans="1:9" ht="20.149999999999999" customHeight="1" x14ac:dyDescent="0.35">
      <c r="A371" s="278">
        <v>14</v>
      </c>
      <c r="B371" s="286" t="s">
        <v>978</v>
      </c>
      <c r="C371" s="305">
        <f>data!CB69</f>
        <v>0</v>
      </c>
      <c r="D371" s="305">
        <f>data!CC69</f>
        <v>0</v>
      </c>
      <c r="E371" s="305">
        <f>data!CD69</f>
        <v>0</v>
      </c>
      <c r="F371" s="310"/>
      <c r="G371" s="310"/>
      <c r="H371" s="310"/>
      <c r="I371" s="305">
        <f>data!CE69</f>
        <v>7947990</v>
      </c>
    </row>
    <row r="372" spans="1:9" ht="20.149999999999999" customHeight="1" x14ac:dyDescent="0.35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0</v>
      </c>
      <c r="F372" s="296"/>
      <c r="G372" s="296"/>
      <c r="H372" s="296"/>
      <c r="I372" s="286">
        <f>-data!CE84</f>
        <v>0</v>
      </c>
    </row>
    <row r="373" spans="1:9" ht="20.149999999999999" customHeight="1" x14ac:dyDescent="0.35">
      <c r="A373" s="278">
        <v>16</v>
      </c>
      <c r="B373" s="294" t="s">
        <v>979</v>
      </c>
      <c r="C373" s="305">
        <f>data!CB85</f>
        <v>0</v>
      </c>
      <c r="D373" s="305">
        <f>data!CC85</f>
        <v>0</v>
      </c>
      <c r="E373" s="305">
        <f>data!CD85</f>
        <v>0</v>
      </c>
      <c r="F373" s="310"/>
      <c r="G373" s="310"/>
      <c r="H373" s="310"/>
      <c r="I373" s="286">
        <f>data!CE85</f>
        <v>111211757</v>
      </c>
    </row>
    <row r="374" spans="1:9" ht="20.149999999999999" customHeight="1" x14ac:dyDescent="0.35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ht="20.149999999999999" customHeight="1" x14ac:dyDescent="0.35">
      <c r="A375" s="278">
        <v>18</v>
      </c>
      <c r="B375" s="286" t="s">
        <v>980</v>
      </c>
      <c r="C375" s="286"/>
      <c r="D375" s="286"/>
      <c r="E375" s="286"/>
      <c r="F375" s="286"/>
      <c r="G375" s="286"/>
      <c r="H375" s="286"/>
      <c r="I375" s="286"/>
    </row>
    <row r="376" spans="1:9" ht="20.149999999999999" customHeight="1" x14ac:dyDescent="0.35">
      <c r="A376" s="278">
        <v>19</v>
      </c>
      <c r="B376" s="294" t="s">
        <v>981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30388810</v>
      </c>
    </row>
    <row r="377" spans="1:9" ht="20.149999999999999" customHeight="1" x14ac:dyDescent="0.35">
      <c r="A377" s="278">
        <v>20</v>
      </c>
      <c r="B377" s="294" t="s">
        <v>982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183103271</v>
      </c>
    </row>
    <row r="378" spans="1:9" ht="20.149999999999999" customHeight="1" x14ac:dyDescent="0.35">
      <c r="A378" s="278">
        <v>21</v>
      </c>
      <c r="B378" s="294" t="s">
        <v>983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213492081</v>
      </c>
    </row>
    <row r="379" spans="1:9" ht="20.149999999999999" customHeight="1" x14ac:dyDescent="0.35">
      <c r="A379" s="278" t="s">
        <v>984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49999999999999" customHeight="1" x14ac:dyDescent="0.35">
      <c r="A380" s="278">
        <v>22</v>
      </c>
      <c r="B380" s="286" t="s">
        <v>985</v>
      </c>
      <c r="C380" s="302">
        <f>data!CB90</f>
        <v>0</v>
      </c>
      <c r="D380" s="302">
        <f>data!CC90</f>
        <v>0</v>
      </c>
      <c r="E380" s="296"/>
      <c r="F380" s="296"/>
      <c r="G380" s="296"/>
      <c r="H380" s="296"/>
      <c r="I380" s="286">
        <f>data!CE90</f>
        <v>145897</v>
      </c>
    </row>
    <row r="381" spans="1:9" ht="20.149999999999999" customHeight="1" x14ac:dyDescent="0.35">
      <c r="A381" s="278">
        <v>23</v>
      </c>
      <c r="B381" s="286" t="s">
        <v>986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15871</v>
      </c>
    </row>
    <row r="382" spans="1:9" ht="20.149999999999999" customHeight="1" x14ac:dyDescent="0.35">
      <c r="A382" s="278">
        <v>24</v>
      </c>
      <c r="B382" s="286" t="s">
        <v>987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50097</v>
      </c>
    </row>
    <row r="383" spans="1:9" ht="20.149999999999999" customHeight="1" x14ac:dyDescent="0.35">
      <c r="A383" s="278">
        <v>25</v>
      </c>
      <c r="B383" s="286" t="s">
        <v>988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434500</v>
      </c>
    </row>
    <row r="384" spans="1:9" ht="20.149999999999999" customHeight="1" x14ac:dyDescent="0.35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104.77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62" transitionEvaluation="1" transitionEntry="1" codeName="Sheet12">
    <tabColor rgb="FF92D050"/>
    <pageSetUpPr autoPageBreaks="0" fitToPage="1"/>
  </sheetPr>
  <dimension ref="A1:CF717"/>
  <sheetViews>
    <sheetView topLeftCell="A62" zoomScaleNormal="100" workbookViewId="0">
      <selection activeCell="A91" sqref="A91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2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3" t="s">
        <v>18</v>
      </c>
      <c r="B37" s="334"/>
      <c r="C37" s="335"/>
      <c r="D37" s="334"/>
      <c r="E37" s="334"/>
      <c r="F37" s="334"/>
      <c r="G37" s="334"/>
    </row>
    <row r="38" spans="1:83" x14ac:dyDescent="0.35">
      <c r="A38" s="336" t="s">
        <v>1342</v>
      </c>
      <c r="B38" s="337"/>
      <c r="C38" s="335"/>
      <c r="D38" s="334"/>
      <c r="E38" s="334"/>
      <c r="F38" s="334"/>
      <c r="G38" s="334"/>
    </row>
    <row r="39" spans="1:83" x14ac:dyDescent="0.35">
      <c r="A39" s="338" t="s">
        <v>1340</v>
      </c>
      <c r="B39" s="337"/>
      <c r="C39" s="335"/>
      <c r="D39" s="334"/>
      <c r="E39" s="334"/>
      <c r="F39" s="334"/>
      <c r="G39" s="334"/>
    </row>
    <row r="40" spans="1:83" x14ac:dyDescent="0.35">
      <c r="A40" s="339" t="s">
        <v>1343</v>
      </c>
      <c r="B40" s="334"/>
      <c r="C40" s="335"/>
      <c r="D40" s="334"/>
      <c r="E40" s="334"/>
      <c r="F40" s="334"/>
      <c r="G40" s="334"/>
    </row>
    <row r="41" spans="1:83" x14ac:dyDescent="0.35">
      <c r="A41" s="338" t="s">
        <v>1341</v>
      </c>
      <c r="B41" s="334"/>
      <c r="C41" s="335"/>
      <c r="D41" s="334"/>
      <c r="E41" s="334"/>
      <c r="F41" s="334"/>
      <c r="G41" s="334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12385981</v>
      </c>
      <c r="C49" s="269">
        <f>IF($B$49,(ROUND((($B$49/$CE$62)*C62),0)))</f>
        <v>428183</v>
      </c>
      <c r="D49" s="269">
        <f t="shared" ref="D49:BO49" si="0">IF($B$49,(ROUND((($B$49/$CE$62)*D62),0)))</f>
        <v>0</v>
      </c>
      <c r="E49" s="269">
        <f t="shared" si="0"/>
        <v>474179</v>
      </c>
      <c r="F49" s="269">
        <f t="shared" si="0"/>
        <v>0</v>
      </c>
      <c r="G49" s="269">
        <f t="shared" si="0"/>
        <v>0</v>
      </c>
      <c r="H49" s="269">
        <f t="shared" si="0"/>
        <v>0</v>
      </c>
      <c r="I49" s="269">
        <f t="shared" si="0"/>
        <v>0</v>
      </c>
      <c r="J49" s="269">
        <f t="shared" si="0"/>
        <v>49373</v>
      </c>
      <c r="K49" s="269">
        <f t="shared" si="0"/>
        <v>0</v>
      </c>
      <c r="L49" s="269">
        <f t="shared" si="0"/>
        <v>0</v>
      </c>
      <c r="M49" s="269">
        <f t="shared" si="0"/>
        <v>0</v>
      </c>
      <c r="N49" s="269">
        <f t="shared" si="0"/>
        <v>0</v>
      </c>
      <c r="O49" s="269">
        <f t="shared" si="0"/>
        <v>311050</v>
      </c>
      <c r="P49" s="269">
        <f t="shared" si="0"/>
        <v>688225</v>
      </c>
      <c r="Q49" s="269">
        <f t="shared" si="0"/>
        <v>28984</v>
      </c>
      <c r="R49" s="269">
        <f t="shared" si="0"/>
        <v>0</v>
      </c>
      <c r="S49" s="269">
        <f t="shared" si="0"/>
        <v>53663</v>
      </c>
      <c r="T49" s="269">
        <f t="shared" si="0"/>
        <v>0</v>
      </c>
      <c r="U49" s="269">
        <f t="shared" si="0"/>
        <v>506126</v>
      </c>
      <c r="V49" s="269">
        <f t="shared" si="0"/>
        <v>0</v>
      </c>
      <c r="W49" s="269">
        <f t="shared" si="0"/>
        <v>0</v>
      </c>
      <c r="X49" s="269">
        <f t="shared" si="0"/>
        <v>163818</v>
      </c>
      <c r="Y49" s="269">
        <f t="shared" si="0"/>
        <v>236397</v>
      </c>
      <c r="Z49" s="269">
        <f t="shared" si="0"/>
        <v>0</v>
      </c>
      <c r="AA49" s="269">
        <f t="shared" si="0"/>
        <v>0</v>
      </c>
      <c r="AB49" s="269">
        <f t="shared" si="0"/>
        <v>333064</v>
      </c>
      <c r="AC49" s="269">
        <f t="shared" si="0"/>
        <v>148460</v>
      </c>
      <c r="AD49" s="269">
        <f t="shared" si="0"/>
        <v>0</v>
      </c>
      <c r="AE49" s="269">
        <f t="shared" si="0"/>
        <v>72317</v>
      </c>
      <c r="AF49" s="269">
        <f t="shared" si="0"/>
        <v>0</v>
      </c>
      <c r="AG49" s="269">
        <f t="shared" si="0"/>
        <v>1249552</v>
      </c>
      <c r="AH49" s="269">
        <f t="shared" si="0"/>
        <v>0</v>
      </c>
      <c r="AI49" s="269">
        <f t="shared" si="0"/>
        <v>0</v>
      </c>
      <c r="AJ49" s="269">
        <f t="shared" si="0"/>
        <v>4150990</v>
      </c>
      <c r="AK49" s="269">
        <f t="shared" si="0"/>
        <v>45</v>
      </c>
      <c r="AL49" s="269">
        <f t="shared" si="0"/>
        <v>125</v>
      </c>
      <c r="AM49" s="269">
        <f t="shared" si="0"/>
        <v>0</v>
      </c>
      <c r="AN49" s="269">
        <f t="shared" si="0"/>
        <v>0</v>
      </c>
      <c r="AO49" s="269">
        <f t="shared" si="0"/>
        <v>0</v>
      </c>
      <c r="AP49" s="269">
        <f t="shared" si="0"/>
        <v>0</v>
      </c>
      <c r="AQ49" s="269">
        <f t="shared" si="0"/>
        <v>0</v>
      </c>
      <c r="AR49" s="269">
        <f t="shared" si="0"/>
        <v>386823</v>
      </c>
      <c r="AS49" s="269">
        <f t="shared" si="0"/>
        <v>0</v>
      </c>
      <c r="AT49" s="269">
        <f t="shared" si="0"/>
        <v>0</v>
      </c>
      <c r="AU49" s="269">
        <f t="shared" si="0"/>
        <v>0</v>
      </c>
      <c r="AV49" s="269">
        <f t="shared" si="0"/>
        <v>0</v>
      </c>
      <c r="AW49" s="269">
        <f t="shared" si="0"/>
        <v>0</v>
      </c>
      <c r="AX49" s="269">
        <f t="shared" si="0"/>
        <v>0</v>
      </c>
      <c r="AY49" s="269">
        <f t="shared" si="0"/>
        <v>51130</v>
      </c>
      <c r="AZ49" s="269">
        <f t="shared" si="0"/>
        <v>125179</v>
      </c>
      <c r="BA49" s="269">
        <f t="shared" si="0"/>
        <v>31681</v>
      </c>
      <c r="BB49" s="269">
        <f t="shared" si="0"/>
        <v>33170</v>
      </c>
      <c r="BC49" s="269">
        <f t="shared" si="0"/>
        <v>0</v>
      </c>
      <c r="BD49" s="269">
        <f t="shared" si="0"/>
        <v>75902</v>
      </c>
      <c r="BE49" s="269">
        <f t="shared" si="0"/>
        <v>138041</v>
      </c>
      <c r="BF49" s="269">
        <f t="shared" si="0"/>
        <v>208827</v>
      </c>
      <c r="BG49" s="269">
        <f t="shared" si="0"/>
        <v>0</v>
      </c>
      <c r="BH49" s="269">
        <f t="shared" si="0"/>
        <v>352453</v>
      </c>
      <c r="BI49" s="269">
        <f t="shared" si="0"/>
        <v>0</v>
      </c>
      <c r="BJ49" s="269">
        <f t="shared" si="0"/>
        <v>120082</v>
      </c>
      <c r="BK49" s="269">
        <f t="shared" si="0"/>
        <v>296695</v>
      </c>
      <c r="BL49" s="269">
        <f t="shared" si="0"/>
        <v>167362</v>
      </c>
      <c r="BM49" s="269">
        <f t="shared" si="0"/>
        <v>0</v>
      </c>
      <c r="BN49" s="269">
        <f t="shared" si="0"/>
        <v>258127</v>
      </c>
      <c r="BO49" s="269">
        <f t="shared" si="0"/>
        <v>120736</v>
      </c>
      <c r="BP49" s="269">
        <f t="shared" ref="BP49:CD49" si="1">IF($B$49,(ROUND((($B$49/$CE$62)*BP62),0)))</f>
        <v>77896</v>
      </c>
      <c r="BQ49" s="269">
        <f t="shared" si="1"/>
        <v>0</v>
      </c>
      <c r="BR49" s="269">
        <f t="shared" si="1"/>
        <v>116026</v>
      </c>
      <c r="BS49" s="269">
        <f t="shared" si="1"/>
        <v>8317</v>
      </c>
      <c r="BT49" s="269">
        <f t="shared" si="1"/>
        <v>0</v>
      </c>
      <c r="BU49" s="269">
        <f t="shared" si="1"/>
        <v>0</v>
      </c>
      <c r="BV49" s="269">
        <f t="shared" si="1"/>
        <v>314173</v>
      </c>
      <c r="BW49" s="269">
        <f t="shared" si="1"/>
        <v>203720</v>
      </c>
      <c r="BX49" s="269">
        <f t="shared" si="1"/>
        <v>149280</v>
      </c>
      <c r="BY49" s="269">
        <f t="shared" si="1"/>
        <v>255810</v>
      </c>
      <c r="BZ49" s="269">
        <f t="shared" si="1"/>
        <v>0</v>
      </c>
      <c r="CA49" s="269">
        <f t="shared" si="1"/>
        <v>0</v>
      </c>
      <c r="CB49" s="269">
        <f t="shared" si="1"/>
        <v>0</v>
      </c>
      <c r="CC49" s="269">
        <f t="shared" si="1"/>
        <v>0</v>
      </c>
      <c r="CD49" s="269">
        <f t="shared" si="1"/>
        <v>0</v>
      </c>
      <c r="CE49" s="32">
        <f>SUM(C49:CD49)</f>
        <v>12385981</v>
      </c>
    </row>
    <row r="50" spans="1:83" x14ac:dyDescent="0.35">
      <c r="A50" s="20" t="s">
        <v>218</v>
      </c>
      <c r="B50" s="269">
        <f>B48+B49</f>
        <v>12385981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>
        <v>23866</v>
      </c>
      <c r="D52" s="213"/>
      <c r="E52" s="213">
        <v>46390</v>
      </c>
      <c r="F52" s="213"/>
      <c r="G52" s="213"/>
      <c r="H52" s="213"/>
      <c r="I52" s="213"/>
      <c r="J52" s="213"/>
      <c r="K52" s="213"/>
      <c r="L52" s="213"/>
      <c r="M52" s="213"/>
      <c r="N52" s="213"/>
      <c r="O52" s="213">
        <v>48417</v>
      </c>
      <c r="P52" s="213">
        <v>291237</v>
      </c>
      <c r="Q52" s="213">
        <v>8806</v>
      </c>
      <c r="R52" s="213">
        <v>13454</v>
      </c>
      <c r="S52" s="213">
        <v>50563</v>
      </c>
      <c r="T52" s="213"/>
      <c r="U52" s="213">
        <v>145048</v>
      </c>
      <c r="V52" s="213"/>
      <c r="W52" s="213"/>
      <c r="X52" s="213">
        <v>3088</v>
      </c>
      <c r="Y52" s="213">
        <v>217613</v>
      </c>
      <c r="Z52" s="213"/>
      <c r="AA52" s="213"/>
      <c r="AB52" s="213">
        <v>1402</v>
      </c>
      <c r="AC52" s="213">
        <v>37879</v>
      </c>
      <c r="AD52" s="213"/>
      <c r="AE52" s="213">
        <v>4347</v>
      </c>
      <c r="AF52" s="213"/>
      <c r="AG52" s="213">
        <v>36639</v>
      </c>
      <c r="AH52" s="213"/>
      <c r="AI52" s="213"/>
      <c r="AJ52" s="213">
        <v>262725</v>
      </c>
      <c r="AK52" s="213">
        <v>1964</v>
      </c>
      <c r="AL52" s="213"/>
      <c r="AM52" s="213"/>
      <c r="AN52" s="213"/>
      <c r="AO52" s="213"/>
      <c r="AP52" s="213"/>
      <c r="AQ52" s="213"/>
      <c r="AR52" s="213">
        <v>21162</v>
      </c>
      <c r="AS52" s="213"/>
      <c r="AT52" s="213"/>
      <c r="AU52" s="213"/>
      <c r="AV52" s="213"/>
      <c r="AW52" s="213"/>
      <c r="AX52" s="213"/>
      <c r="AY52" s="213">
        <v>793</v>
      </c>
      <c r="AZ52" s="213">
        <v>1939</v>
      </c>
      <c r="BA52" s="213">
        <v>6344</v>
      </c>
      <c r="BB52" s="213"/>
      <c r="BC52" s="213"/>
      <c r="BD52" s="213"/>
      <c r="BE52" s="213">
        <v>54557</v>
      </c>
      <c r="BF52" s="213">
        <v>2334</v>
      </c>
      <c r="BG52" s="213"/>
      <c r="BH52" s="213">
        <v>1024261</v>
      </c>
      <c r="BI52" s="213"/>
      <c r="BJ52" s="213">
        <v>741</v>
      </c>
      <c r="BK52" s="213">
        <v>2160</v>
      </c>
      <c r="BL52" s="213"/>
      <c r="BM52" s="213"/>
      <c r="BN52" s="213">
        <v>6910</v>
      </c>
      <c r="BO52" s="213">
        <v>3358</v>
      </c>
      <c r="BP52" s="213"/>
      <c r="BQ52" s="213"/>
      <c r="BR52" s="213">
        <v>39526</v>
      </c>
      <c r="BS52" s="213"/>
      <c r="BT52" s="213"/>
      <c r="BU52" s="213"/>
      <c r="BV52" s="213">
        <v>5669</v>
      </c>
      <c r="BW52" s="213"/>
      <c r="BX52" s="213">
        <v>576</v>
      </c>
      <c r="BY52" s="213">
        <v>3026</v>
      </c>
      <c r="BZ52" s="213"/>
      <c r="CA52" s="213"/>
      <c r="CB52" s="213"/>
      <c r="CC52" s="213"/>
      <c r="CD52" s="20"/>
      <c r="CE52" s="32">
        <f>SUM(C52:CD52)</f>
        <v>2366794</v>
      </c>
    </row>
    <row r="53" spans="1:83" x14ac:dyDescent="0.35">
      <c r="A53" s="39" t="s">
        <v>220</v>
      </c>
      <c r="B53" s="270">
        <v>2049864</v>
      </c>
      <c r="C53" s="269">
        <f>IF($B$53,ROUND(($B$53/($CE$91+$CF$91)*C91),0))</f>
        <v>42676</v>
      </c>
      <c r="D53" s="269">
        <f t="shared" ref="D53:BO53" si="2">IF($B$53,ROUND(($B$53/($CE$91+$CF$91)*D91),0))</f>
        <v>0</v>
      </c>
      <c r="E53" s="269">
        <f t="shared" si="2"/>
        <v>193170</v>
      </c>
      <c r="F53" s="269">
        <f t="shared" si="2"/>
        <v>0</v>
      </c>
      <c r="G53" s="269">
        <f t="shared" si="2"/>
        <v>0</v>
      </c>
      <c r="H53" s="269">
        <f t="shared" si="2"/>
        <v>0</v>
      </c>
      <c r="I53" s="269">
        <f t="shared" si="2"/>
        <v>0</v>
      </c>
      <c r="J53" s="269">
        <f t="shared" si="2"/>
        <v>3712</v>
      </c>
      <c r="K53" s="269">
        <f t="shared" si="2"/>
        <v>0</v>
      </c>
      <c r="L53" s="269">
        <f t="shared" si="2"/>
        <v>0</v>
      </c>
      <c r="M53" s="269">
        <f t="shared" si="2"/>
        <v>0</v>
      </c>
      <c r="N53" s="269">
        <f t="shared" si="2"/>
        <v>0</v>
      </c>
      <c r="O53" s="269">
        <f t="shared" si="2"/>
        <v>32762</v>
      </c>
      <c r="P53" s="269">
        <f t="shared" si="2"/>
        <v>181120</v>
      </c>
      <c r="Q53" s="269">
        <f t="shared" si="2"/>
        <v>14908</v>
      </c>
      <c r="R53" s="269">
        <f t="shared" si="2"/>
        <v>0</v>
      </c>
      <c r="S53" s="269">
        <f t="shared" si="2"/>
        <v>22524</v>
      </c>
      <c r="T53" s="269">
        <f t="shared" si="2"/>
        <v>0</v>
      </c>
      <c r="U53" s="269">
        <f t="shared" si="2"/>
        <v>59750</v>
      </c>
      <c r="V53" s="269">
        <f t="shared" si="2"/>
        <v>0</v>
      </c>
      <c r="W53" s="269">
        <f t="shared" si="2"/>
        <v>2092</v>
      </c>
      <c r="X53" s="269">
        <f t="shared" si="2"/>
        <v>33469</v>
      </c>
      <c r="Y53" s="269">
        <f t="shared" si="2"/>
        <v>34692</v>
      </c>
      <c r="Z53" s="269">
        <f t="shared" si="2"/>
        <v>0</v>
      </c>
      <c r="AA53" s="269">
        <f t="shared" si="2"/>
        <v>0</v>
      </c>
      <c r="AB53" s="269">
        <f t="shared" si="2"/>
        <v>17132</v>
      </c>
      <c r="AC53" s="269">
        <f t="shared" si="2"/>
        <v>15203</v>
      </c>
      <c r="AD53" s="269">
        <f t="shared" si="2"/>
        <v>0</v>
      </c>
      <c r="AE53" s="269">
        <f t="shared" si="2"/>
        <v>0</v>
      </c>
      <c r="AF53" s="269">
        <f t="shared" si="2"/>
        <v>0</v>
      </c>
      <c r="AG53" s="269">
        <f t="shared" si="2"/>
        <v>76013</v>
      </c>
      <c r="AH53" s="269">
        <f t="shared" si="2"/>
        <v>0</v>
      </c>
      <c r="AI53" s="269">
        <f t="shared" si="2"/>
        <v>0</v>
      </c>
      <c r="AJ53" s="269">
        <f t="shared" si="2"/>
        <v>467112</v>
      </c>
      <c r="AK53" s="269">
        <f t="shared" si="2"/>
        <v>0</v>
      </c>
      <c r="AL53" s="269">
        <f t="shared" si="2"/>
        <v>0</v>
      </c>
      <c r="AM53" s="269">
        <f t="shared" si="2"/>
        <v>0</v>
      </c>
      <c r="AN53" s="269">
        <f t="shared" si="2"/>
        <v>0</v>
      </c>
      <c r="AO53" s="269">
        <f t="shared" si="2"/>
        <v>0</v>
      </c>
      <c r="AP53" s="269">
        <f t="shared" si="2"/>
        <v>0</v>
      </c>
      <c r="AQ53" s="269">
        <f t="shared" si="2"/>
        <v>0</v>
      </c>
      <c r="AR53" s="269">
        <f t="shared" si="2"/>
        <v>20535</v>
      </c>
      <c r="AS53" s="269">
        <f t="shared" si="2"/>
        <v>0</v>
      </c>
      <c r="AT53" s="269">
        <f t="shared" si="2"/>
        <v>0</v>
      </c>
      <c r="AU53" s="269">
        <f t="shared" si="2"/>
        <v>0</v>
      </c>
      <c r="AV53" s="269">
        <f t="shared" si="2"/>
        <v>0</v>
      </c>
      <c r="AW53" s="269">
        <f t="shared" si="2"/>
        <v>0</v>
      </c>
      <c r="AX53" s="269">
        <f t="shared" si="2"/>
        <v>0</v>
      </c>
      <c r="AY53" s="269">
        <f t="shared" si="2"/>
        <v>38714</v>
      </c>
      <c r="AZ53" s="269">
        <f t="shared" si="2"/>
        <v>20211</v>
      </c>
      <c r="BA53" s="269">
        <f t="shared" si="2"/>
        <v>12595</v>
      </c>
      <c r="BB53" s="269">
        <f t="shared" si="2"/>
        <v>0</v>
      </c>
      <c r="BC53" s="269">
        <f t="shared" si="2"/>
        <v>0</v>
      </c>
      <c r="BD53" s="269">
        <f t="shared" si="2"/>
        <v>23673</v>
      </c>
      <c r="BE53" s="269">
        <f t="shared" si="2"/>
        <v>76337</v>
      </c>
      <c r="BF53" s="269">
        <f t="shared" si="2"/>
        <v>5053</v>
      </c>
      <c r="BG53" s="269">
        <f t="shared" si="2"/>
        <v>0</v>
      </c>
      <c r="BH53" s="269">
        <f t="shared" si="2"/>
        <v>50911</v>
      </c>
      <c r="BI53" s="269">
        <f t="shared" si="2"/>
        <v>0</v>
      </c>
      <c r="BJ53" s="269">
        <f t="shared" si="2"/>
        <v>9782</v>
      </c>
      <c r="BK53" s="269">
        <f t="shared" si="2"/>
        <v>117820</v>
      </c>
      <c r="BL53" s="269">
        <f t="shared" si="2"/>
        <v>6202</v>
      </c>
      <c r="BM53" s="269">
        <f t="shared" si="2"/>
        <v>0</v>
      </c>
      <c r="BN53" s="269">
        <f t="shared" si="2"/>
        <v>440979</v>
      </c>
      <c r="BO53" s="269">
        <f t="shared" si="2"/>
        <v>0</v>
      </c>
      <c r="BP53" s="269">
        <f t="shared" ref="BP53:CD53" si="3">IF($B$53,ROUND(($B$53/($CE$91+$CF$91)*BP91),0))</f>
        <v>0</v>
      </c>
      <c r="BQ53" s="269">
        <f t="shared" si="3"/>
        <v>0</v>
      </c>
      <c r="BR53" s="269">
        <f t="shared" si="3"/>
        <v>22495</v>
      </c>
      <c r="BS53" s="269">
        <f t="shared" si="3"/>
        <v>0</v>
      </c>
      <c r="BT53" s="269">
        <f t="shared" si="3"/>
        <v>0</v>
      </c>
      <c r="BU53" s="269">
        <f t="shared" si="3"/>
        <v>0</v>
      </c>
      <c r="BV53" s="269">
        <f t="shared" si="3"/>
        <v>0</v>
      </c>
      <c r="BW53" s="269">
        <f t="shared" si="3"/>
        <v>1237</v>
      </c>
      <c r="BX53" s="269">
        <f t="shared" si="3"/>
        <v>0</v>
      </c>
      <c r="BY53" s="269">
        <f t="shared" si="3"/>
        <v>6983</v>
      </c>
      <c r="BZ53" s="269">
        <f t="shared" si="3"/>
        <v>0</v>
      </c>
      <c r="CA53" s="269">
        <f t="shared" si="3"/>
        <v>0</v>
      </c>
      <c r="CB53" s="269">
        <f t="shared" si="3"/>
        <v>0</v>
      </c>
      <c r="CC53" s="269">
        <f t="shared" si="3"/>
        <v>0</v>
      </c>
      <c r="CD53" s="269">
        <f t="shared" si="3"/>
        <v>0</v>
      </c>
      <c r="CE53" s="32">
        <f>SUM(C53:CD53)</f>
        <v>2049862</v>
      </c>
    </row>
    <row r="54" spans="1:83" x14ac:dyDescent="0.35">
      <c r="A54" s="20" t="s">
        <v>218</v>
      </c>
      <c r="B54" s="269">
        <f>B52+B53</f>
        <v>2049864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857</v>
      </c>
      <c r="D60" s="213"/>
      <c r="E60" s="213">
        <v>2325</v>
      </c>
      <c r="F60" s="213"/>
      <c r="G60" s="213"/>
      <c r="H60" s="213"/>
      <c r="I60" s="213"/>
      <c r="J60" s="213">
        <v>444</v>
      </c>
      <c r="K60" s="213"/>
      <c r="L60" s="213">
        <v>74</v>
      </c>
      <c r="M60" s="213"/>
      <c r="N60" s="213"/>
      <c r="O60" s="213">
        <v>280</v>
      </c>
      <c r="P60" s="214"/>
      <c r="Q60" s="214"/>
      <c r="R60" s="214"/>
      <c r="S60" s="262"/>
      <c r="T60" s="262"/>
      <c r="U60" s="227">
        <v>288552</v>
      </c>
      <c r="V60" s="214"/>
      <c r="W60" s="214">
        <v>2029</v>
      </c>
      <c r="X60" s="214">
        <v>5896</v>
      </c>
      <c r="Y60" s="214">
        <v>24091</v>
      </c>
      <c r="Z60" s="214"/>
      <c r="AA60" s="214"/>
      <c r="AB60" s="262"/>
      <c r="AC60" s="214"/>
      <c r="AD60" s="214"/>
      <c r="AE60" s="214">
        <v>15095</v>
      </c>
      <c r="AF60" s="214"/>
      <c r="AG60" s="214">
        <v>13988</v>
      </c>
      <c r="AH60" s="214"/>
      <c r="AI60" s="214"/>
      <c r="AJ60" s="214">
        <v>88964</v>
      </c>
      <c r="AK60" s="214">
        <v>3129</v>
      </c>
      <c r="AL60" s="214">
        <v>3176</v>
      </c>
      <c r="AM60" s="214"/>
      <c r="AN60" s="214"/>
      <c r="AO60" s="214"/>
      <c r="AP60" s="214"/>
      <c r="AQ60" s="214"/>
      <c r="AR60" s="214">
        <v>13181</v>
      </c>
      <c r="AS60" s="214"/>
      <c r="AT60" s="214"/>
      <c r="AU60" s="214"/>
      <c r="AV60" s="262"/>
      <c r="AW60" s="262"/>
      <c r="AX60" s="262"/>
      <c r="AY60" s="214">
        <v>11541</v>
      </c>
      <c r="AZ60" s="214">
        <v>28225</v>
      </c>
      <c r="BA60" s="262"/>
      <c r="BB60" s="262"/>
      <c r="BC60" s="262"/>
      <c r="BD60" s="262"/>
      <c r="BE60" s="214">
        <v>139151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35">
      <c r="A61" s="240" t="s">
        <v>247</v>
      </c>
      <c r="B61" s="241"/>
      <c r="C61" s="242">
        <v>13.9</v>
      </c>
      <c r="D61" s="242"/>
      <c r="E61" s="242">
        <v>23.56</v>
      </c>
      <c r="F61" s="242"/>
      <c r="G61" s="242"/>
      <c r="H61" s="242"/>
      <c r="I61" s="242"/>
      <c r="J61" s="242">
        <v>2</v>
      </c>
      <c r="K61" s="242"/>
      <c r="L61" s="242"/>
      <c r="M61" s="242"/>
      <c r="N61" s="242"/>
      <c r="O61" s="242">
        <v>12.6</v>
      </c>
      <c r="P61" s="243">
        <v>28.2</v>
      </c>
      <c r="Q61" s="243">
        <v>0.4</v>
      </c>
      <c r="R61" s="243"/>
      <c r="S61" s="244">
        <v>4.3</v>
      </c>
      <c r="T61" s="244"/>
      <c r="U61" s="245">
        <v>28.95</v>
      </c>
      <c r="V61" s="243"/>
      <c r="W61" s="243">
        <v>0</v>
      </c>
      <c r="X61" s="243">
        <v>8.8800000000000008</v>
      </c>
      <c r="Y61" s="243">
        <v>12</v>
      </c>
      <c r="Z61" s="243"/>
      <c r="AA61" s="243"/>
      <c r="AB61" s="244">
        <v>13.29</v>
      </c>
      <c r="AC61" s="243">
        <v>7.64</v>
      </c>
      <c r="AD61" s="243"/>
      <c r="AE61" s="243">
        <v>3.87</v>
      </c>
      <c r="AF61" s="243"/>
      <c r="AG61" s="243">
        <v>32.21</v>
      </c>
      <c r="AH61" s="243"/>
      <c r="AI61" s="243"/>
      <c r="AJ61" s="243">
        <v>151.87</v>
      </c>
      <c r="AK61" s="243">
        <v>0</v>
      </c>
      <c r="AL61" s="243">
        <v>0</v>
      </c>
      <c r="AM61" s="243"/>
      <c r="AN61" s="243"/>
      <c r="AO61" s="243"/>
      <c r="AP61" s="243"/>
      <c r="AQ61" s="243"/>
      <c r="AR61" s="243">
        <v>18.869999999999997</v>
      </c>
      <c r="AS61" s="243"/>
      <c r="AT61" s="243"/>
      <c r="AU61" s="243"/>
      <c r="AV61" s="244"/>
      <c r="AW61" s="244"/>
      <c r="AX61" s="244"/>
      <c r="AY61" s="243">
        <v>4.0300000000000011</v>
      </c>
      <c r="AZ61" s="243">
        <v>9.8699999999999992</v>
      </c>
      <c r="BA61" s="244">
        <v>2.89</v>
      </c>
      <c r="BB61" s="244">
        <v>1.6</v>
      </c>
      <c r="BC61" s="244"/>
      <c r="BD61" s="244">
        <v>5.64</v>
      </c>
      <c r="BE61" s="243">
        <v>7.5</v>
      </c>
      <c r="BF61" s="244">
        <v>19.27</v>
      </c>
      <c r="BG61" s="244"/>
      <c r="BH61" s="244">
        <v>15.29</v>
      </c>
      <c r="BI61" s="244"/>
      <c r="BJ61" s="244">
        <v>5.93</v>
      </c>
      <c r="BK61" s="244">
        <v>19.3</v>
      </c>
      <c r="BL61" s="244">
        <v>14.56</v>
      </c>
      <c r="BM61" s="244"/>
      <c r="BN61" s="244">
        <v>6.5</v>
      </c>
      <c r="BO61" s="244">
        <v>5.99</v>
      </c>
      <c r="BP61" s="244">
        <v>3.13</v>
      </c>
      <c r="BQ61" s="244"/>
      <c r="BR61" s="244">
        <v>5.47</v>
      </c>
      <c r="BS61" s="244">
        <v>0.51</v>
      </c>
      <c r="BT61" s="244"/>
      <c r="BU61" s="244"/>
      <c r="BV61" s="244">
        <v>22.05</v>
      </c>
      <c r="BW61" s="244">
        <v>3.6</v>
      </c>
      <c r="BX61" s="244">
        <v>5.93</v>
      </c>
      <c r="BY61" s="244">
        <v>8.2999999999999989</v>
      </c>
      <c r="BZ61" s="244"/>
      <c r="CA61" s="244"/>
      <c r="CB61" s="244"/>
      <c r="CC61" s="244"/>
      <c r="CD61" s="246" t="s">
        <v>233</v>
      </c>
      <c r="CE61" s="267">
        <f t="shared" ref="CE61:CE69" si="4">SUM(C61:CD61)</f>
        <v>529.9</v>
      </c>
    </row>
    <row r="62" spans="1:83" x14ac:dyDescent="0.35">
      <c r="A62" s="39" t="s">
        <v>248</v>
      </c>
      <c r="B62" s="20"/>
      <c r="C62" s="213">
        <v>1756878</v>
      </c>
      <c r="D62" s="213"/>
      <c r="E62" s="213">
        <v>1945606</v>
      </c>
      <c r="F62" s="213"/>
      <c r="G62" s="213"/>
      <c r="H62" s="213"/>
      <c r="I62" s="213"/>
      <c r="J62" s="213">
        <v>202583</v>
      </c>
      <c r="K62" s="213"/>
      <c r="L62" s="213"/>
      <c r="M62" s="213"/>
      <c r="N62" s="213"/>
      <c r="O62" s="213">
        <v>1276270</v>
      </c>
      <c r="P62" s="214">
        <v>2823856</v>
      </c>
      <c r="Q62" s="214">
        <v>118926</v>
      </c>
      <c r="R62" s="214"/>
      <c r="S62" s="228">
        <v>220185</v>
      </c>
      <c r="T62" s="228"/>
      <c r="U62" s="227">
        <v>2076686</v>
      </c>
      <c r="V62" s="214"/>
      <c r="W62" s="214">
        <v>0</v>
      </c>
      <c r="X62" s="214">
        <v>672163</v>
      </c>
      <c r="Y62" s="214">
        <v>969961</v>
      </c>
      <c r="Z62" s="214"/>
      <c r="AA62" s="214"/>
      <c r="AB62" s="239">
        <v>1366597</v>
      </c>
      <c r="AC62" s="214">
        <v>609148</v>
      </c>
      <c r="AD62" s="214"/>
      <c r="AE62" s="214">
        <v>296723</v>
      </c>
      <c r="AF62" s="214"/>
      <c r="AG62" s="214">
        <v>5127040</v>
      </c>
      <c r="AH62" s="214"/>
      <c r="AI62" s="214"/>
      <c r="AJ62" s="214">
        <v>17031935</v>
      </c>
      <c r="AK62" s="214">
        <v>184</v>
      </c>
      <c r="AL62" s="214">
        <v>513</v>
      </c>
      <c r="AM62" s="214"/>
      <c r="AN62" s="214"/>
      <c r="AO62" s="214"/>
      <c r="AP62" s="214"/>
      <c r="AQ62" s="214"/>
      <c r="AR62" s="214">
        <v>1587175</v>
      </c>
      <c r="AS62" s="214"/>
      <c r="AT62" s="214"/>
      <c r="AU62" s="214"/>
      <c r="AV62" s="228"/>
      <c r="AW62" s="228"/>
      <c r="AX62" s="228"/>
      <c r="AY62" s="214">
        <v>209790</v>
      </c>
      <c r="AZ62" s="214">
        <v>513624</v>
      </c>
      <c r="BA62" s="228">
        <v>129990</v>
      </c>
      <c r="BB62" s="228">
        <v>136099</v>
      </c>
      <c r="BC62" s="228"/>
      <c r="BD62" s="228">
        <v>311435</v>
      </c>
      <c r="BE62" s="214">
        <v>566397</v>
      </c>
      <c r="BF62" s="228">
        <v>856838</v>
      </c>
      <c r="BG62" s="228"/>
      <c r="BH62" s="228">
        <v>1446152</v>
      </c>
      <c r="BI62" s="228"/>
      <c r="BJ62" s="228">
        <v>492710</v>
      </c>
      <c r="BK62" s="228">
        <v>1217369</v>
      </c>
      <c r="BL62" s="228">
        <v>686702</v>
      </c>
      <c r="BM62" s="228"/>
      <c r="BN62" s="228">
        <v>1059123</v>
      </c>
      <c r="BO62" s="228">
        <v>495392</v>
      </c>
      <c r="BP62" s="228">
        <v>319616</v>
      </c>
      <c r="BQ62" s="228"/>
      <c r="BR62" s="228">
        <v>476065</v>
      </c>
      <c r="BS62" s="228">
        <v>34125</v>
      </c>
      <c r="BT62" s="228"/>
      <c r="BU62" s="228"/>
      <c r="BV62" s="228">
        <v>1289084</v>
      </c>
      <c r="BW62" s="228">
        <v>835882</v>
      </c>
      <c r="BX62" s="228">
        <v>612511</v>
      </c>
      <c r="BY62" s="228">
        <v>1049615</v>
      </c>
      <c r="BZ62" s="228"/>
      <c r="CA62" s="228"/>
      <c r="CB62" s="228"/>
      <c r="CC62" s="228" t="s">
        <v>1364</v>
      </c>
      <c r="CD62" s="29" t="s">
        <v>233</v>
      </c>
      <c r="CE62" s="32">
        <f t="shared" si="4"/>
        <v>50820948</v>
      </c>
    </row>
    <row r="63" spans="1:83" x14ac:dyDescent="0.35">
      <c r="A63" s="39" t="s">
        <v>9</v>
      </c>
      <c r="B63" s="20"/>
      <c r="C63" s="268">
        <f>ROUND(C48+C49,0)</f>
        <v>428183</v>
      </c>
      <c r="D63" s="268">
        <f t="shared" ref="D63:BO63" si="5">ROUND(D48+D49,0)</f>
        <v>0</v>
      </c>
      <c r="E63" s="268">
        <f t="shared" si="5"/>
        <v>474179</v>
      </c>
      <c r="F63" s="268">
        <f t="shared" si="5"/>
        <v>0</v>
      </c>
      <c r="G63" s="268">
        <f t="shared" si="5"/>
        <v>0</v>
      </c>
      <c r="H63" s="268">
        <f t="shared" si="5"/>
        <v>0</v>
      </c>
      <c r="I63" s="268">
        <f t="shared" si="5"/>
        <v>0</v>
      </c>
      <c r="J63" s="268">
        <f t="shared" si="5"/>
        <v>49373</v>
      </c>
      <c r="K63" s="268">
        <f t="shared" si="5"/>
        <v>0</v>
      </c>
      <c r="L63" s="268">
        <f t="shared" si="5"/>
        <v>0</v>
      </c>
      <c r="M63" s="268">
        <f t="shared" si="5"/>
        <v>0</v>
      </c>
      <c r="N63" s="268">
        <f t="shared" si="5"/>
        <v>0</v>
      </c>
      <c r="O63" s="268">
        <f t="shared" si="5"/>
        <v>311050</v>
      </c>
      <c r="P63" s="268">
        <f t="shared" si="5"/>
        <v>688225</v>
      </c>
      <c r="Q63" s="268">
        <f t="shared" si="5"/>
        <v>28984</v>
      </c>
      <c r="R63" s="268">
        <f t="shared" si="5"/>
        <v>0</v>
      </c>
      <c r="S63" s="268">
        <f t="shared" si="5"/>
        <v>53663</v>
      </c>
      <c r="T63" s="268">
        <f t="shared" si="5"/>
        <v>0</v>
      </c>
      <c r="U63" s="268">
        <f t="shared" si="5"/>
        <v>506126</v>
      </c>
      <c r="V63" s="268">
        <f t="shared" si="5"/>
        <v>0</v>
      </c>
      <c r="W63" s="268">
        <f t="shared" si="5"/>
        <v>0</v>
      </c>
      <c r="X63" s="268">
        <f t="shared" si="5"/>
        <v>163818</v>
      </c>
      <c r="Y63" s="268">
        <f t="shared" si="5"/>
        <v>236397</v>
      </c>
      <c r="Z63" s="268">
        <f t="shared" si="5"/>
        <v>0</v>
      </c>
      <c r="AA63" s="268">
        <f t="shared" si="5"/>
        <v>0</v>
      </c>
      <c r="AB63" s="268">
        <f t="shared" si="5"/>
        <v>333064</v>
      </c>
      <c r="AC63" s="268">
        <f t="shared" si="5"/>
        <v>148460</v>
      </c>
      <c r="AD63" s="268">
        <f t="shared" si="5"/>
        <v>0</v>
      </c>
      <c r="AE63" s="268">
        <f t="shared" si="5"/>
        <v>72317</v>
      </c>
      <c r="AF63" s="268">
        <f t="shared" si="5"/>
        <v>0</v>
      </c>
      <c r="AG63" s="268">
        <f t="shared" si="5"/>
        <v>1249552</v>
      </c>
      <c r="AH63" s="268">
        <f t="shared" si="5"/>
        <v>0</v>
      </c>
      <c r="AI63" s="268">
        <f t="shared" si="5"/>
        <v>0</v>
      </c>
      <c r="AJ63" s="268">
        <f t="shared" si="5"/>
        <v>4150990</v>
      </c>
      <c r="AK63" s="268">
        <f t="shared" si="5"/>
        <v>45</v>
      </c>
      <c r="AL63" s="268">
        <f t="shared" si="5"/>
        <v>125</v>
      </c>
      <c r="AM63" s="268">
        <f t="shared" si="5"/>
        <v>0</v>
      </c>
      <c r="AN63" s="268">
        <f t="shared" si="5"/>
        <v>0</v>
      </c>
      <c r="AO63" s="268">
        <f t="shared" si="5"/>
        <v>0</v>
      </c>
      <c r="AP63" s="268">
        <f t="shared" si="5"/>
        <v>0</v>
      </c>
      <c r="AQ63" s="268">
        <f t="shared" si="5"/>
        <v>0</v>
      </c>
      <c r="AR63" s="268">
        <f t="shared" si="5"/>
        <v>386823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0</v>
      </c>
      <c r="AW63" s="268">
        <f t="shared" si="5"/>
        <v>0</v>
      </c>
      <c r="AX63" s="268">
        <f t="shared" si="5"/>
        <v>0</v>
      </c>
      <c r="AY63" s="268">
        <f t="shared" si="5"/>
        <v>51130</v>
      </c>
      <c r="AZ63" s="268">
        <f t="shared" si="5"/>
        <v>125179</v>
      </c>
      <c r="BA63" s="268">
        <f t="shared" si="5"/>
        <v>31681</v>
      </c>
      <c r="BB63" s="268">
        <f t="shared" si="5"/>
        <v>33170</v>
      </c>
      <c r="BC63" s="268">
        <f t="shared" si="5"/>
        <v>0</v>
      </c>
      <c r="BD63" s="268">
        <f t="shared" si="5"/>
        <v>75902</v>
      </c>
      <c r="BE63" s="268">
        <f t="shared" si="5"/>
        <v>138041</v>
      </c>
      <c r="BF63" s="268">
        <f t="shared" si="5"/>
        <v>208827</v>
      </c>
      <c r="BG63" s="268">
        <f t="shared" si="5"/>
        <v>0</v>
      </c>
      <c r="BH63" s="268">
        <f t="shared" si="5"/>
        <v>352453</v>
      </c>
      <c r="BI63" s="268">
        <f t="shared" si="5"/>
        <v>0</v>
      </c>
      <c r="BJ63" s="268">
        <f t="shared" si="5"/>
        <v>120082</v>
      </c>
      <c r="BK63" s="268">
        <f t="shared" si="5"/>
        <v>296695</v>
      </c>
      <c r="BL63" s="268">
        <f t="shared" si="5"/>
        <v>167362</v>
      </c>
      <c r="BM63" s="268">
        <f t="shared" si="5"/>
        <v>0</v>
      </c>
      <c r="BN63" s="268">
        <f t="shared" si="5"/>
        <v>258127</v>
      </c>
      <c r="BO63" s="268">
        <f t="shared" si="5"/>
        <v>120736</v>
      </c>
      <c r="BP63" s="268">
        <f t="shared" ref="BP63:CC63" si="6">ROUND(BP48+BP49,0)</f>
        <v>77896</v>
      </c>
      <c r="BQ63" s="268">
        <f t="shared" si="6"/>
        <v>0</v>
      </c>
      <c r="BR63" s="268">
        <f t="shared" si="6"/>
        <v>116026</v>
      </c>
      <c r="BS63" s="268">
        <f t="shared" si="6"/>
        <v>8317</v>
      </c>
      <c r="BT63" s="268">
        <f t="shared" si="6"/>
        <v>0</v>
      </c>
      <c r="BU63" s="268">
        <f t="shared" si="6"/>
        <v>0</v>
      </c>
      <c r="BV63" s="268">
        <f t="shared" si="6"/>
        <v>314173</v>
      </c>
      <c r="BW63" s="268">
        <f t="shared" si="6"/>
        <v>203720</v>
      </c>
      <c r="BX63" s="268">
        <f t="shared" si="6"/>
        <v>149280</v>
      </c>
      <c r="BY63" s="268">
        <f t="shared" si="6"/>
        <v>255810</v>
      </c>
      <c r="BZ63" s="268">
        <f t="shared" si="6"/>
        <v>0</v>
      </c>
      <c r="CA63" s="268">
        <f t="shared" si="6"/>
        <v>0</v>
      </c>
      <c r="CB63" s="268">
        <f t="shared" si="6"/>
        <v>0</v>
      </c>
      <c r="CC63" s="268">
        <f t="shared" si="6"/>
        <v>0</v>
      </c>
      <c r="CD63" s="29" t="s">
        <v>233</v>
      </c>
      <c r="CE63" s="32">
        <f t="shared" si="4"/>
        <v>12385981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>
        <v>500</v>
      </c>
      <c r="Q64" s="214"/>
      <c r="R64" s="214"/>
      <c r="S64" s="228"/>
      <c r="T64" s="228"/>
      <c r="U64" s="227">
        <v>17900</v>
      </c>
      <c r="V64" s="214"/>
      <c r="W64" s="214"/>
      <c r="X64" s="214"/>
      <c r="Y64" s="214"/>
      <c r="Z64" s="214"/>
      <c r="AA64" s="214"/>
      <c r="AB64" s="239"/>
      <c r="AC64" s="214">
        <v>3485</v>
      </c>
      <c r="AD64" s="214"/>
      <c r="AE64" s="214">
        <v>980</v>
      </c>
      <c r="AF64" s="214"/>
      <c r="AG64" s="214"/>
      <c r="AH64" s="214"/>
      <c r="AI64" s="214"/>
      <c r="AJ64" s="214">
        <v>732496</v>
      </c>
      <c r="AK64" s="214"/>
      <c r="AL64" s="214">
        <v>11620</v>
      </c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>
        <v>56692</v>
      </c>
      <c r="BK64" s="228">
        <v>15600</v>
      </c>
      <c r="BL64" s="228"/>
      <c r="BM64" s="228"/>
      <c r="BN64" s="228">
        <v>51173</v>
      </c>
      <c r="BO64" s="228"/>
      <c r="BP64" s="228"/>
      <c r="BQ64" s="228"/>
      <c r="BR64" s="228">
        <v>22468</v>
      </c>
      <c r="BS64" s="228"/>
      <c r="BT64" s="228"/>
      <c r="BU64" s="228"/>
      <c r="BV64" s="228"/>
      <c r="BW64" s="228"/>
      <c r="BX64" s="228">
        <v>4961</v>
      </c>
      <c r="BY64" s="228"/>
      <c r="BZ64" s="228"/>
      <c r="CA64" s="228"/>
      <c r="CB64" s="228"/>
      <c r="CC64" s="228"/>
      <c r="CD64" s="29" t="s">
        <v>233</v>
      </c>
      <c r="CE64" s="32">
        <f t="shared" si="4"/>
        <v>917875</v>
      </c>
    </row>
    <row r="65" spans="1:83" x14ac:dyDescent="0.35">
      <c r="A65" s="39" t="s">
        <v>250</v>
      </c>
      <c r="B65" s="20"/>
      <c r="C65" s="213">
        <v>124108</v>
      </c>
      <c r="D65" s="213"/>
      <c r="E65" s="213">
        <v>186497</v>
      </c>
      <c r="F65" s="213"/>
      <c r="G65" s="213"/>
      <c r="H65" s="213"/>
      <c r="I65" s="213"/>
      <c r="J65" s="213"/>
      <c r="K65" s="213"/>
      <c r="L65" s="213"/>
      <c r="M65" s="213"/>
      <c r="N65" s="213"/>
      <c r="O65" s="213">
        <v>107490</v>
      </c>
      <c r="P65" s="214">
        <v>3247655</v>
      </c>
      <c r="Q65" s="214">
        <v>23490</v>
      </c>
      <c r="R65" s="214">
        <v>34818</v>
      </c>
      <c r="S65" s="228">
        <v>134225</v>
      </c>
      <c r="T65" s="228"/>
      <c r="U65" s="227">
        <v>2240945</v>
      </c>
      <c r="V65" s="214"/>
      <c r="W65" s="214">
        <v>565</v>
      </c>
      <c r="X65" s="214">
        <v>64554</v>
      </c>
      <c r="Y65" s="214">
        <v>134471</v>
      </c>
      <c r="Z65" s="214"/>
      <c r="AA65" s="214"/>
      <c r="AB65" s="239">
        <v>2765705</v>
      </c>
      <c r="AC65" s="214">
        <v>107989</v>
      </c>
      <c r="AD65" s="214"/>
      <c r="AE65" s="214">
        <v>19324</v>
      </c>
      <c r="AF65" s="214"/>
      <c r="AG65" s="214">
        <v>359515</v>
      </c>
      <c r="AH65" s="214"/>
      <c r="AI65" s="214"/>
      <c r="AJ65" s="214">
        <v>1450896</v>
      </c>
      <c r="AK65" s="214">
        <v>11661</v>
      </c>
      <c r="AL65" s="214">
        <v>3766</v>
      </c>
      <c r="AM65" s="214"/>
      <c r="AN65" s="214"/>
      <c r="AO65" s="214"/>
      <c r="AP65" s="214"/>
      <c r="AQ65" s="214"/>
      <c r="AR65" s="214">
        <v>114416</v>
      </c>
      <c r="AS65" s="214"/>
      <c r="AT65" s="214"/>
      <c r="AU65" s="214"/>
      <c r="AV65" s="228"/>
      <c r="AW65" s="228"/>
      <c r="AX65" s="228"/>
      <c r="AY65" s="214">
        <v>84687</v>
      </c>
      <c r="AZ65" s="214">
        <v>207335</v>
      </c>
      <c r="BA65" s="228">
        <v>30221</v>
      </c>
      <c r="BB65" s="228">
        <v>132</v>
      </c>
      <c r="BC65" s="228"/>
      <c r="BD65" s="228">
        <v>-155300</v>
      </c>
      <c r="BE65" s="214">
        <v>72924</v>
      </c>
      <c r="BF65" s="228">
        <v>330194</v>
      </c>
      <c r="BG65" s="228"/>
      <c r="BH65" s="228">
        <v>235525</v>
      </c>
      <c r="BI65" s="228"/>
      <c r="BJ65" s="228">
        <v>4973</v>
      </c>
      <c r="BK65" s="228">
        <v>17070</v>
      </c>
      <c r="BL65" s="228">
        <v>33127</v>
      </c>
      <c r="BM65" s="228"/>
      <c r="BN65" s="228">
        <v>52108</v>
      </c>
      <c r="BO65" s="228">
        <v>7292</v>
      </c>
      <c r="BP65" s="228">
        <v>4091</v>
      </c>
      <c r="BQ65" s="228"/>
      <c r="BR65" s="228">
        <v>4283</v>
      </c>
      <c r="BS65" s="228">
        <v>7623</v>
      </c>
      <c r="BT65" s="228"/>
      <c r="BU65" s="228"/>
      <c r="BV65" s="228">
        <v>10239</v>
      </c>
      <c r="BW65" s="228">
        <v>3863</v>
      </c>
      <c r="BX65" s="228">
        <v>3115</v>
      </c>
      <c r="BY65" s="228">
        <v>14348</v>
      </c>
      <c r="BZ65" s="228"/>
      <c r="CA65" s="228"/>
      <c r="CB65" s="228"/>
      <c r="CC65" s="228"/>
      <c r="CD65" s="29" t="s">
        <v>233</v>
      </c>
      <c r="CE65" s="32">
        <f t="shared" si="4"/>
        <v>12099940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>
        <v>2287</v>
      </c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39"/>
      <c r="AC66" s="214"/>
      <c r="AD66" s="214"/>
      <c r="AE66" s="214">
        <v>1269</v>
      </c>
      <c r="AF66" s="214"/>
      <c r="AG66" s="214"/>
      <c r="AH66" s="214"/>
      <c r="AI66" s="214"/>
      <c r="AJ66" s="214">
        <v>131786</v>
      </c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>
        <v>56</v>
      </c>
      <c r="AZ66" s="214"/>
      <c r="BA66" s="228"/>
      <c r="BB66" s="228"/>
      <c r="BC66" s="228"/>
      <c r="BD66" s="228"/>
      <c r="BE66" s="214">
        <v>1025500</v>
      </c>
      <c r="BF66" s="228"/>
      <c r="BG66" s="228"/>
      <c r="BH66" s="228">
        <v>19059</v>
      </c>
      <c r="BI66" s="228"/>
      <c r="BJ66" s="228"/>
      <c r="BK66" s="228">
        <v>1100</v>
      </c>
      <c r="BL66" s="228"/>
      <c r="BM66" s="228"/>
      <c r="BN66" s="228"/>
      <c r="BO66" s="228">
        <v>4926</v>
      </c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1185983</v>
      </c>
    </row>
    <row r="67" spans="1:83" x14ac:dyDescent="0.35">
      <c r="A67" s="39" t="s">
        <v>252</v>
      </c>
      <c r="B67" s="20"/>
      <c r="C67" s="213">
        <v>4425</v>
      </c>
      <c r="D67" s="213"/>
      <c r="E67" s="213">
        <v>10663</v>
      </c>
      <c r="F67" s="213"/>
      <c r="G67" s="213"/>
      <c r="H67" s="213"/>
      <c r="I67" s="213"/>
      <c r="J67" s="213"/>
      <c r="K67" s="213"/>
      <c r="L67" s="213"/>
      <c r="M67" s="213"/>
      <c r="N67" s="213"/>
      <c r="O67" s="213">
        <v>7221</v>
      </c>
      <c r="P67" s="214">
        <v>152187</v>
      </c>
      <c r="Q67" s="214">
        <v>399</v>
      </c>
      <c r="R67" s="214">
        <v>66586</v>
      </c>
      <c r="S67" s="228">
        <v>68065</v>
      </c>
      <c r="T67" s="228"/>
      <c r="U67" s="227">
        <v>2452247</v>
      </c>
      <c r="V67" s="214"/>
      <c r="W67" s="214">
        <v>754494</v>
      </c>
      <c r="X67" s="214">
        <v>130128</v>
      </c>
      <c r="Y67" s="214">
        <v>397202</v>
      </c>
      <c r="Z67" s="214"/>
      <c r="AA67" s="214"/>
      <c r="AB67" s="239">
        <v>324236</v>
      </c>
      <c r="AC67" s="214">
        <v>2177</v>
      </c>
      <c r="AD67" s="214"/>
      <c r="AE67" s="214">
        <v>1180420</v>
      </c>
      <c r="AF67" s="214"/>
      <c r="AG67" s="214">
        <v>116245</v>
      </c>
      <c r="AH67" s="214"/>
      <c r="AI67" s="214"/>
      <c r="AJ67" s="214">
        <v>968496</v>
      </c>
      <c r="AK67" s="214">
        <v>281485</v>
      </c>
      <c r="AL67" s="214">
        <v>295511</v>
      </c>
      <c r="AM67" s="214"/>
      <c r="AN67" s="214"/>
      <c r="AO67" s="214"/>
      <c r="AP67" s="214"/>
      <c r="AQ67" s="214"/>
      <c r="AR67" s="214">
        <v>225580</v>
      </c>
      <c r="AS67" s="214"/>
      <c r="AT67" s="214"/>
      <c r="AU67" s="214"/>
      <c r="AV67" s="228"/>
      <c r="AW67" s="228"/>
      <c r="AX67" s="228"/>
      <c r="AY67" s="214">
        <v>7269</v>
      </c>
      <c r="AZ67" s="214"/>
      <c r="BA67" s="228">
        <v>1152</v>
      </c>
      <c r="BB67" s="228">
        <v>4191</v>
      </c>
      <c r="BC67" s="228"/>
      <c r="BD67" s="228">
        <v>88599</v>
      </c>
      <c r="BE67" s="214">
        <v>1156064</v>
      </c>
      <c r="BF67" s="228">
        <v>314046</v>
      </c>
      <c r="BG67" s="228"/>
      <c r="BH67" s="228">
        <v>2602857</v>
      </c>
      <c r="BI67" s="228"/>
      <c r="BJ67" s="228">
        <v>258163</v>
      </c>
      <c r="BK67" s="228">
        <v>649130</v>
      </c>
      <c r="BL67" s="228">
        <v>9890</v>
      </c>
      <c r="BM67" s="228"/>
      <c r="BN67" s="228">
        <v>47283</v>
      </c>
      <c r="BO67" s="228">
        <v>121026</v>
      </c>
      <c r="BP67" s="228">
        <v>35781</v>
      </c>
      <c r="BQ67" s="228"/>
      <c r="BR67" s="228">
        <v>169765</v>
      </c>
      <c r="BS67" s="228">
        <v>907</v>
      </c>
      <c r="BT67" s="228"/>
      <c r="BU67" s="228"/>
      <c r="BV67" s="228">
        <v>478452</v>
      </c>
      <c r="BW67" s="228">
        <v>27422</v>
      </c>
      <c r="BX67" s="228">
        <v>104137</v>
      </c>
      <c r="BY67" s="228">
        <v>516978</v>
      </c>
      <c r="BZ67" s="228"/>
      <c r="CA67" s="228"/>
      <c r="CB67" s="228"/>
      <c r="CC67" s="228"/>
      <c r="CD67" s="29" t="s">
        <v>233</v>
      </c>
      <c r="CE67" s="32">
        <f t="shared" si="4"/>
        <v>14030879</v>
      </c>
    </row>
    <row r="68" spans="1:83" x14ac:dyDescent="0.35">
      <c r="A68" s="39" t="s">
        <v>11</v>
      </c>
      <c r="B68" s="20"/>
      <c r="C68" s="32">
        <f t="shared" ref="C68:BN68" si="7">ROUND(C52+C53,0)</f>
        <v>66542</v>
      </c>
      <c r="D68" s="32">
        <f t="shared" si="7"/>
        <v>0</v>
      </c>
      <c r="E68" s="32">
        <f t="shared" si="7"/>
        <v>239560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3712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81179</v>
      </c>
      <c r="P68" s="32">
        <f t="shared" si="7"/>
        <v>472357</v>
      </c>
      <c r="Q68" s="32">
        <f t="shared" si="7"/>
        <v>23714</v>
      </c>
      <c r="R68" s="32">
        <f t="shared" si="7"/>
        <v>13454</v>
      </c>
      <c r="S68" s="32">
        <f t="shared" si="7"/>
        <v>73087</v>
      </c>
      <c r="T68" s="32">
        <f t="shared" si="7"/>
        <v>0</v>
      </c>
      <c r="U68" s="32">
        <f t="shared" si="7"/>
        <v>204798</v>
      </c>
      <c r="V68" s="32">
        <f t="shared" si="7"/>
        <v>0</v>
      </c>
      <c r="W68" s="32">
        <f t="shared" si="7"/>
        <v>2092</v>
      </c>
      <c r="X68" s="32">
        <f t="shared" si="7"/>
        <v>36557</v>
      </c>
      <c r="Y68" s="32">
        <f t="shared" si="7"/>
        <v>252305</v>
      </c>
      <c r="Z68" s="32">
        <f t="shared" si="7"/>
        <v>0</v>
      </c>
      <c r="AA68" s="32">
        <f t="shared" si="7"/>
        <v>0</v>
      </c>
      <c r="AB68" s="32">
        <f t="shared" si="7"/>
        <v>18534</v>
      </c>
      <c r="AC68" s="32">
        <f t="shared" si="7"/>
        <v>53082</v>
      </c>
      <c r="AD68" s="32">
        <f t="shared" si="7"/>
        <v>0</v>
      </c>
      <c r="AE68" s="32">
        <f t="shared" si="7"/>
        <v>4347</v>
      </c>
      <c r="AF68" s="32">
        <f t="shared" si="7"/>
        <v>0</v>
      </c>
      <c r="AG68" s="32">
        <f t="shared" si="7"/>
        <v>112652</v>
      </c>
      <c r="AH68" s="32">
        <f t="shared" si="7"/>
        <v>0</v>
      </c>
      <c r="AI68" s="32">
        <f t="shared" si="7"/>
        <v>0</v>
      </c>
      <c r="AJ68" s="32">
        <f t="shared" si="7"/>
        <v>729837</v>
      </c>
      <c r="AK68" s="32">
        <f t="shared" si="7"/>
        <v>1964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41697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39507</v>
      </c>
      <c r="AZ68" s="32">
        <f t="shared" si="7"/>
        <v>22150</v>
      </c>
      <c r="BA68" s="32">
        <f t="shared" si="7"/>
        <v>18939</v>
      </c>
      <c r="BB68" s="32">
        <f t="shared" si="7"/>
        <v>0</v>
      </c>
      <c r="BC68" s="32">
        <f t="shared" si="7"/>
        <v>0</v>
      </c>
      <c r="BD68" s="32">
        <f t="shared" si="7"/>
        <v>23673</v>
      </c>
      <c r="BE68" s="32">
        <f t="shared" si="7"/>
        <v>130894</v>
      </c>
      <c r="BF68" s="32">
        <f t="shared" si="7"/>
        <v>7387</v>
      </c>
      <c r="BG68" s="32">
        <f t="shared" si="7"/>
        <v>0</v>
      </c>
      <c r="BH68" s="32">
        <f t="shared" si="7"/>
        <v>1075172</v>
      </c>
      <c r="BI68" s="32">
        <f t="shared" si="7"/>
        <v>0</v>
      </c>
      <c r="BJ68" s="32">
        <f t="shared" si="7"/>
        <v>10523</v>
      </c>
      <c r="BK68" s="32">
        <f t="shared" si="7"/>
        <v>119980</v>
      </c>
      <c r="BL68" s="32">
        <f t="shared" si="7"/>
        <v>6202</v>
      </c>
      <c r="BM68" s="32">
        <f t="shared" si="7"/>
        <v>0</v>
      </c>
      <c r="BN68" s="32">
        <f t="shared" si="7"/>
        <v>447889</v>
      </c>
      <c r="BO68" s="32">
        <f t="shared" ref="BO68:CC68" si="8">ROUND(BO52+BO53,0)</f>
        <v>3358</v>
      </c>
      <c r="BP68" s="32">
        <f t="shared" si="8"/>
        <v>0</v>
      </c>
      <c r="BQ68" s="32">
        <f t="shared" si="8"/>
        <v>0</v>
      </c>
      <c r="BR68" s="32">
        <f t="shared" si="8"/>
        <v>62021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5669</v>
      </c>
      <c r="BW68" s="32">
        <f t="shared" si="8"/>
        <v>1237</v>
      </c>
      <c r="BX68" s="32">
        <f t="shared" si="8"/>
        <v>576</v>
      </c>
      <c r="BY68" s="32">
        <f t="shared" si="8"/>
        <v>10009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4416656</v>
      </c>
    </row>
    <row r="69" spans="1:83" x14ac:dyDescent="0.35">
      <c r="A69" s="39" t="s">
        <v>253</v>
      </c>
      <c r="B69" s="32"/>
      <c r="C69" s="213">
        <v>0</v>
      </c>
      <c r="D69" s="213"/>
      <c r="E69" s="213">
        <v>12687</v>
      </c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>
        <v>15329</v>
      </c>
      <c r="Q69" s="214"/>
      <c r="R69" s="214"/>
      <c r="S69" s="228"/>
      <c r="T69" s="228"/>
      <c r="U69" s="227">
        <v>116518</v>
      </c>
      <c r="V69" s="214"/>
      <c r="W69" s="214">
        <v>0</v>
      </c>
      <c r="X69" s="214">
        <v>62262</v>
      </c>
      <c r="Y69" s="214">
        <v>239308</v>
      </c>
      <c r="Z69" s="214"/>
      <c r="AA69" s="214"/>
      <c r="AB69" s="239">
        <v>204635</v>
      </c>
      <c r="AC69" s="214">
        <v>6686</v>
      </c>
      <c r="AD69" s="214"/>
      <c r="AE69" s="214">
        <v>143794</v>
      </c>
      <c r="AF69" s="214"/>
      <c r="AG69" s="214"/>
      <c r="AH69" s="214"/>
      <c r="AI69" s="214"/>
      <c r="AJ69" s="214">
        <v>304705</v>
      </c>
      <c r="AK69" s="214">
        <v>45695</v>
      </c>
      <c r="AL69" s="214">
        <v>13428</v>
      </c>
      <c r="AM69" s="214"/>
      <c r="AN69" s="214"/>
      <c r="AO69" s="214"/>
      <c r="AP69" s="214"/>
      <c r="AQ69" s="214"/>
      <c r="AR69" s="214">
        <v>37835</v>
      </c>
      <c r="AS69" s="214"/>
      <c r="AT69" s="214"/>
      <c r="AU69" s="214"/>
      <c r="AV69" s="228"/>
      <c r="AW69" s="228"/>
      <c r="AX69" s="228"/>
      <c r="AY69" s="214">
        <v>543</v>
      </c>
      <c r="AZ69" s="214">
        <v>1329</v>
      </c>
      <c r="BA69" s="228"/>
      <c r="BB69" s="228"/>
      <c r="BC69" s="228"/>
      <c r="BD69" s="228">
        <v>98</v>
      </c>
      <c r="BE69" s="214">
        <v>2124</v>
      </c>
      <c r="BF69" s="228"/>
      <c r="BG69" s="228"/>
      <c r="BH69" s="228"/>
      <c r="BI69" s="228"/>
      <c r="BJ69" s="228"/>
      <c r="BK69" s="228"/>
      <c r="BL69" s="228"/>
      <c r="BM69" s="228"/>
      <c r="BN69" s="228">
        <v>56038</v>
      </c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1263014</v>
      </c>
    </row>
    <row r="70" spans="1:83" x14ac:dyDescent="0.35">
      <c r="A70" s="39" t="s">
        <v>254</v>
      </c>
      <c r="B70" s="20"/>
      <c r="C70" s="32">
        <f t="shared" ref="C70:BN70" si="9">SUM(C71:C84)</f>
        <v>1110</v>
      </c>
      <c r="D70" s="32">
        <f t="shared" si="9"/>
        <v>0</v>
      </c>
      <c r="E70" s="32">
        <f t="shared" si="9"/>
        <v>2153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2215</v>
      </c>
      <c r="P70" s="32">
        <f t="shared" si="9"/>
        <v>5689</v>
      </c>
      <c r="Q70" s="32">
        <f t="shared" si="9"/>
        <v>0</v>
      </c>
      <c r="R70" s="32">
        <f t="shared" si="9"/>
        <v>0</v>
      </c>
      <c r="S70" s="32">
        <f t="shared" si="9"/>
        <v>1906</v>
      </c>
      <c r="T70" s="32">
        <f t="shared" si="9"/>
        <v>0</v>
      </c>
      <c r="U70" s="32">
        <f t="shared" si="9"/>
        <v>51901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4191</v>
      </c>
      <c r="Z70" s="32">
        <f t="shared" si="9"/>
        <v>0</v>
      </c>
      <c r="AA70" s="32">
        <f t="shared" si="9"/>
        <v>0</v>
      </c>
      <c r="AB70" s="32">
        <f t="shared" si="9"/>
        <v>5930</v>
      </c>
      <c r="AC70" s="32">
        <f t="shared" si="9"/>
        <v>348</v>
      </c>
      <c r="AD70" s="32">
        <f t="shared" si="9"/>
        <v>0</v>
      </c>
      <c r="AE70" s="32">
        <f t="shared" si="9"/>
        <v>2579</v>
      </c>
      <c r="AF70" s="32">
        <f t="shared" si="9"/>
        <v>0</v>
      </c>
      <c r="AG70" s="32">
        <f t="shared" si="9"/>
        <v>90133</v>
      </c>
      <c r="AH70" s="32">
        <f t="shared" si="9"/>
        <v>0</v>
      </c>
      <c r="AI70" s="32">
        <f t="shared" si="9"/>
        <v>0</v>
      </c>
      <c r="AJ70" s="32">
        <f t="shared" si="9"/>
        <v>444804</v>
      </c>
      <c r="AK70" s="32">
        <f t="shared" si="9"/>
        <v>43</v>
      </c>
      <c r="AL70" s="32">
        <f t="shared" si="9"/>
        <v>43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75623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6169</v>
      </c>
      <c r="AZ70" s="32">
        <f t="shared" si="9"/>
        <v>0</v>
      </c>
      <c r="BA70" s="32">
        <f t="shared" si="9"/>
        <v>0</v>
      </c>
      <c r="BB70" s="32">
        <f t="shared" si="9"/>
        <v>59</v>
      </c>
      <c r="BC70" s="32">
        <f t="shared" si="9"/>
        <v>0</v>
      </c>
      <c r="BD70" s="32">
        <f t="shared" si="9"/>
        <v>123748</v>
      </c>
      <c r="BE70" s="32">
        <f t="shared" si="9"/>
        <v>7049</v>
      </c>
      <c r="BF70" s="32">
        <f t="shared" si="9"/>
        <v>379</v>
      </c>
      <c r="BG70" s="32">
        <f t="shared" si="9"/>
        <v>0</v>
      </c>
      <c r="BH70" s="32">
        <f t="shared" si="9"/>
        <v>460</v>
      </c>
      <c r="BI70" s="32">
        <f t="shared" si="9"/>
        <v>0</v>
      </c>
      <c r="BJ70" s="32">
        <f t="shared" si="9"/>
        <v>923</v>
      </c>
      <c r="BK70" s="32">
        <f t="shared" si="9"/>
        <v>9899</v>
      </c>
      <c r="BL70" s="32">
        <f t="shared" si="9"/>
        <v>878</v>
      </c>
      <c r="BM70" s="32">
        <f t="shared" si="9"/>
        <v>0</v>
      </c>
      <c r="BN70" s="32">
        <f t="shared" si="9"/>
        <v>1936563</v>
      </c>
      <c r="BO70" s="32">
        <f t="shared" ref="BO70:CD70" si="10">SUM(BO71:BO84)</f>
        <v>0</v>
      </c>
      <c r="BP70" s="32">
        <f t="shared" si="10"/>
        <v>152506</v>
      </c>
      <c r="BQ70" s="32">
        <f t="shared" si="10"/>
        <v>0</v>
      </c>
      <c r="BR70" s="32">
        <f t="shared" si="10"/>
        <v>57800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2229</v>
      </c>
      <c r="BW70" s="32">
        <f t="shared" si="10"/>
        <v>114880</v>
      </c>
      <c r="BX70" s="32">
        <f t="shared" si="10"/>
        <v>18685</v>
      </c>
      <c r="BY70" s="32">
        <f t="shared" si="10"/>
        <v>3676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3124571</v>
      </c>
    </row>
    <row r="71" spans="1:83" x14ac:dyDescent="0.3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1110</v>
      </c>
      <c r="D84" s="24"/>
      <c r="E84" s="30">
        <v>2153</v>
      </c>
      <c r="F84" s="30"/>
      <c r="G84" s="24"/>
      <c r="H84" s="24"/>
      <c r="I84" s="30"/>
      <c r="J84" s="30"/>
      <c r="K84" s="30"/>
      <c r="L84" s="30"/>
      <c r="M84" s="24"/>
      <c r="N84" s="24"/>
      <c r="O84" s="24">
        <v>2215</v>
      </c>
      <c r="P84" s="30">
        <v>5689</v>
      </c>
      <c r="Q84" s="30"/>
      <c r="R84" s="31"/>
      <c r="S84" s="30">
        <v>1906</v>
      </c>
      <c r="T84" s="24"/>
      <c r="U84" s="30">
        <v>51901</v>
      </c>
      <c r="V84" s="30"/>
      <c r="W84" s="24"/>
      <c r="X84" s="30"/>
      <c r="Y84" s="30">
        <v>4191</v>
      </c>
      <c r="Z84" s="30"/>
      <c r="AA84" s="30"/>
      <c r="AB84" s="30">
        <v>5930</v>
      </c>
      <c r="AC84" s="30">
        <v>348</v>
      </c>
      <c r="AD84" s="30"/>
      <c r="AE84" s="30">
        <v>2579</v>
      </c>
      <c r="AF84" s="30"/>
      <c r="AG84" s="30">
        <v>90133</v>
      </c>
      <c r="AH84" s="30"/>
      <c r="AI84" s="30"/>
      <c r="AJ84" s="30">
        <v>444804</v>
      </c>
      <c r="AK84" s="30">
        <v>43</v>
      </c>
      <c r="AL84" s="30">
        <v>43</v>
      </c>
      <c r="AM84" s="30"/>
      <c r="AN84" s="30"/>
      <c r="AO84" s="24"/>
      <c r="AP84" s="30"/>
      <c r="AQ84" s="24"/>
      <c r="AR84" s="24">
        <v>75623</v>
      </c>
      <c r="AS84" s="24"/>
      <c r="AT84" s="24"/>
      <c r="AU84" s="30"/>
      <c r="AV84" s="30"/>
      <c r="AW84" s="30"/>
      <c r="AX84" s="30"/>
      <c r="AY84" s="30">
        <v>6169</v>
      </c>
      <c r="AZ84" s="30"/>
      <c r="BA84" s="30"/>
      <c r="BB84" s="30">
        <v>59</v>
      </c>
      <c r="BC84" s="30"/>
      <c r="BD84" s="30">
        <v>123748</v>
      </c>
      <c r="BE84" s="30">
        <v>7049</v>
      </c>
      <c r="BF84" s="30">
        <v>379</v>
      </c>
      <c r="BG84" s="30"/>
      <c r="BH84" s="31">
        <v>460</v>
      </c>
      <c r="BI84" s="30"/>
      <c r="BJ84" s="30">
        <v>923</v>
      </c>
      <c r="BK84" s="30">
        <v>9899</v>
      </c>
      <c r="BL84" s="30">
        <v>878</v>
      </c>
      <c r="BM84" s="30"/>
      <c r="BN84" s="30">
        <v>1936563</v>
      </c>
      <c r="BO84" s="30"/>
      <c r="BP84" s="30">
        <v>152506</v>
      </c>
      <c r="BQ84" s="30"/>
      <c r="BR84" s="30">
        <v>57800</v>
      </c>
      <c r="BS84" s="30"/>
      <c r="BT84" s="30"/>
      <c r="BU84" s="30"/>
      <c r="BV84" s="30">
        <v>2229</v>
      </c>
      <c r="BW84" s="30">
        <v>114880</v>
      </c>
      <c r="BX84" s="30">
        <v>18685</v>
      </c>
      <c r="BY84" s="30">
        <v>3676</v>
      </c>
      <c r="BZ84" s="30"/>
      <c r="CA84" s="30"/>
      <c r="CB84" s="30"/>
      <c r="CC84" s="30"/>
      <c r="CD84" s="35"/>
      <c r="CE84" s="32">
        <f t="shared" si="11"/>
        <v>3124571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2381246</v>
      </c>
      <c r="D86" s="32">
        <f t="shared" ref="D86:BO86" si="12">SUM(D62:D70)-D85</f>
        <v>0</v>
      </c>
      <c r="E86" s="32">
        <f t="shared" si="12"/>
        <v>2871345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255668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1785425</v>
      </c>
      <c r="P86" s="32">
        <f t="shared" si="12"/>
        <v>7408085</v>
      </c>
      <c r="Q86" s="32">
        <f t="shared" si="12"/>
        <v>195513</v>
      </c>
      <c r="R86" s="32">
        <f t="shared" si="12"/>
        <v>114858</v>
      </c>
      <c r="S86" s="32">
        <f t="shared" si="12"/>
        <v>551131</v>
      </c>
      <c r="T86" s="32">
        <f t="shared" si="12"/>
        <v>0</v>
      </c>
      <c r="U86" s="32">
        <f t="shared" si="12"/>
        <v>7667121</v>
      </c>
      <c r="V86" s="32">
        <f t="shared" si="12"/>
        <v>0</v>
      </c>
      <c r="W86" s="32">
        <f t="shared" si="12"/>
        <v>757151</v>
      </c>
      <c r="X86" s="32">
        <f t="shared" si="12"/>
        <v>1129482</v>
      </c>
      <c r="Y86" s="32">
        <f t="shared" si="12"/>
        <v>2233835</v>
      </c>
      <c r="Z86" s="32">
        <f t="shared" si="12"/>
        <v>0</v>
      </c>
      <c r="AA86" s="32">
        <f t="shared" si="12"/>
        <v>0</v>
      </c>
      <c r="AB86" s="32">
        <f t="shared" si="12"/>
        <v>5018701</v>
      </c>
      <c r="AC86" s="32">
        <f t="shared" si="12"/>
        <v>931375</v>
      </c>
      <c r="AD86" s="32">
        <f t="shared" si="12"/>
        <v>0</v>
      </c>
      <c r="AE86" s="32">
        <f t="shared" si="12"/>
        <v>1721753</v>
      </c>
      <c r="AF86" s="32">
        <f t="shared" si="12"/>
        <v>0</v>
      </c>
      <c r="AG86" s="32">
        <f t="shared" si="12"/>
        <v>7055137</v>
      </c>
      <c r="AH86" s="32">
        <f t="shared" si="12"/>
        <v>0</v>
      </c>
      <c r="AI86" s="32">
        <f t="shared" si="12"/>
        <v>0</v>
      </c>
      <c r="AJ86" s="32">
        <f t="shared" si="12"/>
        <v>25945945</v>
      </c>
      <c r="AK86" s="32">
        <f t="shared" si="12"/>
        <v>341077</v>
      </c>
      <c r="AL86" s="32">
        <f t="shared" si="12"/>
        <v>325006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2469149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399151</v>
      </c>
      <c r="AZ86" s="32">
        <f t="shared" si="12"/>
        <v>869617</v>
      </c>
      <c r="BA86" s="32">
        <f t="shared" si="12"/>
        <v>211983</v>
      </c>
      <c r="BB86" s="32">
        <f t="shared" si="12"/>
        <v>173651</v>
      </c>
      <c r="BC86" s="32">
        <f t="shared" si="12"/>
        <v>0</v>
      </c>
      <c r="BD86" s="32">
        <f t="shared" si="12"/>
        <v>468155</v>
      </c>
      <c r="BE86" s="32">
        <f t="shared" si="12"/>
        <v>3098993</v>
      </c>
      <c r="BF86" s="32">
        <f t="shared" si="12"/>
        <v>1717671</v>
      </c>
      <c r="BG86" s="32">
        <f t="shared" si="12"/>
        <v>0</v>
      </c>
      <c r="BH86" s="32">
        <f t="shared" si="12"/>
        <v>5731678</v>
      </c>
      <c r="BI86" s="32">
        <f t="shared" si="12"/>
        <v>0</v>
      </c>
      <c r="BJ86" s="32">
        <f t="shared" si="12"/>
        <v>944066</v>
      </c>
      <c r="BK86" s="32">
        <f t="shared" si="12"/>
        <v>2326843</v>
      </c>
      <c r="BL86" s="32">
        <f t="shared" si="12"/>
        <v>904161</v>
      </c>
      <c r="BM86" s="32">
        <f t="shared" si="12"/>
        <v>0</v>
      </c>
      <c r="BN86" s="32">
        <f t="shared" si="12"/>
        <v>3908304</v>
      </c>
      <c r="BO86" s="32">
        <f t="shared" si="12"/>
        <v>752730</v>
      </c>
      <c r="BP86" s="32">
        <f t="shared" ref="BP86:CD86" si="13">SUM(BP62:BP70)-BP85</f>
        <v>589890</v>
      </c>
      <c r="BQ86" s="32">
        <f t="shared" si="13"/>
        <v>0</v>
      </c>
      <c r="BR86" s="32">
        <f t="shared" si="13"/>
        <v>908428</v>
      </c>
      <c r="BS86" s="32">
        <f t="shared" si="13"/>
        <v>50972</v>
      </c>
      <c r="BT86" s="32">
        <f t="shared" si="13"/>
        <v>0</v>
      </c>
      <c r="BU86" s="32">
        <f t="shared" si="13"/>
        <v>0</v>
      </c>
      <c r="BV86" s="32">
        <f t="shared" si="13"/>
        <v>2099846</v>
      </c>
      <c r="BW86" s="32">
        <f t="shared" si="13"/>
        <v>1187004</v>
      </c>
      <c r="BX86" s="32">
        <f t="shared" si="13"/>
        <v>893265</v>
      </c>
      <c r="BY86" s="32">
        <f t="shared" si="13"/>
        <v>1850436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100245847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2586693</v>
      </c>
      <c r="D88" s="213"/>
      <c r="E88" s="213">
        <v>3425195</v>
      </c>
      <c r="F88" s="213"/>
      <c r="G88" s="213"/>
      <c r="H88" s="213"/>
      <c r="I88" s="213"/>
      <c r="J88" s="213">
        <v>974705</v>
      </c>
      <c r="K88" s="213"/>
      <c r="L88" s="213">
        <v>77481</v>
      </c>
      <c r="M88" s="213"/>
      <c r="N88" s="213"/>
      <c r="O88" s="213">
        <v>2513919</v>
      </c>
      <c r="P88" s="213">
        <v>5575731</v>
      </c>
      <c r="Q88" s="213">
        <v>236108</v>
      </c>
      <c r="R88" s="213"/>
      <c r="S88" s="213"/>
      <c r="T88" s="213"/>
      <c r="U88" s="213">
        <v>2058606</v>
      </c>
      <c r="V88" s="213"/>
      <c r="W88" s="213">
        <v>152550</v>
      </c>
      <c r="X88" s="213">
        <v>1308630</v>
      </c>
      <c r="Y88" s="213">
        <v>545583</v>
      </c>
      <c r="Z88" s="213"/>
      <c r="AA88" s="213"/>
      <c r="AB88" s="213">
        <v>5381881</v>
      </c>
      <c r="AC88" s="213">
        <v>529391</v>
      </c>
      <c r="AD88" s="213"/>
      <c r="AE88" s="213">
        <v>241595</v>
      </c>
      <c r="AF88" s="213"/>
      <c r="AG88" s="213">
        <v>400220</v>
      </c>
      <c r="AH88" s="213"/>
      <c r="AI88" s="213"/>
      <c r="AJ88" s="213"/>
      <c r="AK88" s="213">
        <v>76366</v>
      </c>
      <c r="AL88" s="213">
        <v>50384</v>
      </c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26135038</v>
      </c>
    </row>
    <row r="89" spans="1:84" x14ac:dyDescent="0.35">
      <c r="A89" s="26" t="s">
        <v>273</v>
      </c>
      <c r="B89" s="20"/>
      <c r="C89" s="213">
        <v>497078</v>
      </c>
      <c r="D89" s="213"/>
      <c r="E89" s="213">
        <v>2672721</v>
      </c>
      <c r="F89" s="213"/>
      <c r="G89" s="213"/>
      <c r="H89" s="213"/>
      <c r="I89" s="213"/>
      <c r="J89" s="213"/>
      <c r="K89" s="213"/>
      <c r="L89" s="213"/>
      <c r="M89" s="213"/>
      <c r="N89" s="213"/>
      <c r="O89" s="213">
        <v>569561</v>
      </c>
      <c r="P89" s="213">
        <v>24325440</v>
      </c>
      <c r="Q89" s="213">
        <v>2392705</v>
      </c>
      <c r="R89" s="213"/>
      <c r="S89" s="213"/>
      <c r="T89" s="213"/>
      <c r="U89" s="213">
        <v>28088376</v>
      </c>
      <c r="V89" s="213"/>
      <c r="W89" s="213">
        <v>7438082</v>
      </c>
      <c r="X89" s="213">
        <v>22038206</v>
      </c>
      <c r="Y89" s="213">
        <v>11556011</v>
      </c>
      <c r="Z89" s="213"/>
      <c r="AA89" s="213"/>
      <c r="AB89" s="213">
        <v>12514330</v>
      </c>
      <c r="AC89" s="213">
        <v>1877237</v>
      </c>
      <c r="AD89" s="213"/>
      <c r="AE89" s="213">
        <v>4069628</v>
      </c>
      <c r="AF89" s="213"/>
      <c r="AG89" s="213">
        <v>20140691</v>
      </c>
      <c r="AH89" s="213"/>
      <c r="AI89" s="213"/>
      <c r="AJ89" s="213">
        <v>29957923</v>
      </c>
      <c r="AK89" s="213">
        <v>763520</v>
      </c>
      <c r="AL89" s="213">
        <v>744398</v>
      </c>
      <c r="AM89" s="213"/>
      <c r="AN89" s="213"/>
      <c r="AO89" s="213"/>
      <c r="AP89" s="213"/>
      <c r="AQ89" s="213"/>
      <c r="AR89" s="213">
        <v>2849159</v>
      </c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172495066</v>
      </c>
    </row>
    <row r="90" spans="1:84" x14ac:dyDescent="0.35">
      <c r="A90" s="26" t="s">
        <v>274</v>
      </c>
      <c r="B90" s="20"/>
      <c r="C90" s="32">
        <f>C88+C89</f>
        <v>3083771</v>
      </c>
      <c r="D90" s="32">
        <f t="shared" ref="D90:AV90" si="15">D88+D89</f>
        <v>0</v>
      </c>
      <c r="E90" s="32">
        <f t="shared" si="15"/>
        <v>6097916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974705</v>
      </c>
      <c r="K90" s="32">
        <f t="shared" si="15"/>
        <v>0</v>
      </c>
      <c r="L90" s="32">
        <f t="shared" si="15"/>
        <v>77481</v>
      </c>
      <c r="M90" s="32">
        <f t="shared" si="15"/>
        <v>0</v>
      </c>
      <c r="N90" s="32">
        <f t="shared" si="15"/>
        <v>0</v>
      </c>
      <c r="O90" s="32">
        <f t="shared" si="15"/>
        <v>3083480</v>
      </c>
      <c r="P90" s="32">
        <f t="shared" si="15"/>
        <v>29901171</v>
      </c>
      <c r="Q90" s="32">
        <f t="shared" si="15"/>
        <v>2628813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30146982</v>
      </c>
      <c r="V90" s="32">
        <f t="shared" si="15"/>
        <v>0</v>
      </c>
      <c r="W90" s="32">
        <f t="shared" si="15"/>
        <v>7590632</v>
      </c>
      <c r="X90" s="32">
        <f t="shared" si="15"/>
        <v>23346836</v>
      </c>
      <c r="Y90" s="32">
        <f t="shared" si="15"/>
        <v>12101594</v>
      </c>
      <c r="Z90" s="32">
        <f t="shared" si="15"/>
        <v>0</v>
      </c>
      <c r="AA90" s="32">
        <f t="shared" si="15"/>
        <v>0</v>
      </c>
      <c r="AB90" s="32">
        <f t="shared" si="15"/>
        <v>17896211</v>
      </c>
      <c r="AC90" s="32">
        <f t="shared" si="15"/>
        <v>2406628</v>
      </c>
      <c r="AD90" s="32">
        <f t="shared" si="15"/>
        <v>0</v>
      </c>
      <c r="AE90" s="32">
        <f t="shared" si="15"/>
        <v>4311223</v>
      </c>
      <c r="AF90" s="32">
        <f t="shared" si="15"/>
        <v>0</v>
      </c>
      <c r="AG90" s="32">
        <f t="shared" si="15"/>
        <v>20540911</v>
      </c>
      <c r="AH90" s="32">
        <f t="shared" si="15"/>
        <v>0</v>
      </c>
      <c r="AI90" s="32">
        <f t="shared" si="15"/>
        <v>0</v>
      </c>
      <c r="AJ90" s="32">
        <f t="shared" si="15"/>
        <v>29957923</v>
      </c>
      <c r="AK90" s="32">
        <f t="shared" si="15"/>
        <v>839886</v>
      </c>
      <c r="AL90" s="32">
        <f t="shared" si="15"/>
        <v>794782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2849159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198630104</v>
      </c>
    </row>
    <row r="91" spans="1:84" x14ac:dyDescent="0.35">
      <c r="A91" s="39" t="s">
        <v>275</v>
      </c>
      <c r="B91" s="32"/>
      <c r="C91" s="213">
        <v>2897</v>
      </c>
      <c r="D91" s="213"/>
      <c r="E91" s="213">
        <v>13113</v>
      </c>
      <c r="F91" s="213"/>
      <c r="G91" s="213"/>
      <c r="H91" s="213"/>
      <c r="I91" s="213"/>
      <c r="J91" s="213">
        <v>252</v>
      </c>
      <c r="K91" s="213"/>
      <c r="L91" s="213"/>
      <c r="M91" s="213"/>
      <c r="N91" s="213"/>
      <c r="O91" s="213">
        <v>2224</v>
      </c>
      <c r="P91" s="213">
        <v>12295</v>
      </c>
      <c r="Q91" s="213">
        <v>1012</v>
      </c>
      <c r="R91" s="213"/>
      <c r="S91" s="213">
        <v>1529</v>
      </c>
      <c r="T91" s="213"/>
      <c r="U91" s="213">
        <v>4056</v>
      </c>
      <c r="V91" s="213"/>
      <c r="W91" s="213">
        <v>142</v>
      </c>
      <c r="X91" s="213">
        <v>2272</v>
      </c>
      <c r="Y91" s="213">
        <v>2355</v>
      </c>
      <c r="Z91" s="213"/>
      <c r="AA91" s="213"/>
      <c r="AB91" s="213">
        <v>1163</v>
      </c>
      <c r="AC91" s="213">
        <v>1032</v>
      </c>
      <c r="AD91" s="213"/>
      <c r="AE91" s="213"/>
      <c r="AF91" s="213"/>
      <c r="AG91" s="213">
        <v>5160</v>
      </c>
      <c r="AH91" s="213"/>
      <c r="AI91" s="213"/>
      <c r="AJ91" s="213">
        <v>31709</v>
      </c>
      <c r="AK91" s="213"/>
      <c r="AL91" s="213"/>
      <c r="AM91" s="213"/>
      <c r="AN91" s="213"/>
      <c r="AO91" s="213"/>
      <c r="AP91" s="213"/>
      <c r="AQ91" s="213"/>
      <c r="AR91" s="213">
        <v>1394</v>
      </c>
      <c r="AS91" s="213"/>
      <c r="AT91" s="213"/>
      <c r="AU91" s="213"/>
      <c r="AV91" s="213"/>
      <c r="AW91" s="213"/>
      <c r="AX91" s="213"/>
      <c r="AY91" s="213">
        <v>2628</v>
      </c>
      <c r="AZ91" s="213">
        <v>1372</v>
      </c>
      <c r="BA91" s="213">
        <v>855</v>
      </c>
      <c r="BB91" s="213"/>
      <c r="BC91" s="213"/>
      <c r="BD91" s="213">
        <v>1607</v>
      </c>
      <c r="BE91" s="213">
        <v>5182</v>
      </c>
      <c r="BF91" s="213">
        <v>343</v>
      </c>
      <c r="BG91" s="213"/>
      <c r="BH91" s="213">
        <v>3456</v>
      </c>
      <c r="BI91" s="213"/>
      <c r="BJ91" s="213">
        <v>664</v>
      </c>
      <c r="BK91" s="213">
        <v>7998</v>
      </c>
      <c r="BL91" s="213">
        <v>421</v>
      </c>
      <c r="BM91" s="213"/>
      <c r="BN91" s="213">
        <v>29935</v>
      </c>
      <c r="BO91" s="213"/>
      <c r="BP91" s="213"/>
      <c r="BQ91" s="213"/>
      <c r="BR91" s="213">
        <v>1527</v>
      </c>
      <c r="BS91" s="213"/>
      <c r="BT91" s="213"/>
      <c r="BU91" s="213"/>
      <c r="BV91" s="213"/>
      <c r="BW91" s="213">
        <v>84</v>
      </c>
      <c r="BX91" s="213"/>
      <c r="BY91" s="213">
        <v>474</v>
      </c>
      <c r="BZ91" s="213"/>
      <c r="CA91" s="213"/>
      <c r="CB91" s="213"/>
      <c r="CC91" s="213"/>
      <c r="CD91" s="233" t="s">
        <v>233</v>
      </c>
      <c r="CE91" s="32">
        <f t="shared" si="14"/>
        <v>139151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2604</v>
      </c>
      <c r="D92" s="213"/>
      <c r="E92" s="213">
        <v>8366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>
        <v>47</v>
      </c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>
        <v>524</v>
      </c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11541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759</v>
      </c>
      <c r="D93" s="213"/>
      <c r="E93" s="213">
        <v>3436</v>
      </c>
      <c r="F93" s="213"/>
      <c r="G93" s="213"/>
      <c r="H93" s="213"/>
      <c r="I93" s="213"/>
      <c r="J93" s="213">
        <v>66</v>
      </c>
      <c r="K93" s="213"/>
      <c r="L93" s="213"/>
      <c r="M93" s="213"/>
      <c r="N93" s="213"/>
      <c r="O93" s="213">
        <v>583</v>
      </c>
      <c r="P93" s="213">
        <v>3221</v>
      </c>
      <c r="Q93" s="213">
        <v>265</v>
      </c>
      <c r="R93" s="213"/>
      <c r="S93" s="213">
        <v>401</v>
      </c>
      <c r="T93" s="213"/>
      <c r="U93" s="213">
        <v>1063</v>
      </c>
      <c r="V93" s="213"/>
      <c r="W93" s="213">
        <v>37</v>
      </c>
      <c r="X93" s="213">
        <v>596</v>
      </c>
      <c r="Y93" s="213">
        <v>617</v>
      </c>
      <c r="Z93" s="213"/>
      <c r="AA93" s="213"/>
      <c r="AB93" s="213">
        <v>175</v>
      </c>
      <c r="AC93" s="213">
        <v>270</v>
      </c>
      <c r="AD93" s="213"/>
      <c r="AE93" s="213">
        <v>1811</v>
      </c>
      <c r="AF93" s="213"/>
      <c r="AG93" s="213">
        <v>1352</v>
      </c>
      <c r="AH93" s="213"/>
      <c r="AI93" s="213"/>
      <c r="AJ93" s="213">
        <v>8308</v>
      </c>
      <c r="AK93" s="213">
        <v>719</v>
      </c>
      <c r="AL93" s="213">
        <v>211</v>
      </c>
      <c r="AM93" s="213"/>
      <c r="AN93" s="213"/>
      <c r="AO93" s="213"/>
      <c r="AP93" s="213"/>
      <c r="AQ93" s="213"/>
      <c r="AR93" s="213">
        <v>366</v>
      </c>
      <c r="AS93" s="213"/>
      <c r="AT93" s="213"/>
      <c r="AU93" s="213"/>
      <c r="AV93" s="213"/>
      <c r="AW93" s="213"/>
      <c r="AX93" s="264" t="s">
        <v>233</v>
      </c>
      <c r="AY93" s="264" t="s">
        <v>233</v>
      </c>
      <c r="AZ93" s="229" t="s">
        <v>233</v>
      </c>
      <c r="BA93" s="213">
        <v>224</v>
      </c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881</v>
      </c>
      <c r="BI93" s="213"/>
      <c r="BJ93" s="229" t="s">
        <v>233</v>
      </c>
      <c r="BK93" s="213">
        <v>2096</v>
      </c>
      <c r="BL93" s="213">
        <v>110</v>
      </c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408</v>
      </c>
      <c r="BW93" s="213">
        <v>22</v>
      </c>
      <c r="BX93" s="213">
        <v>22</v>
      </c>
      <c r="BY93" s="213">
        <v>732</v>
      </c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28751</v>
      </c>
      <c r="CF93" s="20"/>
    </row>
    <row r="94" spans="1:84" x14ac:dyDescent="0.35">
      <c r="A94" s="26" t="s">
        <v>278</v>
      </c>
      <c r="B94" s="20"/>
      <c r="C94" s="213">
        <v>21528</v>
      </c>
      <c r="D94" s="213"/>
      <c r="E94" s="213">
        <v>54280</v>
      </c>
      <c r="F94" s="213"/>
      <c r="G94" s="213"/>
      <c r="H94" s="213"/>
      <c r="I94" s="213"/>
      <c r="J94" s="213">
        <v>10447</v>
      </c>
      <c r="K94" s="213"/>
      <c r="L94" s="213"/>
      <c r="M94" s="213"/>
      <c r="N94" s="213"/>
      <c r="O94" s="213">
        <v>54938</v>
      </c>
      <c r="P94" s="213">
        <v>76669</v>
      </c>
      <c r="Q94" s="213"/>
      <c r="R94" s="213"/>
      <c r="S94" s="213"/>
      <c r="T94" s="213"/>
      <c r="U94" s="213">
        <v>10088</v>
      </c>
      <c r="V94" s="213"/>
      <c r="W94" s="213">
        <v>4569</v>
      </c>
      <c r="X94" s="213">
        <v>13276</v>
      </c>
      <c r="Y94" s="213">
        <v>54245</v>
      </c>
      <c r="Z94" s="213"/>
      <c r="AA94" s="213"/>
      <c r="AB94" s="213"/>
      <c r="AC94" s="213">
        <v>1816</v>
      </c>
      <c r="AD94" s="213"/>
      <c r="AE94" s="213">
        <v>9079</v>
      </c>
      <c r="AF94" s="213"/>
      <c r="AG94" s="213">
        <v>72997</v>
      </c>
      <c r="AH94" s="213"/>
      <c r="AI94" s="213"/>
      <c r="AJ94" s="213">
        <v>29656</v>
      </c>
      <c r="AK94" s="213">
        <v>3632</v>
      </c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417220</v>
      </c>
      <c r="CF94" s="32">
        <f>BA60</f>
        <v>0</v>
      </c>
    </row>
    <row r="95" spans="1:84" x14ac:dyDescent="0.35">
      <c r="A95" s="26" t="s">
        <v>279</v>
      </c>
      <c r="B95" s="20"/>
      <c r="C95" s="242">
        <v>10.23</v>
      </c>
      <c r="D95" s="242"/>
      <c r="E95" s="242">
        <v>25.669999999999998</v>
      </c>
      <c r="F95" s="242"/>
      <c r="G95" s="242"/>
      <c r="H95" s="242"/>
      <c r="I95" s="242"/>
      <c r="J95" s="242">
        <v>1</v>
      </c>
      <c r="K95" s="242"/>
      <c r="L95" s="242"/>
      <c r="M95" s="242"/>
      <c r="N95" s="242"/>
      <c r="O95" s="242">
        <v>5.1999999999999993</v>
      </c>
      <c r="P95" s="243">
        <v>18.03</v>
      </c>
      <c r="Q95" s="243">
        <v>0.25</v>
      </c>
      <c r="R95" s="243"/>
      <c r="S95" s="244"/>
      <c r="T95" s="244"/>
      <c r="U95" s="245"/>
      <c r="V95" s="243"/>
      <c r="W95" s="243"/>
      <c r="X95" s="243"/>
      <c r="Y95" s="243"/>
      <c r="Z95" s="243"/>
      <c r="AA95" s="243"/>
      <c r="AB95" s="244"/>
      <c r="AC95" s="243"/>
      <c r="AD95" s="243"/>
      <c r="AE95" s="243"/>
      <c r="AF95" s="243"/>
      <c r="AG95" s="243">
        <v>16.79</v>
      </c>
      <c r="AH95" s="243"/>
      <c r="AI95" s="243"/>
      <c r="AJ95" s="243">
        <v>13.2</v>
      </c>
      <c r="AK95" s="243"/>
      <c r="AL95" s="243"/>
      <c r="AM95" s="243"/>
      <c r="AN95" s="243"/>
      <c r="AO95" s="243"/>
      <c r="AP95" s="243"/>
      <c r="AQ95" s="243"/>
      <c r="AR95" s="243">
        <v>6.4399999999999995</v>
      </c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96.809999999999988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1365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1366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1367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1369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7">
        <v>98926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47" t="s">
        <v>1370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1371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1372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1373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1" t="s">
        <v>1374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1" t="s">
        <v>1375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7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935</v>
      </c>
      <c r="D128" s="220">
        <v>3182</v>
      </c>
      <c r="E128" s="20"/>
    </row>
    <row r="129" spans="1:5" x14ac:dyDescent="0.35">
      <c r="A129" s="20" t="s">
        <v>311</v>
      </c>
      <c r="B129" s="46" t="s">
        <v>284</v>
      </c>
      <c r="C129" s="216">
        <v>9</v>
      </c>
      <c r="D129" s="220">
        <v>74</v>
      </c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280</v>
      </c>
      <c r="D131" s="220">
        <v>444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6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13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6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35">
      <c r="A145" s="20" t="s">
        <v>325</v>
      </c>
      <c r="B145" s="46" t="s">
        <v>284</v>
      </c>
      <c r="C145" s="47"/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6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>
        <v>77481</v>
      </c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431</v>
      </c>
      <c r="C155" s="50">
        <v>218</v>
      </c>
      <c r="D155" s="50">
        <v>286</v>
      </c>
      <c r="E155" s="32">
        <f>SUM(B155:D155)</f>
        <v>935</v>
      </c>
    </row>
    <row r="156" spans="1:6" x14ac:dyDescent="0.35">
      <c r="A156" s="20" t="s">
        <v>227</v>
      </c>
      <c r="B156" s="50">
        <v>1809</v>
      </c>
      <c r="C156" s="50">
        <v>464</v>
      </c>
      <c r="D156" s="50">
        <v>1427</v>
      </c>
      <c r="E156" s="32">
        <f>SUM(B156:D156)</f>
        <v>3700</v>
      </c>
    </row>
    <row r="157" spans="1:6" x14ac:dyDescent="0.35">
      <c r="A157" s="20" t="s">
        <v>332</v>
      </c>
      <c r="B157" s="50">
        <v>84634</v>
      </c>
      <c r="C157" s="50">
        <v>40720</v>
      </c>
      <c r="D157" s="50">
        <v>91935</v>
      </c>
      <c r="E157" s="32">
        <f>SUM(B157:D157)</f>
        <v>217289</v>
      </c>
    </row>
    <row r="158" spans="1:6" x14ac:dyDescent="0.35">
      <c r="A158" s="20" t="s">
        <v>272</v>
      </c>
      <c r="B158" s="50">
        <v>11029165</v>
      </c>
      <c r="C158" s="50">
        <v>5640646</v>
      </c>
      <c r="D158" s="50">
        <v>9387746</v>
      </c>
      <c r="E158" s="32">
        <f>SUM(B158:D158)</f>
        <v>26057557</v>
      </c>
      <c r="F158" s="18"/>
    </row>
    <row r="159" spans="1:6" x14ac:dyDescent="0.35">
      <c r="A159" s="20" t="s">
        <v>273</v>
      </c>
      <c r="B159" s="50">
        <v>70120901</v>
      </c>
      <c r="C159" s="50">
        <v>31430277</v>
      </c>
      <c r="D159" s="50">
        <v>70943888</v>
      </c>
      <c r="E159" s="32">
        <f>SUM(B159:D159)</f>
        <v>172495066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>
        <v>9</v>
      </c>
      <c r="C161" s="50"/>
      <c r="D161" s="50"/>
      <c r="E161" s="32">
        <f>SUM(B161:D161)</f>
        <v>9</v>
      </c>
    </row>
    <row r="162" spans="1:5" x14ac:dyDescent="0.35">
      <c r="A162" s="20" t="s">
        <v>227</v>
      </c>
      <c r="B162" s="50">
        <v>74</v>
      </c>
      <c r="C162" s="50"/>
      <c r="D162" s="50"/>
      <c r="E162" s="32">
        <f>SUM(B162:D162)</f>
        <v>74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>
        <v>77481</v>
      </c>
      <c r="C164" s="50"/>
      <c r="D164" s="50"/>
      <c r="E164" s="32">
        <f>SUM(B164:D164)</f>
        <v>77481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4696899</v>
      </c>
      <c r="C174" s="50">
        <v>4028279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3355301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56225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321603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5187272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58679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3253275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134395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19231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12385981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677245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585768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1263013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476648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300733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777381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174610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730191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904801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618983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618983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2808860</v>
      </c>
      <c r="C212" s="216"/>
      <c r="D212" s="220"/>
      <c r="E212" s="32">
        <f t="shared" ref="E212:E220" si="16">SUM(B212:C212)-D212</f>
        <v>2808860</v>
      </c>
    </row>
    <row r="213" spans="1:5" x14ac:dyDescent="0.35">
      <c r="A213" s="20" t="s">
        <v>367</v>
      </c>
      <c r="B213" s="220">
        <v>429006</v>
      </c>
      <c r="C213" s="216"/>
      <c r="D213" s="220"/>
      <c r="E213" s="32">
        <f t="shared" si="16"/>
        <v>429006</v>
      </c>
    </row>
    <row r="214" spans="1:5" x14ac:dyDescent="0.35">
      <c r="A214" s="20" t="s">
        <v>368</v>
      </c>
      <c r="B214" s="220">
        <v>46640888</v>
      </c>
      <c r="C214" s="216">
        <v>1133428</v>
      </c>
      <c r="D214" s="220"/>
      <c r="E214" s="32">
        <f t="shared" si="16"/>
        <v>47774316</v>
      </c>
    </row>
    <row r="215" spans="1:5" x14ac:dyDescent="0.35">
      <c r="A215" s="20" t="s">
        <v>369</v>
      </c>
      <c r="B215" s="220">
        <v>6963975</v>
      </c>
      <c r="C215" s="216"/>
      <c r="D215" s="220"/>
      <c r="E215" s="32">
        <f t="shared" si="16"/>
        <v>6963975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32524011</v>
      </c>
      <c r="C217" s="216">
        <v>2334590</v>
      </c>
      <c r="D217" s="220">
        <v>2113417</v>
      </c>
      <c r="E217" s="32">
        <f t="shared" si="16"/>
        <v>32745184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286545</v>
      </c>
      <c r="C220" s="216">
        <v>1898077</v>
      </c>
      <c r="D220" s="220">
        <v>532347</v>
      </c>
      <c r="E220" s="32">
        <f t="shared" si="16"/>
        <v>1652275</v>
      </c>
    </row>
    <row r="221" spans="1:5" x14ac:dyDescent="0.35">
      <c r="A221" s="20" t="s">
        <v>215</v>
      </c>
      <c r="B221" s="32">
        <f>SUM(B212:B220)</f>
        <v>89653285</v>
      </c>
      <c r="C221" s="265">
        <f>SUM(C212:C220)</f>
        <v>5366095</v>
      </c>
      <c r="D221" s="32">
        <f>SUM(D212:D220)</f>
        <v>2645764</v>
      </c>
      <c r="E221" s="32">
        <f>SUM(E212:E220)</f>
        <v>92373616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430621</v>
      </c>
      <c r="C226" s="216">
        <v>4330</v>
      </c>
      <c r="D226" s="220"/>
      <c r="E226" s="32">
        <f t="shared" ref="E226:E233" si="17">SUM(B226:C226)-D226</f>
        <v>434951</v>
      </c>
    </row>
    <row r="227" spans="1:5" x14ac:dyDescent="0.35">
      <c r="A227" s="20" t="s">
        <v>368</v>
      </c>
      <c r="B227" s="220">
        <v>18462371</v>
      </c>
      <c r="C227" s="216">
        <v>1828438</v>
      </c>
      <c r="D227" s="220"/>
      <c r="E227" s="32">
        <f t="shared" si="17"/>
        <v>20290809</v>
      </c>
    </row>
    <row r="228" spans="1:5" x14ac:dyDescent="0.35">
      <c r="A228" s="20" t="s">
        <v>369</v>
      </c>
      <c r="B228" s="220">
        <v>4114613</v>
      </c>
      <c r="C228" s="216">
        <v>318490</v>
      </c>
      <c r="D228" s="220"/>
      <c r="E228" s="32">
        <f t="shared" si="17"/>
        <v>4433103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23835108</v>
      </c>
      <c r="C230" s="216">
        <v>2360007</v>
      </c>
      <c r="D230" s="220">
        <v>2099737</v>
      </c>
      <c r="E230" s="32">
        <f t="shared" si="17"/>
        <v>24095378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46842713</v>
      </c>
      <c r="C234" s="265">
        <f>SUM(C225:C233)</f>
        <v>4511265</v>
      </c>
      <c r="D234" s="32">
        <f>SUM(D225:D233)</f>
        <v>2099737</v>
      </c>
      <c r="E234" s="32">
        <f>SUM(E225:E233)</f>
        <v>49254241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5248503</v>
      </c>
      <c r="D238" s="40">
        <f>C238</f>
        <v>5248503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40567106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19485044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/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18929787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/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78981937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3704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206511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1075143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1281654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3052375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3052375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88564469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25190022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35722017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24319514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360237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2482366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818867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958166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41212161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>
        <v>35766314</v>
      </c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35766314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2808860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429006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47774316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6963975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32745184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1652275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92373616</v>
      </c>
      <c r="E292" s="20"/>
    </row>
    <row r="293" spans="1:5" x14ac:dyDescent="0.35">
      <c r="A293" s="20" t="s">
        <v>416</v>
      </c>
      <c r="B293" s="46" t="s">
        <v>284</v>
      </c>
      <c r="C293" s="47">
        <v>49284241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43089375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120067850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2613363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4557805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2347000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1719552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11237720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>
        <v>39519</v>
      </c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2817513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2857032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525770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18911799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1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19437569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1719552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17718017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88255081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120067850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120067850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26135038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172495066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198630104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5248503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78981937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1281654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3052375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88564469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110065635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2"/>
      <c r="D371" s="32"/>
      <c r="E371" s="32"/>
    </row>
    <row r="372" spans="1:6" x14ac:dyDescent="0.35">
      <c r="A372" s="59" t="s">
        <v>480</v>
      </c>
      <c r="B372" s="40" t="s">
        <v>284</v>
      </c>
      <c r="C372" s="272"/>
      <c r="D372" s="32"/>
      <c r="E372" s="32"/>
    </row>
    <row r="373" spans="1:6" x14ac:dyDescent="0.35">
      <c r="A373" s="59" t="s">
        <v>481</v>
      </c>
      <c r="B373" s="40" t="s">
        <v>284</v>
      </c>
      <c r="C373" s="272"/>
      <c r="D373" s="32"/>
      <c r="E373" s="32"/>
    </row>
    <row r="374" spans="1:6" x14ac:dyDescent="0.35">
      <c r="A374" s="59" t="s">
        <v>482</v>
      </c>
      <c r="B374" s="40" t="s">
        <v>284</v>
      </c>
      <c r="C374" s="272"/>
      <c r="D374" s="32"/>
      <c r="E374" s="32"/>
    </row>
    <row r="375" spans="1:6" x14ac:dyDescent="0.35">
      <c r="A375" s="59" t="s">
        <v>483</v>
      </c>
      <c r="B375" s="40" t="s">
        <v>284</v>
      </c>
      <c r="C375" s="272"/>
      <c r="D375" s="32"/>
      <c r="E375" s="32"/>
    </row>
    <row r="376" spans="1:6" x14ac:dyDescent="0.35">
      <c r="A376" s="59" t="s">
        <v>484</v>
      </c>
      <c r="B376" s="40" t="s">
        <v>284</v>
      </c>
      <c r="C376" s="272"/>
      <c r="D376" s="32"/>
      <c r="E376" s="32"/>
    </row>
    <row r="377" spans="1:6" x14ac:dyDescent="0.35">
      <c r="A377" s="59" t="s">
        <v>485</v>
      </c>
      <c r="B377" s="40" t="s">
        <v>284</v>
      </c>
      <c r="C377" s="272"/>
      <c r="D377" s="32"/>
      <c r="E377" s="32"/>
    </row>
    <row r="378" spans="1:6" x14ac:dyDescent="0.35">
      <c r="A378" s="59" t="s">
        <v>486</v>
      </c>
      <c r="B378" s="40" t="s">
        <v>284</v>
      </c>
      <c r="C378" s="272"/>
      <c r="D378" s="32"/>
      <c r="E378" s="32"/>
    </row>
    <row r="379" spans="1:6" x14ac:dyDescent="0.35">
      <c r="A379" s="59" t="s">
        <v>487</v>
      </c>
      <c r="B379" s="40" t="s">
        <v>284</v>
      </c>
      <c r="C379" s="272"/>
      <c r="D379" s="32"/>
      <c r="E379" s="32"/>
    </row>
    <row r="380" spans="1:6" x14ac:dyDescent="0.35">
      <c r="A380" s="59" t="s">
        <v>488</v>
      </c>
      <c r="B380" s="40" t="s">
        <v>284</v>
      </c>
      <c r="C380" s="272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4307325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4307325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4307325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114372960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50820948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12385981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917874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12099940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1185983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14030879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4416659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1263014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777381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904801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618983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2"/>
      <c r="D402" s="32"/>
      <c r="E402" s="32"/>
    </row>
    <row r="403" spans="1:9" x14ac:dyDescent="0.35">
      <c r="A403" s="33" t="s">
        <v>256</v>
      </c>
      <c r="B403" s="40" t="s">
        <v>284</v>
      </c>
      <c r="C403" s="272"/>
      <c r="D403" s="32"/>
      <c r="E403" s="32"/>
    </row>
    <row r="404" spans="1:9" x14ac:dyDescent="0.35">
      <c r="A404" s="33" t="s">
        <v>504</v>
      </c>
      <c r="B404" s="40" t="s">
        <v>284</v>
      </c>
      <c r="C404" s="272"/>
      <c r="D404" s="32"/>
      <c r="E404" s="32"/>
    </row>
    <row r="405" spans="1:9" x14ac:dyDescent="0.35">
      <c r="A405" s="33" t="s">
        <v>258</v>
      </c>
      <c r="B405" s="40" t="s">
        <v>284</v>
      </c>
      <c r="C405" s="272"/>
      <c r="D405" s="32"/>
      <c r="E405" s="32"/>
    </row>
    <row r="406" spans="1:9" x14ac:dyDescent="0.35">
      <c r="A406" s="33" t="s">
        <v>259</v>
      </c>
      <c r="B406" s="40" t="s">
        <v>284</v>
      </c>
      <c r="C406" s="272"/>
      <c r="D406" s="32"/>
      <c r="E406" s="32"/>
    </row>
    <row r="407" spans="1:9" x14ac:dyDescent="0.35">
      <c r="A407" s="33" t="s">
        <v>260</v>
      </c>
      <c r="B407" s="40" t="s">
        <v>284</v>
      </c>
      <c r="C407" s="272"/>
      <c r="D407" s="32"/>
      <c r="E407" s="32"/>
    </row>
    <row r="408" spans="1:9" x14ac:dyDescent="0.35">
      <c r="A408" s="33" t="s">
        <v>261</v>
      </c>
      <c r="B408" s="40" t="s">
        <v>284</v>
      </c>
      <c r="C408" s="272"/>
      <c r="D408" s="32"/>
      <c r="E408" s="32"/>
    </row>
    <row r="409" spans="1:9" x14ac:dyDescent="0.35">
      <c r="A409" s="33" t="s">
        <v>262</v>
      </c>
      <c r="B409" s="40" t="s">
        <v>284</v>
      </c>
      <c r="C409" s="272"/>
      <c r="D409" s="32"/>
      <c r="E409" s="32"/>
    </row>
    <row r="410" spans="1:9" x14ac:dyDescent="0.35">
      <c r="A410" s="33" t="s">
        <v>263</v>
      </c>
      <c r="B410" s="40" t="s">
        <v>284</v>
      </c>
      <c r="C410" s="272"/>
      <c r="D410" s="32"/>
      <c r="E410" s="32"/>
    </row>
    <row r="411" spans="1:9" x14ac:dyDescent="0.35">
      <c r="A411" s="33" t="s">
        <v>264</v>
      </c>
      <c r="B411" s="40" t="s">
        <v>284</v>
      </c>
      <c r="C411" s="272"/>
      <c r="D411" s="32"/>
      <c r="E411" s="32"/>
    </row>
    <row r="412" spans="1:9" x14ac:dyDescent="0.35">
      <c r="A412" s="33" t="s">
        <v>265</v>
      </c>
      <c r="B412" s="40" t="s">
        <v>284</v>
      </c>
      <c r="C412" s="272"/>
      <c r="D412" s="32"/>
      <c r="E412" s="32"/>
    </row>
    <row r="413" spans="1:9" x14ac:dyDescent="0.35">
      <c r="A413" s="33" t="s">
        <v>266</v>
      </c>
      <c r="B413" s="40" t="s">
        <v>284</v>
      </c>
      <c r="C413" s="272"/>
      <c r="D413" s="32"/>
      <c r="E413" s="32"/>
    </row>
    <row r="414" spans="1:9" x14ac:dyDescent="0.35">
      <c r="A414" s="33" t="s">
        <v>267</v>
      </c>
      <c r="B414" s="40" t="s">
        <v>284</v>
      </c>
      <c r="C414" s="272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823407</v>
      </c>
      <c r="D415" s="32"/>
      <c r="E415" s="237" t="str">
        <f>IF(OR(C415&gt;999999,C415/(D417)&gt;0.01),"Additional Classification Necessary - See Responses-2 Tab","")</f>
        <v/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823407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100245850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14127110</v>
      </c>
      <c r="E418" s="32"/>
    </row>
    <row r="419" spans="1:13" x14ac:dyDescent="0.35">
      <c r="A419" s="32" t="s">
        <v>508</v>
      </c>
      <c r="B419" s="20"/>
      <c r="C419" s="236">
        <v>4343771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2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4343771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18470881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18470881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0"/>
      <c r="C613" s="248" t="s">
        <v>515</v>
      </c>
      <c r="D613" s="255">
        <f>CE91-(BE91+CD91)</f>
        <v>133969</v>
      </c>
      <c r="E613" s="257">
        <f>SUM(C625:D648)+SUM(C669:D714)</f>
        <v>94095765.886107966</v>
      </c>
      <c r="F613" s="257">
        <f>CE65-(AX65+BD65+BE65+BG65+BJ65+BN65+BP65+BQ65+CB65+CC65+CD65)</f>
        <v>12121144</v>
      </c>
      <c r="G613" s="255">
        <f>CE92-(AX92+AY92+BD92+BE92+BG92+BJ92+BN92+BP92+BQ92+CB92+CC92+CD92)</f>
        <v>11541</v>
      </c>
      <c r="H613" s="260">
        <f>CE61-(AX61+AY61+AZ61+BD61+BE61+BG61+BJ61+BN61+BO61+BP61+BQ61+BR61+CB61+CC61+CD61)</f>
        <v>475.84</v>
      </c>
      <c r="I613" s="255">
        <f>CE93-(AX93+AY93+AZ93+BD93+BE93+BF93+BG93+BJ93+BN93+BO93+BP93+BQ93+BR93+CB93+CC93+CD93)</f>
        <v>28751</v>
      </c>
      <c r="J613" s="255">
        <f>CE94-(AX94+AY94+AZ94+BA94+BD94+BE94+BF94+BG94+BJ94+BN94+BO94+BP94+BQ94+BR94+CB94+CC94+CD94)</f>
        <v>417220</v>
      </c>
      <c r="K613" s="255">
        <f>CE90-(AW90+AX90+AY90+AZ90+BA90+BB90+BC90+BD90+BE90+BF90+BG90+BH90+BI90+BJ90+BK90+BL90+BM90+BN90+BO90+BP90+BQ90+BR90+BS90+BT90+BU90+BV90+BW90+BX90+CB90+CC90+CD90)</f>
        <v>198630104</v>
      </c>
      <c r="L613" s="261">
        <f>CE95-(AW95+AX95+AY95+AZ95+BA95+BB95+BC95+BD95+BE95+BF95+BG95+BH95+BI95+BJ95+BK95+BL95+BM95+BN95+BO95+BP95+BQ95+BR95+BS95+BT95+BU95+BV95+BW95+BX95+BY95+BZ95+CA95+CB95+CC95+CD95)</f>
        <v>96.809999999999988</v>
      </c>
    </row>
    <row r="614" spans="1:14" s="231" customFormat="1" ht="12.65" customHeight="1" x14ac:dyDescent="0.3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5" customHeight="1" x14ac:dyDescent="0.3">
      <c r="A615" s="250">
        <v>8430</v>
      </c>
      <c r="B615" s="249" t="s">
        <v>152</v>
      </c>
      <c r="C615" s="255">
        <f>BE86</f>
        <v>3098993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5" customHeight="1" x14ac:dyDescent="0.3">
      <c r="A616" s="250"/>
      <c r="B616" s="249" t="s">
        <v>527</v>
      </c>
      <c r="C616" s="255">
        <f>CD70-CD85</f>
        <v>0</v>
      </c>
      <c r="D616" s="255">
        <f>SUM(C615:C616)</f>
        <v>3098993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5" customHeight="1" x14ac:dyDescent="0.3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5" customHeight="1" x14ac:dyDescent="0.3">
      <c r="A618" s="250">
        <v>8510</v>
      </c>
      <c r="B618" s="254" t="s">
        <v>157</v>
      </c>
      <c r="C618" s="255">
        <f>BJ86</f>
        <v>944066</v>
      </c>
      <c r="D618" s="255">
        <f>(D616/D613)*BJ91</f>
        <v>15359.757496137165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5" customHeight="1" x14ac:dyDescent="0.3">
      <c r="A619" s="250">
        <v>8470</v>
      </c>
      <c r="B619" s="254" t="s">
        <v>532</v>
      </c>
      <c r="C619" s="255">
        <f>BG86</f>
        <v>0</v>
      </c>
      <c r="D619" s="255">
        <f>(D616/D613)*BG91</f>
        <v>0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5" customHeight="1" x14ac:dyDescent="0.3">
      <c r="A620" s="250">
        <v>8610</v>
      </c>
      <c r="B620" s="254" t="s">
        <v>534</v>
      </c>
      <c r="C620" s="255">
        <f>BN86</f>
        <v>3908304</v>
      </c>
      <c r="D620" s="255">
        <f>(D616/D613)*BN91</f>
        <v>692461.35639588255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5" customHeight="1" x14ac:dyDescent="0.3">
      <c r="A621" s="250">
        <v>8790</v>
      </c>
      <c r="B621" s="254" t="s">
        <v>536</v>
      </c>
      <c r="C621" s="255">
        <f>CC86</f>
        <v>0</v>
      </c>
      <c r="D621" s="255">
        <f>(D616/D613)*CC91</f>
        <v>0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5" customHeight="1" x14ac:dyDescent="0.3">
      <c r="A622" s="250">
        <v>8630</v>
      </c>
      <c r="B622" s="254" t="s">
        <v>538</v>
      </c>
      <c r="C622" s="255">
        <f>BP86</f>
        <v>589890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5" customHeight="1" x14ac:dyDescent="0.3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5" customHeight="1" x14ac:dyDescent="0.3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6150081.1138920197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5" customHeight="1" x14ac:dyDescent="0.3">
      <c r="A625" s="250">
        <v>8420</v>
      </c>
      <c r="B625" s="254" t="s">
        <v>151</v>
      </c>
      <c r="C625" s="255">
        <f>BD86</f>
        <v>468155</v>
      </c>
      <c r="D625" s="255">
        <f>(D616/D613)*BD91</f>
        <v>37173.389000440395</v>
      </c>
      <c r="E625" s="257">
        <f>(E624/E613)*SUM(C625:D625)</f>
        <v>33028.166062931385</v>
      </c>
      <c r="F625" s="257">
        <f>SUM(C625:E625)</f>
        <v>538356.55506337178</v>
      </c>
      <c r="G625" s="255"/>
      <c r="H625" s="257"/>
      <c r="I625" s="255"/>
      <c r="J625" s="255"/>
      <c r="N625" s="251" t="s">
        <v>544</v>
      </c>
    </row>
    <row r="626" spans="1:14" s="231" customFormat="1" ht="12.65" customHeight="1" x14ac:dyDescent="0.3">
      <c r="A626" s="250">
        <v>8320</v>
      </c>
      <c r="B626" s="254" t="s">
        <v>147</v>
      </c>
      <c r="C626" s="255">
        <f>AY86</f>
        <v>399151</v>
      </c>
      <c r="D626" s="255">
        <f>(D616/D613)*AY91</f>
        <v>60791.329367241669</v>
      </c>
      <c r="E626" s="257">
        <f>(E624/E613)*SUM(C626:D626)</f>
        <v>30061.741957069233</v>
      </c>
      <c r="F626" s="257">
        <f>(F625/F613)*AY65</f>
        <v>3761.3447689963723</v>
      </c>
      <c r="G626" s="255">
        <f>SUM(C626:F626)</f>
        <v>493765.41609330726</v>
      </c>
      <c r="H626" s="257"/>
      <c r="I626" s="255"/>
      <c r="J626" s="255"/>
      <c r="N626" s="251" t="s">
        <v>545</v>
      </c>
    </row>
    <row r="627" spans="1:14" s="231" customFormat="1" ht="12.65" customHeight="1" x14ac:dyDescent="0.3">
      <c r="A627" s="250">
        <v>8650</v>
      </c>
      <c r="B627" s="254" t="s">
        <v>164</v>
      </c>
      <c r="C627" s="255">
        <f>BR86</f>
        <v>908428</v>
      </c>
      <c r="D627" s="255">
        <f>(D616/D613)*BR91</f>
        <v>35322.815808134714</v>
      </c>
      <c r="E627" s="257">
        <f>(E624/E613)*SUM(C627:D627)</f>
        <v>61683.371338377117</v>
      </c>
      <c r="F627" s="257">
        <f>(F625/F613)*BR65</f>
        <v>190.22801192168174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5" customHeight="1" x14ac:dyDescent="0.3">
      <c r="A628" s="250">
        <v>8620</v>
      </c>
      <c r="B628" s="249" t="s">
        <v>547</v>
      </c>
      <c r="C628" s="255">
        <f>BO86</f>
        <v>752730</v>
      </c>
      <c r="D628" s="255">
        <f>(D616/D613)*BO91</f>
        <v>0</v>
      </c>
      <c r="E628" s="257">
        <f>(E624/E613)*SUM(C628:D628)</f>
        <v>49198.287651574385</v>
      </c>
      <c r="F628" s="257">
        <f>(F625/F613)*BO65</f>
        <v>323.87174011975327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5" customHeight="1" x14ac:dyDescent="0.3">
      <c r="A629" s="250">
        <v>8330</v>
      </c>
      <c r="B629" s="254" t="s">
        <v>148</v>
      </c>
      <c r="C629" s="255">
        <f>AZ86</f>
        <v>869617</v>
      </c>
      <c r="D629" s="255">
        <f>(D616/D613)*AZ91</f>
        <v>31737.330248042457</v>
      </c>
      <c r="E629" s="257">
        <f>(E624/E613)*SUM(C629:D629)</f>
        <v>58912.345217455622</v>
      </c>
      <c r="F629" s="257">
        <f>(F625/F613)*AZ65</f>
        <v>9208.7146513616353</v>
      </c>
      <c r="G629" s="255">
        <f>(G626/G613)*AZ92</f>
        <v>0</v>
      </c>
      <c r="H629" s="257">
        <f>SUM(C627:G629)</f>
        <v>2777351.9646669873</v>
      </c>
      <c r="I629" s="255"/>
      <c r="J629" s="255"/>
      <c r="N629" s="251" t="s">
        <v>549</v>
      </c>
    </row>
    <row r="630" spans="1:14" s="231" customFormat="1" ht="12.65" customHeight="1" x14ac:dyDescent="0.3">
      <c r="A630" s="250">
        <v>8460</v>
      </c>
      <c r="B630" s="254" t="s">
        <v>153</v>
      </c>
      <c r="C630" s="255">
        <f>BF86</f>
        <v>1717671</v>
      </c>
      <c r="D630" s="255">
        <f>(D616/D613)*BF91</f>
        <v>7934.3325620106143</v>
      </c>
      <c r="E630" s="257">
        <f>(E624/E613)*SUM(C630:D630)</f>
        <v>112785.23178892361</v>
      </c>
      <c r="F630" s="257">
        <f>(F625/F613)*BF65</f>
        <v>14665.456028126964</v>
      </c>
      <c r="G630" s="255">
        <f>(G626/G613)*BF92</f>
        <v>0</v>
      </c>
      <c r="H630" s="257">
        <f>(H629/H613)*BF61</f>
        <v>112473.88273186963</v>
      </c>
      <c r="I630" s="255">
        <f>SUM(C630:H630)</f>
        <v>1965529.9031109307</v>
      </c>
      <c r="J630" s="255"/>
      <c r="N630" s="251" t="s">
        <v>550</v>
      </c>
    </row>
    <row r="631" spans="1:14" s="231" customFormat="1" ht="12.65" customHeight="1" x14ac:dyDescent="0.3">
      <c r="A631" s="250">
        <v>8350</v>
      </c>
      <c r="B631" s="254" t="s">
        <v>551</v>
      </c>
      <c r="C631" s="255">
        <f>BA86</f>
        <v>211983</v>
      </c>
      <c r="D631" s="255">
        <f>(D616/D613)*BA91</f>
        <v>19778.000992766982</v>
      </c>
      <c r="E631" s="257">
        <f>(E624/E613)*SUM(C631:D631)</f>
        <v>15147.854334567464</v>
      </c>
      <c r="F631" s="257">
        <f>(F625/F613)*BA65</f>
        <v>1342.2556031485278</v>
      </c>
      <c r="G631" s="255">
        <f>(G626/G613)*BA92</f>
        <v>0</v>
      </c>
      <c r="H631" s="257">
        <f>(H629/H613)*BA61</f>
        <v>16868.164042299079</v>
      </c>
      <c r="I631" s="255">
        <f>(I630/I613)*BA93</f>
        <v>15313.509036097823</v>
      </c>
      <c r="J631" s="255">
        <f>SUM(C631:I631)</f>
        <v>280432.78400887991</v>
      </c>
      <c r="N631" s="251" t="s">
        <v>552</v>
      </c>
    </row>
    <row r="632" spans="1:14" s="231" customFormat="1" ht="12.65" customHeight="1" x14ac:dyDescent="0.3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>
        <f>(I630/I613)*AW93</f>
        <v>0</v>
      </c>
      <c r="J632" s="255">
        <f>(J631/J613)*AW94</f>
        <v>0</v>
      </c>
      <c r="N632" s="251" t="s">
        <v>554</v>
      </c>
    </row>
    <row r="633" spans="1:14" s="231" customFormat="1" ht="12.65" customHeight="1" x14ac:dyDescent="0.3">
      <c r="A633" s="250">
        <v>8360</v>
      </c>
      <c r="B633" s="254" t="s">
        <v>555</v>
      </c>
      <c r="C633" s="255">
        <f>BB86</f>
        <v>173651</v>
      </c>
      <c r="D633" s="255">
        <f>(D616/D613)*BB91</f>
        <v>0</v>
      </c>
      <c r="E633" s="257">
        <f>(E624/E613)*SUM(C633:D633)</f>
        <v>11349.795874993084</v>
      </c>
      <c r="F633" s="257">
        <f>(F625/F613)*BB65</f>
        <v>5.8627358332155008</v>
      </c>
      <c r="G633" s="255">
        <f>(G626/G613)*BB92</f>
        <v>0</v>
      </c>
      <c r="H633" s="257">
        <f>(H629/H613)*BB61</f>
        <v>9338.7759403731925</v>
      </c>
      <c r="I633" s="255">
        <f>(I630/I613)*BB93</f>
        <v>0</v>
      </c>
      <c r="J633" s="255">
        <f>(J631/J613)*BB94</f>
        <v>0</v>
      </c>
      <c r="N633" s="251" t="s">
        <v>556</v>
      </c>
    </row>
    <row r="634" spans="1:14" s="231" customFormat="1" ht="12.65" customHeight="1" x14ac:dyDescent="0.3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>
        <f>(I630/I613)*BC93</f>
        <v>0</v>
      </c>
      <c r="J634" s="255">
        <f>(J631/J613)*BC94</f>
        <v>0</v>
      </c>
      <c r="N634" s="251" t="s">
        <v>558</v>
      </c>
    </row>
    <row r="635" spans="1:14" s="231" customFormat="1" ht="12.65" customHeight="1" x14ac:dyDescent="0.3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>
        <f>(G626/G613)*BI92</f>
        <v>0</v>
      </c>
      <c r="H635" s="257">
        <f>(H629/H613)*BI61</f>
        <v>0</v>
      </c>
      <c r="I635" s="255">
        <f>(I630/I613)*BI93</f>
        <v>0</v>
      </c>
      <c r="J635" s="255">
        <f>(J631/J613)*BI94</f>
        <v>0</v>
      </c>
      <c r="N635" s="251" t="s">
        <v>560</v>
      </c>
    </row>
    <row r="636" spans="1:14" s="231" customFormat="1" ht="12.65" customHeight="1" x14ac:dyDescent="0.3">
      <c r="A636" s="250">
        <v>8530</v>
      </c>
      <c r="B636" s="254" t="s">
        <v>561</v>
      </c>
      <c r="C636" s="255">
        <f>BK86</f>
        <v>2326843</v>
      </c>
      <c r="D636" s="255">
        <f>(D616/D613)*BK91</f>
        <v>185011.05490076062</v>
      </c>
      <c r="E636" s="257">
        <f>(E624/E613)*SUM(C636:D636)</f>
        <v>164174.29666916575</v>
      </c>
      <c r="F636" s="257">
        <f>(F625/F613)*BK65</f>
        <v>758.15833843173186</v>
      </c>
      <c r="G636" s="255">
        <f>(G626/G613)*BK92</f>
        <v>0</v>
      </c>
      <c r="H636" s="257">
        <f>(H629/H613)*BK61</f>
        <v>112648.98478075163</v>
      </c>
      <c r="I636" s="255">
        <f>(I630/I613)*BK93</f>
        <v>143290.69169491535</v>
      </c>
      <c r="J636" s="255">
        <f>(J631/J613)*BK94</f>
        <v>0</v>
      </c>
      <c r="N636" s="251" t="s">
        <v>562</v>
      </c>
    </row>
    <row r="637" spans="1:14" s="231" customFormat="1" ht="12.65" customHeight="1" x14ac:dyDescent="0.3">
      <c r="A637" s="250">
        <v>8480</v>
      </c>
      <c r="B637" s="254" t="s">
        <v>563</v>
      </c>
      <c r="C637" s="255">
        <f>BH86</f>
        <v>5731678</v>
      </c>
      <c r="D637" s="255">
        <f>(D616/D613)*BH91</f>
        <v>79944.761907605483</v>
      </c>
      <c r="E637" s="257">
        <f>(E624/E613)*SUM(C637:D637)</f>
        <v>379846.54306692648</v>
      </c>
      <c r="F637" s="257">
        <f>(F625/F613)*BH65</f>
        <v>10460.764069076371</v>
      </c>
      <c r="G637" s="255">
        <f>(G626/G613)*BH92</f>
        <v>0</v>
      </c>
      <c r="H637" s="257">
        <f>(H629/H613)*BH61</f>
        <v>89243.677580191317</v>
      </c>
      <c r="I637" s="255">
        <f>(I630/I613)*BH93</f>
        <v>60228.577950009741</v>
      </c>
      <c r="J637" s="255">
        <f>(J631/J613)*BH94</f>
        <v>0</v>
      </c>
      <c r="N637" s="251" t="s">
        <v>564</v>
      </c>
    </row>
    <row r="638" spans="1:14" s="231" customFormat="1" ht="12.65" customHeight="1" x14ac:dyDescent="0.3">
      <c r="A638" s="250">
        <v>8560</v>
      </c>
      <c r="B638" s="254" t="s">
        <v>159</v>
      </c>
      <c r="C638" s="255">
        <f>BL86</f>
        <v>904161</v>
      </c>
      <c r="D638" s="255">
        <f>(D616/D613)*BL91</f>
        <v>9738.6414245086544</v>
      </c>
      <c r="E638" s="257">
        <f>(E624/E613)*SUM(C638:D638)</f>
        <v>59732.304336845431</v>
      </c>
      <c r="F638" s="257">
        <f>(F625/F613)*BL65</f>
        <v>1471.324620810075</v>
      </c>
      <c r="G638" s="255">
        <f>(G626/G613)*BL92</f>
        <v>0</v>
      </c>
      <c r="H638" s="257">
        <f>(H629/H613)*BL61</f>
        <v>84982.861057396047</v>
      </c>
      <c r="I638" s="255">
        <f>(I630/I613)*BL93</f>
        <v>7520.0267587980379</v>
      </c>
      <c r="J638" s="255">
        <f>(J631/J613)*BL94</f>
        <v>0</v>
      </c>
      <c r="N638" s="251" t="s">
        <v>565</v>
      </c>
    </row>
    <row r="639" spans="1:14" s="231" customFormat="1" ht="12.65" customHeight="1" x14ac:dyDescent="0.3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>
        <f>(G626/G613)*BM92</f>
        <v>0</v>
      </c>
      <c r="H639" s="257">
        <f>(H629/H613)*BM61</f>
        <v>0</v>
      </c>
      <c r="I639" s="255">
        <f>(I630/I613)*BM93</f>
        <v>0</v>
      </c>
      <c r="J639" s="255">
        <f>(J631/J613)*BM94</f>
        <v>0</v>
      </c>
      <c r="N639" s="251" t="s">
        <v>567</v>
      </c>
    </row>
    <row r="640" spans="1:14" s="231" customFormat="1" ht="12.65" customHeight="1" x14ac:dyDescent="0.3">
      <c r="A640" s="250">
        <v>8660</v>
      </c>
      <c r="B640" s="254" t="s">
        <v>568</v>
      </c>
      <c r="C640" s="255">
        <f>BS86</f>
        <v>50972</v>
      </c>
      <c r="D640" s="255">
        <f>(D616/D613)*BS91</f>
        <v>0</v>
      </c>
      <c r="E640" s="257">
        <f>(E624/E613)*SUM(C640:D640)</f>
        <v>3331.5200911031175</v>
      </c>
      <c r="F640" s="257">
        <f>(F625/F613)*BS65</f>
        <v>338.57299436819517</v>
      </c>
      <c r="G640" s="255">
        <f>(G626/G613)*BS92</f>
        <v>0</v>
      </c>
      <c r="H640" s="257">
        <f>(H629/H613)*BS61</f>
        <v>2976.7348309939553</v>
      </c>
      <c r="I640" s="255">
        <f>(I630/I613)*BS93</f>
        <v>0</v>
      </c>
      <c r="J640" s="255">
        <f>(J631/J613)*BS94</f>
        <v>0</v>
      </c>
      <c r="N640" s="251" t="s">
        <v>569</v>
      </c>
    </row>
    <row r="641" spans="1:14" s="231" customFormat="1" ht="12.65" customHeight="1" x14ac:dyDescent="0.3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>
        <f>(I630/I613)*BT93</f>
        <v>0</v>
      </c>
      <c r="J641" s="255">
        <f>(J631/J613)*BT94</f>
        <v>0</v>
      </c>
      <c r="N641" s="251" t="s">
        <v>571</v>
      </c>
    </row>
    <row r="642" spans="1:14" s="231" customFormat="1" ht="12.65" customHeight="1" x14ac:dyDescent="0.3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>
        <f>(I630/I613)*BU93</f>
        <v>0</v>
      </c>
      <c r="J642" s="255">
        <f>(J631/J613)*BU94</f>
        <v>0</v>
      </c>
      <c r="N642" s="251" t="s">
        <v>573</v>
      </c>
    </row>
    <row r="643" spans="1:14" s="231" customFormat="1" ht="12.65" customHeight="1" x14ac:dyDescent="0.3">
      <c r="A643" s="250">
        <v>8690</v>
      </c>
      <c r="B643" s="254" t="s">
        <v>574</v>
      </c>
      <c r="C643" s="255">
        <f>BV86</f>
        <v>2099846</v>
      </c>
      <c r="D643" s="255">
        <f>(D616/D613)*BV91</f>
        <v>0</v>
      </c>
      <c r="E643" s="257">
        <f>(E624/E613)*SUM(C643:D643)</f>
        <v>137245.52964809144</v>
      </c>
      <c r="F643" s="257">
        <f>(F625/F613)*BV65</f>
        <v>454.7617590628297</v>
      </c>
      <c r="G643" s="255">
        <f>(G626/G613)*BV92</f>
        <v>0</v>
      </c>
      <c r="H643" s="257">
        <f>(H629/H613)*BV61</f>
        <v>128700.00592826806</v>
      </c>
      <c r="I643" s="255">
        <f>(I630/I613)*BV93</f>
        <v>27892.462887178179</v>
      </c>
      <c r="J643" s="255">
        <f>(J631/J613)*BV94</f>
        <v>0</v>
      </c>
      <c r="N643" s="251" t="s">
        <v>575</v>
      </c>
    </row>
    <row r="644" spans="1:14" s="231" customFormat="1" ht="12.65" customHeight="1" x14ac:dyDescent="0.3">
      <c r="A644" s="250">
        <v>8700</v>
      </c>
      <c r="B644" s="254" t="s">
        <v>576</v>
      </c>
      <c r="C644" s="255">
        <f>BW86</f>
        <v>1187004</v>
      </c>
      <c r="D644" s="255">
        <f>(D616/D613)*BW91</f>
        <v>1943.1018519209667</v>
      </c>
      <c r="E644" s="257">
        <f>(E624/E613)*SUM(C644:D644)</f>
        <v>77709.353313162123</v>
      </c>
      <c r="F644" s="257">
        <f>(F625/F613)*BW65</f>
        <v>171.57385245235972</v>
      </c>
      <c r="G644" s="255">
        <f>(G626/G613)*BW92</f>
        <v>0</v>
      </c>
      <c r="H644" s="257">
        <f>(H629/H613)*BW61</f>
        <v>21012.245865839683</v>
      </c>
      <c r="I644" s="255">
        <f>(I630/I613)*BW93</f>
        <v>1504.0053517596075</v>
      </c>
      <c r="J644" s="255">
        <f>(J631/J613)*BW94</f>
        <v>0</v>
      </c>
      <c r="N644" s="251" t="s">
        <v>577</v>
      </c>
    </row>
    <row r="645" spans="1:14" s="231" customFormat="1" ht="12.65" customHeight="1" x14ac:dyDescent="0.3">
      <c r="A645" s="250">
        <v>8710</v>
      </c>
      <c r="B645" s="254" t="s">
        <v>578</v>
      </c>
      <c r="C645" s="255">
        <f>BX86</f>
        <v>893265</v>
      </c>
      <c r="D645" s="255">
        <f>(D616/D613)*BX91</f>
        <v>0</v>
      </c>
      <c r="E645" s="257">
        <f>(E624/E613)*SUM(C645:D645)</f>
        <v>58383.62815230374</v>
      </c>
      <c r="F645" s="257">
        <f>(F625/F613)*BX65</f>
        <v>138.35168273080521</v>
      </c>
      <c r="G645" s="255">
        <f>(G626/G613)*BX92</f>
        <v>0</v>
      </c>
      <c r="H645" s="257">
        <f>(H629/H613)*BX61</f>
        <v>34611.83832900814</v>
      </c>
      <c r="I645" s="255">
        <f>(I630/I613)*BX93</f>
        <v>1504.0053517596075</v>
      </c>
      <c r="J645" s="255">
        <f>(J631/J613)*BX94</f>
        <v>0</v>
      </c>
      <c r="K645" s="257">
        <f>SUM(C632:J645)</f>
        <v>15275084.795597397</v>
      </c>
      <c r="L645" s="257"/>
      <c r="N645" s="251" t="s">
        <v>579</v>
      </c>
    </row>
    <row r="646" spans="1:14" s="231" customFormat="1" ht="12.65" customHeight="1" x14ac:dyDescent="0.3">
      <c r="A646" s="250">
        <v>8720</v>
      </c>
      <c r="B646" s="254" t="s">
        <v>580</v>
      </c>
      <c r="C646" s="255">
        <f>BY86</f>
        <v>1850436</v>
      </c>
      <c r="D646" s="255">
        <f>(D616/D613)*BY91</f>
        <v>10964.64616441117</v>
      </c>
      <c r="E646" s="257">
        <f>(E624/E613)*SUM(C646:D646)</f>
        <v>121660.78730065645</v>
      </c>
      <c r="F646" s="257">
        <f>(F625/F613)*BY65</f>
        <v>637.26161920436368</v>
      </c>
      <c r="G646" s="255">
        <f>(G626/G613)*BY92</f>
        <v>0</v>
      </c>
      <c r="H646" s="257">
        <f>(H629/H613)*BY61</f>
        <v>48444.900190685927</v>
      </c>
      <c r="I646" s="255">
        <f>(I630/I613)*BY93</f>
        <v>50042.359885819671</v>
      </c>
      <c r="J646" s="255">
        <f>(J631/J613)*BY94</f>
        <v>0</v>
      </c>
      <c r="K646" s="257">
        <v>0</v>
      </c>
      <c r="L646" s="257"/>
      <c r="N646" s="251" t="s">
        <v>581</v>
      </c>
    </row>
    <row r="647" spans="1:14" s="231" customFormat="1" ht="12.65" customHeight="1" x14ac:dyDescent="0.3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>
        <f>(I630/I613)*BZ93</f>
        <v>0</v>
      </c>
      <c r="J647" s="255">
        <f>(J631/J613)*BZ94</f>
        <v>0</v>
      </c>
      <c r="K647" s="257">
        <v>0</v>
      </c>
      <c r="L647" s="257"/>
      <c r="N647" s="251" t="s">
        <v>583</v>
      </c>
    </row>
    <row r="648" spans="1:14" s="231" customFormat="1" ht="12.65" customHeight="1" x14ac:dyDescent="0.3">
      <c r="A648" s="250">
        <v>8740</v>
      </c>
      <c r="B648" s="254" t="s">
        <v>584</v>
      </c>
      <c r="C648" s="255">
        <f>CA86</f>
        <v>0</v>
      </c>
      <c r="D648" s="255">
        <f>(D616/D613)*CA91</f>
        <v>0</v>
      </c>
      <c r="E648" s="257">
        <f>(E624/E613)*SUM(C648:D648)</f>
        <v>0</v>
      </c>
      <c r="F648" s="257">
        <f>(F625/F613)*CA65</f>
        <v>0</v>
      </c>
      <c r="G648" s="255">
        <f>(G626/G613)*CA92</f>
        <v>0</v>
      </c>
      <c r="H648" s="257">
        <f>(H629/H613)*CA61</f>
        <v>0</v>
      </c>
      <c r="I648" s="255">
        <f>(I630/I613)*CA93</f>
        <v>0</v>
      </c>
      <c r="J648" s="255">
        <f>(J631/J613)*CA94</f>
        <v>0</v>
      </c>
      <c r="K648" s="257">
        <v>0</v>
      </c>
      <c r="L648" s="257">
        <f>SUM(C646:K648)</f>
        <v>2082185.9551607778</v>
      </c>
      <c r="N648" s="251" t="s">
        <v>585</v>
      </c>
    </row>
    <row r="649" spans="1:14" s="231" customFormat="1" ht="12.65" customHeight="1" x14ac:dyDescent="0.3">
      <c r="A649" s="250"/>
      <c r="B649" s="250"/>
      <c r="C649" s="231">
        <f>SUM(C615:C648)</f>
        <v>29086844</v>
      </c>
      <c r="L649" s="253"/>
    </row>
    <row r="667" spans="1:14" s="231" customFormat="1" ht="12.65" customHeight="1" x14ac:dyDescent="0.3">
      <c r="C667" s="248" t="s">
        <v>586</v>
      </c>
      <c r="M667" s="248" t="s">
        <v>587</v>
      </c>
    </row>
    <row r="668" spans="1:14" s="231" customFormat="1" ht="12.65" customHeight="1" x14ac:dyDescent="0.3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5" customHeight="1" x14ac:dyDescent="0.3">
      <c r="A669" s="250">
        <v>6010</v>
      </c>
      <c r="B669" s="249" t="s">
        <v>315</v>
      </c>
      <c r="C669" s="255">
        <f>C86</f>
        <v>2381246</v>
      </c>
      <c r="D669" s="255">
        <f>(D616/D613)*C91</f>
        <v>67013.881726369524</v>
      </c>
      <c r="E669" s="257">
        <f>(E624/E613)*SUM(C669:D669)</f>
        <v>160017.79377330971</v>
      </c>
      <c r="F669" s="257">
        <f>(F625/F613)*C65</f>
        <v>5512.2152938538593</v>
      </c>
      <c r="G669" s="255">
        <f>(G626/G613)*C92</f>
        <v>111408.46924070462</v>
      </c>
      <c r="H669" s="257">
        <f>(H629/H613)*C61</f>
        <v>81130.615981992116</v>
      </c>
      <c r="I669" s="255">
        <f>(I630/I613)*C93</f>
        <v>51888.184635706464</v>
      </c>
      <c r="J669" s="255">
        <f>(J631/J613)*C94</f>
        <v>14469.96063022666</v>
      </c>
      <c r="K669" s="255">
        <f>(K645/K613)*C90</f>
        <v>237148.6625975093</v>
      </c>
      <c r="L669" s="255">
        <f>(L648/L613)*C95</f>
        <v>220026.46752706083</v>
      </c>
      <c r="M669" s="231">
        <f t="shared" ref="M669:M714" si="18">ROUND(SUM(D669:L669),0)</f>
        <v>948616</v>
      </c>
      <c r="N669" s="249" t="s">
        <v>589</v>
      </c>
    </row>
    <row r="670" spans="1:14" s="231" customFormat="1" ht="12.65" customHeight="1" x14ac:dyDescent="0.3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>
        <f>(I630/I613)*D93</f>
        <v>0</v>
      </c>
      <c r="J670" s="255">
        <f>(J631/J613)*D94</f>
        <v>0</v>
      </c>
      <c r="K670" s="255">
        <f>(K645/K613)*D90</f>
        <v>0</v>
      </c>
      <c r="L670" s="255">
        <f>(L648/L613)*D95</f>
        <v>0</v>
      </c>
      <c r="M670" s="231">
        <f t="shared" si="18"/>
        <v>0</v>
      </c>
      <c r="N670" s="249" t="s">
        <v>590</v>
      </c>
    </row>
    <row r="671" spans="1:14" s="231" customFormat="1" ht="12.65" customHeight="1" x14ac:dyDescent="0.3">
      <c r="A671" s="250">
        <v>6070</v>
      </c>
      <c r="B671" s="249" t="s">
        <v>591</v>
      </c>
      <c r="C671" s="255">
        <f>E86</f>
        <v>2871345</v>
      </c>
      <c r="D671" s="255">
        <f>(D616/D613)*E91</f>
        <v>303332.07838380517</v>
      </c>
      <c r="E671" s="257">
        <f>(E624/E613)*SUM(C671:D671)</f>
        <v>207496.28167229446</v>
      </c>
      <c r="F671" s="257">
        <f>(F625/F613)*E65</f>
        <v>8283.2018536908436</v>
      </c>
      <c r="G671" s="255">
        <f>(G626/G613)*E92</f>
        <v>357927.51676948345</v>
      </c>
      <c r="H671" s="257">
        <f>(H629/H613)*E61</f>
        <v>137513.47572199526</v>
      </c>
      <c r="I671" s="255">
        <f>(I630/I613)*E93</f>
        <v>234898.29039300053</v>
      </c>
      <c r="J671" s="255">
        <f>(J631/J613)*E94</f>
        <v>36484.088768520211</v>
      </c>
      <c r="K671" s="255">
        <f>(K645/K613)*E90</f>
        <v>468942.93513751618</v>
      </c>
      <c r="L671" s="255">
        <f>(L648/L613)*E95</f>
        <v>552109.42535871465</v>
      </c>
      <c r="M671" s="231">
        <f t="shared" si="18"/>
        <v>2306987</v>
      </c>
      <c r="N671" s="249" t="s">
        <v>592</v>
      </c>
    </row>
    <row r="672" spans="1:14" s="231" customFormat="1" ht="12.65" customHeight="1" x14ac:dyDescent="0.3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>
        <f>(I630/I613)*F93</f>
        <v>0</v>
      </c>
      <c r="J672" s="255">
        <f>(J631/J613)*F94</f>
        <v>0</v>
      </c>
      <c r="K672" s="255">
        <f>(K645/K613)*F90</f>
        <v>0</v>
      </c>
      <c r="L672" s="255">
        <f>(L648/L613)*F95</f>
        <v>0</v>
      </c>
      <c r="M672" s="231">
        <f t="shared" si="18"/>
        <v>0</v>
      </c>
      <c r="N672" s="249" t="s">
        <v>594</v>
      </c>
    </row>
    <row r="673" spans="1:14" s="231" customFormat="1" ht="12.65" customHeight="1" x14ac:dyDescent="0.3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>
        <f>(I630/I613)*G93</f>
        <v>0</v>
      </c>
      <c r="J673" s="255">
        <f>(J631/J613)*G94</f>
        <v>0</v>
      </c>
      <c r="K673" s="255">
        <f>(K645/K613)*G90</f>
        <v>0</v>
      </c>
      <c r="L673" s="255">
        <f>(L648/L613)*G95</f>
        <v>0</v>
      </c>
      <c r="M673" s="231">
        <f t="shared" si="18"/>
        <v>0</v>
      </c>
      <c r="N673" s="249" t="s">
        <v>596</v>
      </c>
    </row>
    <row r="674" spans="1:14" s="231" customFormat="1" ht="12.65" customHeight="1" x14ac:dyDescent="0.3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>
        <f>(G626/G613)*H92</f>
        <v>0</v>
      </c>
      <c r="H674" s="257">
        <f>(H629/H613)*H61</f>
        <v>0</v>
      </c>
      <c r="I674" s="255">
        <f>(I630/I613)*H93</f>
        <v>0</v>
      </c>
      <c r="J674" s="255">
        <f>(J631/J613)*H94</f>
        <v>0</v>
      </c>
      <c r="K674" s="255">
        <f>(K645/K613)*H90</f>
        <v>0</v>
      </c>
      <c r="L674" s="255">
        <f>(L648/L613)*H95</f>
        <v>0</v>
      </c>
      <c r="M674" s="231">
        <f t="shared" si="18"/>
        <v>0</v>
      </c>
      <c r="N674" s="249" t="s">
        <v>598</v>
      </c>
    </row>
    <row r="675" spans="1:14" s="231" customFormat="1" ht="12.65" customHeight="1" x14ac:dyDescent="0.3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>
        <f>(I630/I613)*I93</f>
        <v>0</v>
      </c>
      <c r="J675" s="255">
        <f>(J631/J613)*I94</f>
        <v>0</v>
      </c>
      <c r="K675" s="255">
        <f>(K645/K613)*I90</f>
        <v>0</v>
      </c>
      <c r="L675" s="255">
        <f>(L648/L613)*I95</f>
        <v>0</v>
      </c>
      <c r="M675" s="231">
        <f t="shared" si="18"/>
        <v>0</v>
      </c>
      <c r="N675" s="249" t="s">
        <v>600</v>
      </c>
    </row>
    <row r="676" spans="1:14" s="231" customFormat="1" ht="12.65" customHeight="1" x14ac:dyDescent="0.3">
      <c r="A676" s="250">
        <v>6170</v>
      </c>
      <c r="B676" s="249" t="s">
        <v>110</v>
      </c>
      <c r="C676" s="255">
        <f>J86</f>
        <v>255668</v>
      </c>
      <c r="D676" s="255">
        <f>(D616/D613)*J91</f>
        <v>5829.3055557629004</v>
      </c>
      <c r="E676" s="257">
        <f>(E624/E613)*SUM(C676:D676)</f>
        <v>17091.413466773032</v>
      </c>
      <c r="F676" s="257">
        <f>(F625/F613)*J65</f>
        <v>0</v>
      </c>
      <c r="G676" s="255">
        <f>(G626/G613)*J92</f>
        <v>0</v>
      </c>
      <c r="H676" s="257">
        <f>(H629/H613)*J61</f>
        <v>11673.46992546649</v>
      </c>
      <c r="I676" s="255">
        <f>(I630/I613)*J93</f>
        <v>4512.0160552788229</v>
      </c>
      <c r="J676" s="255">
        <f>(J631/J613)*J94</f>
        <v>7021.9100104040281</v>
      </c>
      <c r="K676" s="255">
        <f>(K645/K613)*J90</f>
        <v>74956.923577368521</v>
      </c>
      <c r="L676" s="255">
        <f>(L648/L613)*J95</f>
        <v>21507.963590133022</v>
      </c>
      <c r="M676" s="231">
        <f t="shared" si="18"/>
        <v>142593</v>
      </c>
      <c r="N676" s="249" t="s">
        <v>601</v>
      </c>
    </row>
    <row r="677" spans="1:14" s="231" customFormat="1" ht="12.65" customHeight="1" x14ac:dyDescent="0.3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>
        <f>(G626/G613)*K92</f>
        <v>0</v>
      </c>
      <c r="H677" s="257">
        <f>(H629/H613)*K61</f>
        <v>0</v>
      </c>
      <c r="I677" s="255">
        <f>(I630/I613)*K93</f>
        <v>0</v>
      </c>
      <c r="J677" s="255">
        <f>(J631/J613)*K94</f>
        <v>0</v>
      </c>
      <c r="K677" s="255">
        <f>(K645/K613)*K90</f>
        <v>0</v>
      </c>
      <c r="L677" s="255">
        <f>(L648/L613)*K95</f>
        <v>0</v>
      </c>
      <c r="M677" s="231">
        <f t="shared" si="18"/>
        <v>0</v>
      </c>
      <c r="N677" s="249" t="s">
        <v>602</v>
      </c>
    </row>
    <row r="678" spans="1:14" s="231" customFormat="1" ht="12.65" customHeight="1" x14ac:dyDescent="0.3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>
        <f>(G626/G613)*L92</f>
        <v>0</v>
      </c>
      <c r="H678" s="257">
        <f>(H629/H613)*L61</f>
        <v>0</v>
      </c>
      <c r="I678" s="255">
        <f>(I630/I613)*L93</f>
        <v>0</v>
      </c>
      <c r="J678" s="255">
        <f>(J631/J613)*L94</f>
        <v>0</v>
      </c>
      <c r="K678" s="255">
        <f>(K645/K613)*L90</f>
        <v>5958.4565542375285</v>
      </c>
      <c r="L678" s="255">
        <f>(L648/L613)*L95</f>
        <v>0</v>
      </c>
      <c r="M678" s="231">
        <f t="shared" si="18"/>
        <v>5958</v>
      </c>
      <c r="N678" s="249" t="s">
        <v>603</v>
      </c>
    </row>
    <row r="679" spans="1:14" s="231" customFormat="1" ht="12.65" customHeight="1" x14ac:dyDescent="0.3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>
        <f>(I630/I613)*M93</f>
        <v>0</v>
      </c>
      <c r="J679" s="255">
        <f>(J631/J613)*M94</f>
        <v>0</v>
      </c>
      <c r="K679" s="255">
        <f>(K645/K613)*M90</f>
        <v>0</v>
      </c>
      <c r="L679" s="255">
        <f>(L648/L613)*M95</f>
        <v>0</v>
      </c>
      <c r="M679" s="231">
        <f t="shared" si="18"/>
        <v>0</v>
      </c>
      <c r="N679" s="249" t="s">
        <v>605</v>
      </c>
    </row>
    <row r="680" spans="1:14" s="231" customFormat="1" ht="12.65" customHeight="1" x14ac:dyDescent="0.3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>
        <f>(I630/I613)*N93</f>
        <v>0</v>
      </c>
      <c r="J680" s="255">
        <f>(J631/J613)*N94</f>
        <v>0</v>
      </c>
      <c r="K680" s="255">
        <f>(K645/K613)*N90</f>
        <v>0</v>
      </c>
      <c r="L680" s="255">
        <f>(L648/L613)*N95</f>
        <v>0</v>
      </c>
      <c r="M680" s="231">
        <f t="shared" si="18"/>
        <v>0</v>
      </c>
      <c r="N680" s="249" t="s">
        <v>607</v>
      </c>
    </row>
    <row r="681" spans="1:14" s="231" customFormat="1" ht="12.65" customHeight="1" x14ac:dyDescent="0.3">
      <c r="A681" s="250">
        <v>7010</v>
      </c>
      <c r="B681" s="249" t="s">
        <v>608</v>
      </c>
      <c r="C681" s="255">
        <f>O86</f>
        <v>1785425</v>
      </c>
      <c r="D681" s="255">
        <f>(D616/D613)*O91</f>
        <v>51445.934746097977</v>
      </c>
      <c r="E681" s="257">
        <f>(E624/E613)*SUM(C681:D681)</f>
        <v>120057.53009240345</v>
      </c>
      <c r="F681" s="257">
        <f>(F625/F613)*O65</f>
        <v>4774.1323841843505</v>
      </c>
      <c r="G681" s="255">
        <f>(G626/G613)*O92</f>
        <v>0</v>
      </c>
      <c r="H681" s="257">
        <f>(H629/H613)*O61</f>
        <v>73542.860530438891</v>
      </c>
      <c r="I681" s="255">
        <f>(I630/I613)*O93</f>
        <v>39856.141821629601</v>
      </c>
      <c r="J681" s="255">
        <f>(J631/J613)*O94</f>
        <v>36926.360883658126</v>
      </c>
      <c r="K681" s="255">
        <f>(K645/K613)*O90</f>
        <v>237126.28406784032</v>
      </c>
      <c r="L681" s="255">
        <f>(L648/L613)*O95</f>
        <v>111841.41066869169</v>
      </c>
      <c r="M681" s="231">
        <f t="shared" si="18"/>
        <v>675571</v>
      </c>
      <c r="N681" s="249" t="s">
        <v>609</v>
      </c>
    </row>
    <row r="682" spans="1:14" s="231" customFormat="1" ht="12.65" customHeight="1" x14ac:dyDescent="0.3">
      <c r="A682" s="250">
        <v>7020</v>
      </c>
      <c r="B682" s="249" t="s">
        <v>610</v>
      </c>
      <c r="C682" s="255">
        <f>P86</f>
        <v>7408085</v>
      </c>
      <c r="D682" s="255">
        <f>(D616/D613)*P91</f>
        <v>284409.9674924796</v>
      </c>
      <c r="E682" s="257">
        <f>(E624/E613)*SUM(C682:D682)</f>
        <v>502779.98773661652</v>
      </c>
      <c r="F682" s="257">
        <f>(F625/F613)*P65</f>
        <v>144243.51016985977</v>
      </c>
      <c r="G682" s="255">
        <f>(G626/G613)*P92</f>
        <v>2010.8287458959744</v>
      </c>
      <c r="H682" s="257">
        <f>(H629/H613)*P61</f>
        <v>164595.9259490775</v>
      </c>
      <c r="I682" s="255">
        <f>(I630/I613)*P93</f>
        <v>220200.05627353163</v>
      </c>
      <c r="J682" s="255">
        <f>(J631/J613)*P94</f>
        <v>51532.767166427337</v>
      </c>
      <c r="K682" s="255">
        <f>(K645/K613)*P90</f>
        <v>2299464.7503817338</v>
      </c>
      <c r="L682" s="255">
        <f>(L648/L613)*P95</f>
        <v>387788.58353009843</v>
      </c>
      <c r="M682" s="231">
        <f t="shared" si="18"/>
        <v>4057026</v>
      </c>
      <c r="N682" s="249" t="s">
        <v>611</v>
      </c>
    </row>
    <row r="683" spans="1:14" s="231" customFormat="1" ht="12.65" customHeight="1" x14ac:dyDescent="0.3">
      <c r="A683" s="250">
        <v>7030</v>
      </c>
      <c r="B683" s="249" t="s">
        <v>612</v>
      </c>
      <c r="C683" s="255">
        <f>Q86</f>
        <v>195513</v>
      </c>
      <c r="D683" s="255">
        <f>(D616/D613)*Q91</f>
        <v>23409.750882666885</v>
      </c>
      <c r="E683" s="257">
        <f>(E624/E613)*SUM(C683:D683)</f>
        <v>14308.748782962557</v>
      </c>
      <c r="F683" s="257">
        <f>(F625/F613)*Q65</f>
        <v>1043.3004903199403</v>
      </c>
      <c r="G683" s="255">
        <f>(G626/G613)*Q92</f>
        <v>0</v>
      </c>
      <c r="H683" s="257">
        <f>(H629/H613)*Q61</f>
        <v>2334.6939850932981</v>
      </c>
      <c r="I683" s="255">
        <f>(I630/I613)*Q93</f>
        <v>18116.428100740726</v>
      </c>
      <c r="J683" s="255">
        <f>(J631/J613)*Q94</f>
        <v>0</v>
      </c>
      <c r="K683" s="255">
        <f>(K645/K613)*Q90</f>
        <v>202161.40795439942</v>
      </c>
      <c r="L683" s="255">
        <f>(L648/L613)*Q95</f>
        <v>5376.9908975332555</v>
      </c>
      <c r="M683" s="231">
        <f t="shared" si="18"/>
        <v>266751</v>
      </c>
      <c r="N683" s="249" t="s">
        <v>613</v>
      </c>
    </row>
    <row r="684" spans="1:14" s="231" customFormat="1" ht="12.65" customHeight="1" x14ac:dyDescent="0.3">
      <c r="A684" s="250">
        <v>7040</v>
      </c>
      <c r="B684" s="249" t="s">
        <v>118</v>
      </c>
      <c r="C684" s="255">
        <f>R86</f>
        <v>114858</v>
      </c>
      <c r="D684" s="255">
        <f>(D616/D613)*R91</f>
        <v>0</v>
      </c>
      <c r="E684" s="257">
        <f>(E624/E613)*SUM(C684:D684)</f>
        <v>7507.0967320081982</v>
      </c>
      <c r="F684" s="257">
        <f>(F625/F613)*R65</f>
        <v>1546.4298200067979</v>
      </c>
      <c r="G684" s="255">
        <f>(G626/G613)*R92</f>
        <v>0</v>
      </c>
      <c r="H684" s="257">
        <f>(H629/H613)*R61</f>
        <v>0</v>
      </c>
      <c r="I684" s="255">
        <f>(I630/I613)*R93</f>
        <v>0</v>
      </c>
      <c r="J684" s="255">
        <f>(J631/J613)*R94</f>
        <v>0</v>
      </c>
      <c r="K684" s="255">
        <f>(K645/K613)*R90</f>
        <v>0</v>
      </c>
      <c r="L684" s="255">
        <f>(L648/L613)*R95</f>
        <v>0</v>
      </c>
      <c r="M684" s="231">
        <f t="shared" si="18"/>
        <v>9054</v>
      </c>
      <c r="N684" s="249" t="s">
        <v>614</v>
      </c>
    </row>
    <row r="685" spans="1:14" s="231" customFormat="1" ht="12.65" customHeight="1" x14ac:dyDescent="0.3">
      <c r="A685" s="250">
        <v>7050</v>
      </c>
      <c r="B685" s="249" t="s">
        <v>615</v>
      </c>
      <c r="C685" s="255">
        <f>S86</f>
        <v>551131</v>
      </c>
      <c r="D685" s="255">
        <f>(D616/D613)*S91</f>
        <v>35369.080137942357</v>
      </c>
      <c r="E685" s="257">
        <f>(E624/E613)*SUM(C685:D685)</f>
        <v>38333.532143395263</v>
      </c>
      <c r="F685" s="257">
        <f>(F625/F613)*S65</f>
        <v>5961.558463737505</v>
      </c>
      <c r="G685" s="255">
        <f>(G626/G613)*S92</f>
        <v>0</v>
      </c>
      <c r="H685" s="257">
        <f>(H629/H613)*S61</f>
        <v>25097.960339752954</v>
      </c>
      <c r="I685" s="255">
        <f>(I630/I613)*S93</f>
        <v>27413.915729800119</v>
      </c>
      <c r="J685" s="255">
        <f>(J631/J613)*S94</f>
        <v>0</v>
      </c>
      <c r="K685" s="255">
        <f>(K645/K613)*S90</f>
        <v>0</v>
      </c>
      <c r="L685" s="255">
        <f>(L648/L613)*S95</f>
        <v>0</v>
      </c>
      <c r="M685" s="231">
        <f t="shared" si="18"/>
        <v>132176</v>
      </c>
      <c r="N685" s="249" t="s">
        <v>616</v>
      </c>
    </row>
    <row r="686" spans="1:14" s="231" customFormat="1" ht="12.65" customHeight="1" x14ac:dyDescent="0.3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>
        <f>(I630/I613)*T93</f>
        <v>0</v>
      </c>
      <c r="J686" s="255">
        <f>(J631/J613)*T94</f>
        <v>0</v>
      </c>
      <c r="K686" s="255">
        <f>(K645/K613)*T90</f>
        <v>0</v>
      </c>
      <c r="L686" s="255">
        <f>(L648/L613)*T95</f>
        <v>0</v>
      </c>
      <c r="M686" s="231">
        <f t="shared" si="18"/>
        <v>0</v>
      </c>
      <c r="N686" s="249" t="s">
        <v>618</v>
      </c>
    </row>
    <row r="687" spans="1:14" s="231" customFormat="1" ht="12.65" customHeight="1" x14ac:dyDescent="0.3">
      <c r="A687" s="250">
        <v>7070</v>
      </c>
      <c r="B687" s="249" t="s">
        <v>121</v>
      </c>
      <c r="C687" s="255">
        <f>U86</f>
        <v>7667121</v>
      </c>
      <c r="D687" s="255">
        <f>(D616/D613)*U91</f>
        <v>93824.060849898102</v>
      </c>
      <c r="E687" s="257">
        <f>(E624/E613)*SUM(C687:D687)</f>
        <v>507253.87263927143</v>
      </c>
      <c r="F687" s="257">
        <f>(F625/F613)*U65</f>
        <v>99530.822361856903</v>
      </c>
      <c r="G687" s="255">
        <f>(G626/G613)*U92</f>
        <v>0</v>
      </c>
      <c r="H687" s="257">
        <f>(H629/H613)*U61</f>
        <v>168973.47717112745</v>
      </c>
      <c r="I687" s="255">
        <f>(I630/I613)*U93</f>
        <v>72670.804041839219</v>
      </c>
      <c r="J687" s="255">
        <f>(J631/J613)*U94</f>
        <v>6780.6095706859223</v>
      </c>
      <c r="K687" s="255">
        <f>(K645/K613)*U90</f>
        <v>2318368.1481702714</v>
      </c>
      <c r="L687" s="255">
        <f>(L648/L613)*U95</f>
        <v>0</v>
      </c>
      <c r="M687" s="231">
        <f t="shared" si="18"/>
        <v>3267402</v>
      </c>
      <c r="N687" s="249" t="s">
        <v>619</v>
      </c>
    </row>
    <row r="688" spans="1:14" s="231" customFormat="1" ht="12.65" customHeight="1" x14ac:dyDescent="0.3">
      <c r="A688" s="250">
        <v>7110</v>
      </c>
      <c r="B688" s="249" t="s">
        <v>620</v>
      </c>
      <c r="C688" s="255">
        <f>V86</f>
        <v>0</v>
      </c>
      <c r="D688" s="255">
        <f>(D616/D613)*V91</f>
        <v>0</v>
      </c>
      <c r="E688" s="257">
        <f>(E624/E613)*SUM(C688:D688)</f>
        <v>0</v>
      </c>
      <c r="F688" s="257">
        <f>(F625/F613)*V65</f>
        <v>0</v>
      </c>
      <c r="G688" s="255">
        <f>(G626/G613)*V92</f>
        <v>0</v>
      </c>
      <c r="H688" s="257">
        <f>(H629/H613)*V61</f>
        <v>0</v>
      </c>
      <c r="I688" s="255">
        <f>(I630/I613)*V93</f>
        <v>0</v>
      </c>
      <c r="J688" s="255">
        <f>(J631/J613)*V94</f>
        <v>0</v>
      </c>
      <c r="K688" s="255">
        <f>(K645/K613)*V90</f>
        <v>0</v>
      </c>
      <c r="L688" s="255">
        <f>(L648/L613)*V95</f>
        <v>0</v>
      </c>
      <c r="M688" s="231">
        <f t="shared" si="18"/>
        <v>0</v>
      </c>
      <c r="N688" s="249" t="s">
        <v>621</v>
      </c>
    </row>
    <row r="689" spans="1:14" s="231" customFormat="1" ht="12.65" customHeight="1" x14ac:dyDescent="0.3">
      <c r="A689" s="250">
        <v>7120</v>
      </c>
      <c r="B689" s="249" t="s">
        <v>622</v>
      </c>
      <c r="C689" s="255">
        <f>W86</f>
        <v>757151</v>
      </c>
      <c r="D689" s="255">
        <f>(D616/D613)*W91</f>
        <v>3284.7674163425863</v>
      </c>
      <c r="E689" s="257">
        <f>(E624/E613)*SUM(C689:D689)</f>
        <v>49701.935124008531</v>
      </c>
      <c r="F689" s="257">
        <f>(F625/F613)*W65</f>
        <v>25.094285952778471</v>
      </c>
      <c r="G689" s="255">
        <f>(G626/G613)*W92</f>
        <v>0</v>
      </c>
      <c r="H689" s="257">
        <f>(H629/H613)*W61</f>
        <v>0</v>
      </c>
      <c r="I689" s="255">
        <f>(I630/I613)*W93</f>
        <v>2529.4635461411581</v>
      </c>
      <c r="J689" s="255">
        <f>(J631/J613)*W94</f>
        <v>3071.0354013148276</v>
      </c>
      <c r="K689" s="255">
        <f>(K645/K613)*W90</f>
        <v>583736.02549276757</v>
      </c>
      <c r="L689" s="255">
        <f>(L648/L613)*W95</f>
        <v>0</v>
      </c>
      <c r="M689" s="231">
        <f t="shared" si="18"/>
        <v>642348</v>
      </c>
      <c r="N689" s="249" t="s">
        <v>623</v>
      </c>
    </row>
    <row r="690" spans="1:14" s="231" customFormat="1" ht="12.65" customHeight="1" x14ac:dyDescent="0.3">
      <c r="A690" s="250">
        <v>7130</v>
      </c>
      <c r="B690" s="249" t="s">
        <v>624</v>
      </c>
      <c r="C690" s="255">
        <f>X86</f>
        <v>1129482</v>
      </c>
      <c r="D690" s="255">
        <f>(D616/D613)*X91</f>
        <v>52556.278661481381</v>
      </c>
      <c r="E690" s="257">
        <f>(E624/E613)*SUM(C690:D690)</f>
        <v>77257.793961658754</v>
      </c>
      <c r="F690" s="257">
        <f>(F625/F613)*X65</f>
        <v>2867.1443104347991</v>
      </c>
      <c r="G690" s="255">
        <f>(G626/G613)*X92</f>
        <v>0</v>
      </c>
      <c r="H690" s="257">
        <f>(H629/H613)*X61</f>
        <v>51830.206469071221</v>
      </c>
      <c r="I690" s="255">
        <f>(I630/I613)*X93</f>
        <v>40744.872256760282</v>
      </c>
      <c r="J690" s="255">
        <f>(J631/J613)*X94</f>
        <v>8923.4112470684286</v>
      </c>
      <c r="K690" s="255">
        <f>(K645/K613)*X90</f>
        <v>1795422.2065397799</v>
      </c>
      <c r="L690" s="255">
        <f>(L648/L613)*X95</f>
        <v>0</v>
      </c>
      <c r="M690" s="231">
        <f t="shared" si="18"/>
        <v>2029602</v>
      </c>
      <c r="N690" s="249" t="s">
        <v>625</v>
      </c>
    </row>
    <row r="691" spans="1:14" s="231" customFormat="1" ht="12.65" customHeight="1" x14ac:dyDescent="0.3">
      <c r="A691" s="250">
        <v>7140</v>
      </c>
      <c r="B691" s="249" t="s">
        <v>626</v>
      </c>
      <c r="C691" s="255">
        <f>Y86</f>
        <v>2233835</v>
      </c>
      <c r="D691" s="255">
        <f>(D616/D613)*Y91</f>
        <v>54476.248348498528</v>
      </c>
      <c r="E691" s="257">
        <f>(E624/E613)*SUM(C691:D691)</f>
        <v>149563.58193852074</v>
      </c>
      <c r="F691" s="257">
        <f>(F625/F613)*Y65</f>
        <v>5972.4844714266792</v>
      </c>
      <c r="G691" s="255">
        <f>(G626/G613)*Y92</f>
        <v>0</v>
      </c>
      <c r="H691" s="257">
        <f>(H629/H613)*Y61</f>
        <v>70040.819552798945</v>
      </c>
      <c r="I691" s="255">
        <f>(I630/I613)*Y93</f>
        <v>42180.513728894446</v>
      </c>
      <c r="J691" s="255">
        <f>(J631/J613)*Y94</f>
        <v>36460.563656012877</v>
      </c>
      <c r="K691" s="255">
        <f>(K645/K613)*Y90</f>
        <v>930638.76416181447</v>
      </c>
      <c r="L691" s="255">
        <f>(L648/L613)*Y95</f>
        <v>0</v>
      </c>
      <c r="M691" s="231">
        <f t="shared" si="18"/>
        <v>1289333</v>
      </c>
      <c r="N691" s="249" t="s">
        <v>627</v>
      </c>
    </row>
    <row r="692" spans="1:14" s="231" customFormat="1" ht="12.65" customHeight="1" x14ac:dyDescent="0.3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>
        <f>(I630/I613)*Z93</f>
        <v>0</v>
      </c>
      <c r="J692" s="255">
        <f>(J631/J613)*Z94</f>
        <v>0</v>
      </c>
      <c r="K692" s="255">
        <f>(K645/K613)*Z90</f>
        <v>0</v>
      </c>
      <c r="L692" s="255">
        <f>(L648/L613)*Z95</f>
        <v>0</v>
      </c>
      <c r="M692" s="231">
        <f t="shared" si="18"/>
        <v>0</v>
      </c>
      <c r="N692" s="249" t="s">
        <v>629</v>
      </c>
    </row>
    <row r="693" spans="1:14" s="231" customFormat="1" ht="12.65" customHeight="1" x14ac:dyDescent="0.3">
      <c r="A693" s="250">
        <v>7160</v>
      </c>
      <c r="B693" s="249" t="s">
        <v>630</v>
      </c>
      <c r="C693" s="255">
        <f>AA86</f>
        <v>0</v>
      </c>
      <c r="D693" s="255">
        <f>(D616/D613)*AA91</f>
        <v>0</v>
      </c>
      <c r="E693" s="257">
        <f>(E624/E613)*SUM(C693:D693)</f>
        <v>0</v>
      </c>
      <c r="F693" s="257">
        <f>(F625/F613)*AA65</f>
        <v>0</v>
      </c>
      <c r="G693" s="255">
        <f>(G626/G613)*AA92</f>
        <v>0</v>
      </c>
      <c r="H693" s="257">
        <f>(H629/H613)*AA61</f>
        <v>0</v>
      </c>
      <c r="I693" s="255">
        <f>(I630/I613)*AA93</f>
        <v>0</v>
      </c>
      <c r="J693" s="255">
        <f>(J631/J613)*AA94</f>
        <v>0</v>
      </c>
      <c r="K693" s="255">
        <f>(K645/K613)*AA90</f>
        <v>0</v>
      </c>
      <c r="L693" s="255">
        <f>(L648/L613)*AA95</f>
        <v>0</v>
      </c>
      <c r="M693" s="231">
        <f t="shared" si="18"/>
        <v>0</v>
      </c>
      <c r="N693" s="249" t="s">
        <v>631</v>
      </c>
    </row>
    <row r="694" spans="1:14" s="231" customFormat="1" ht="12.65" customHeight="1" x14ac:dyDescent="0.3">
      <c r="A694" s="250">
        <v>7170</v>
      </c>
      <c r="B694" s="249" t="s">
        <v>127</v>
      </c>
      <c r="C694" s="255">
        <f>AB86</f>
        <v>5018701</v>
      </c>
      <c r="D694" s="255">
        <f>(D616/D613)*AB91</f>
        <v>26902.707783143858</v>
      </c>
      <c r="E694" s="257">
        <f>(E624/E613)*SUM(C694:D694)</f>
        <v>329779.68540029676</v>
      </c>
      <c r="F694" s="257">
        <f>(F625/F613)*AB65</f>
        <v>122837.86217881271</v>
      </c>
      <c r="G694" s="255">
        <f>(G626/G613)*AB92</f>
        <v>0</v>
      </c>
      <c r="H694" s="257">
        <f>(H629/H613)*AB61</f>
        <v>77570.207654724829</v>
      </c>
      <c r="I694" s="255">
        <f>(I630/I613)*AB93</f>
        <v>11963.678934451424</v>
      </c>
      <c r="J694" s="255">
        <f>(J631/J613)*AB94</f>
        <v>0</v>
      </c>
      <c r="K694" s="255">
        <f>(K645/K613)*AB90</f>
        <v>1376257.3499176283</v>
      </c>
      <c r="L694" s="255">
        <f>(L648/L613)*AB95</f>
        <v>0</v>
      </c>
      <c r="M694" s="231">
        <f t="shared" si="18"/>
        <v>1945311</v>
      </c>
      <c r="N694" s="249" t="s">
        <v>632</v>
      </c>
    </row>
    <row r="695" spans="1:14" s="231" customFormat="1" ht="12.65" customHeight="1" x14ac:dyDescent="0.3">
      <c r="A695" s="250">
        <v>7180</v>
      </c>
      <c r="B695" s="249" t="s">
        <v>633</v>
      </c>
      <c r="C695" s="255">
        <f>AC86</f>
        <v>931375</v>
      </c>
      <c r="D695" s="255">
        <f>(D616/D613)*AC91</f>
        <v>23872.394180743304</v>
      </c>
      <c r="E695" s="257">
        <f>(E624/E613)*SUM(C695:D695)</f>
        <v>62434.785483933243</v>
      </c>
      <c r="F695" s="257">
        <f>(F625/F613)*AC65</f>
        <v>4796.2953022205211</v>
      </c>
      <c r="G695" s="255">
        <f>(G626/G613)*AC92</f>
        <v>0</v>
      </c>
      <c r="H695" s="257">
        <f>(H629/H613)*AC61</f>
        <v>44592.655115281988</v>
      </c>
      <c r="I695" s="255">
        <f>(I630/I613)*AC93</f>
        <v>18458.247498867913</v>
      </c>
      <c r="J695" s="255">
        <f>(J631/J613)*AC94</f>
        <v>1220.6172660949283</v>
      </c>
      <c r="K695" s="255">
        <f>(K645/K613)*AC90</f>
        <v>185074.90068805972</v>
      </c>
      <c r="L695" s="255">
        <f>(L648/L613)*AC95</f>
        <v>0</v>
      </c>
      <c r="M695" s="231">
        <f t="shared" si="18"/>
        <v>340450</v>
      </c>
      <c r="N695" s="249" t="s">
        <v>634</v>
      </c>
    </row>
    <row r="696" spans="1:14" s="231" customFormat="1" ht="12.65" customHeight="1" x14ac:dyDescent="0.3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>
        <f>(I630/I613)*AD93</f>
        <v>0</v>
      </c>
      <c r="J696" s="255">
        <f>(J631/J613)*AD94</f>
        <v>0</v>
      </c>
      <c r="K696" s="255">
        <f>(K645/K613)*AD90</f>
        <v>0</v>
      </c>
      <c r="L696" s="255">
        <f>(L648/L613)*AD95</f>
        <v>0</v>
      </c>
      <c r="M696" s="231">
        <f t="shared" si="18"/>
        <v>0</v>
      </c>
      <c r="N696" s="249" t="s">
        <v>635</v>
      </c>
    </row>
    <row r="697" spans="1:14" s="231" customFormat="1" ht="12.65" customHeight="1" x14ac:dyDescent="0.3">
      <c r="A697" s="250">
        <v>7200</v>
      </c>
      <c r="B697" s="249" t="s">
        <v>636</v>
      </c>
      <c r="C697" s="255">
        <f>AE86</f>
        <v>1721753</v>
      </c>
      <c r="D697" s="255">
        <f>(D616/D613)*AE91</f>
        <v>0</v>
      </c>
      <c r="E697" s="257">
        <f>(E624/E613)*SUM(C697:D697)</f>
        <v>112533.44407551334</v>
      </c>
      <c r="F697" s="257">
        <f>(F625/F613)*AE65</f>
        <v>858.26899425042689</v>
      </c>
      <c r="G697" s="255">
        <f>(G626/G613)*AE92</f>
        <v>0</v>
      </c>
      <c r="H697" s="257">
        <f>(H629/H613)*AE61</f>
        <v>22588.16430577766</v>
      </c>
      <c r="I697" s="255">
        <f>(I630/I613)*AE93</f>
        <v>123806.98600166588</v>
      </c>
      <c r="J697" s="255">
        <f>(J631/J613)*AE94</f>
        <v>6102.4141844030028</v>
      </c>
      <c r="K697" s="255">
        <f>(K645/K613)*AE90</f>
        <v>331542.37737160828</v>
      </c>
      <c r="L697" s="255">
        <f>(L648/L613)*AE95</f>
        <v>0</v>
      </c>
      <c r="M697" s="231">
        <f t="shared" si="18"/>
        <v>597432</v>
      </c>
      <c r="N697" s="249" t="s">
        <v>637</v>
      </c>
    </row>
    <row r="698" spans="1:14" s="231" customFormat="1" ht="12.65" customHeight="1" x14ac:dyDescent="0.3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>
        <f>(I630/I613)*AF93</f>
        <v>0</v>
      </c>
      <c r="J698" s="255">
        <f>(J631/J613)*AF94</f>
        <v>0</v>
      </c>
      <c r="K698" s="255">
        <f>(K645/K613)*AF90</f>
        <v>0</v>
      </c>
      <c r="L698" s="255">
        <f>(L648/L613)*AF95</f>
        <v>0</v>
      </c>
      <c r="M698" s="231">
        <f t="shared" si="18"/>
        <v>0</v>
      </c>
      <c r="N698" s="249" t="s">
        <v>639</v>
      </c>
    </row>
    <row r="699" spans="1:14" s="231" customFormat="1" ht="12.65" customHeight="1" x14ac:dyDescent="0.3">
      <c r="A699" s="250">
        <v>7230</v>
      </c>
      <c r="B699" s="249" t="s">
        <v>640</v>
      </c>
      <c r="C699" s="255">
        <f>AG86</f>
        <v>7055137</v>
      </c>
      <c r="D699" s="255">
        <f>(D616/D613)*AG91</f>
        <v>119361.97090371653</v>
      </c>
      <c r="E699" s="257">
        <f>(E624/E613)*SUM(C699:D699)</f>
        <v>468923.86928439874</v>
      </c>
      <c r="F699" s="257">
        <f>(F625/F613)*AG65</f>
        <v>15967.738432412658</v>
      </c>
      <c r="G699" s="255">
        <f>(G626/G613)*AG92</f>
        <v>22418.601337223205</v>
      </c>
      <c r="H699" s="257">
        <f>(H629/H613)*AG61</f>
        <v>188001.23314963782</v>
      </c>
      <c r="I699" s="255">
        <f>(I630/I613)*AG93</f>
        <v>92427.965253590432</v>
      </c>
      <c r="J699" s="255">
        <f>(J631/J613)*AG94</f>
        <v>49064.646791371953</v>
      </c>
      <c r="K699" s="255">
        <f>(K645/K613)*AG90</f>
        <v>1579640.5025484925</v>
      </c>
      <c r="L699" s="255">
        <f>(L648/L613)*AG95</f>
        <v>361118.70867833344</v>
      </c>
      <c r="M699" s="231">
        <f t="shared" si="18"/>
        <v>2896925</v>
      </c>
      <c r="N699" s="249" t="s">
        <v>641</v>
      </c>
    </row>
    <row r="700" spans="1:14" s="231" customFormat="1" ht="12.65" customHeight="1" x14ac:dyDescent="0.3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>
        <f>(I630/I613)*AH93</f>
        <v>0</v>
      </c>
      <c r="J700" s="255">
        <f>(J631/J613)*AH94</f>
        <v>0</v>
      </c>
      <c r="K700" s="255">
        <f>(K645/K613)*AH90</f>
        <v>0</v>
      </c>
      <c r="L700" s="255">
        <f>(L648/L613)*AH95</f>
        <v>0</v>
      </c>
      <c r="M700" s="231">
        <f t="shared" si="18"/>
        <v>0</v>
      </c>
      <c r="N700" s="249" t="s">
        <v>642</v>
      </c>
    </row>
    <row r="701" spans="1:14" s="231" customFormat="1" ht="12.65" customHeight="1" x14ac:dyDescent="0.3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>
        <f>(G626/G613)*AI92</f>
        <v>0</v>
      </c>
      <c r="H701" s="257">
        <f>(H629/H613)*AI61</f>
        <v>0</v>
      </c>
      <c r="I701" s="255">
        <f>(I630/I613)*AI93</f>
        <v>0</v>
      </c>
      <c r="J701" s="255">
        <f>(J631/J613)*AI94</f>
        <v>0</v>
      </c>
      <c r="K701" s="255">
        <f>(K645/K613)*AI90</f>
        <v>0</v>
      </c>
      <c r="L701" s="255">
        <f>(L648/L613)*AI95</f>
        <v>0</v>
      </c>
      <c r="M701" s="231">
        <f t="shared" si="18"/>
        <v>0</v>
      </c>
      <c r="N701" s="249" t="s">
        <v>644</v>
      </c>
    </row>
    <row r="702" spans="1:14" s="231" customFormat="1" ht="12.65" customHeight="1" x14ac:dyDescent="0.3">
      <c r="A702" s="250">
        <v>7260</v>
      </c>
      <c r="B702" s="249" t="s">
        <v>133</v>
      </c>
      <c r="C702" s="255">
        <f>AJ86</f>
        <v>25945945</v>
      </c>
      <c r="D702" s="255">
        <f>(D616/D613)*AJ91</f>
        <v>733497.81693526113</v>
      </c>
      <c r="E702" s="257">
        <f>(E624/E613)*SUM(C702:D702)</f>
        <v>1743763.237935662</v>
      </c>
      <c r="F702" s="257">
        <f>(F625/F613)*AJ65</f>
        <v>64441.060374765439</v>
      </c>
      <c r="G702" s="255">
        <f>(G626/G613)*AJ92</f>
        <v>0</v>
      </c>
      <c r="H702" s="257">
        <f>(H629/H613)*AJ61</f>
        <v>886424.93879029795</v>
      </c>
      <c r="I702" s="255">
        <f>(I630/I613)*AJ93</f>
        <v>567967.11192812817</v>
      </c>
      <c r="J702" s="255">
        <f>(J631/J613)*AJ94</f>
        <v>19933.163900501757</v>
      </c>
      <c r="K702" s="255">
        <f>(K645/K613)*AJ90</f>
        <v>2303829.1019823337</v>
      </c>
      <c r="L702" s="255">
        <f>(L648/L613)*AJ95</f>
        <v>283905.11938975588</v>
      </c>
      <c r="M702" s="231">
        <f t="shared" si="18"/>
        <v>6603762</v>
      </c>
      <c r="N702" s="249" t="s">
        <v>645</v>
      </c>
    </row>
    <row r="703" spans="1:14" s="231" customFormat="1" ht="12.65" customHeight="1" x14ac:dyDescent="0.3">
      <c r="A703" s="250">
        <v>7310</v>
      </c>
      <c r="B703" s="249" t="s">
        <v>646</v>
      </c>
      <c r="C703" s="255">
        <f>AK86</f>
        <v>341077</v>
      </c>
      <c r="D703" s="255">
        <f>(D616/D613)*AK91</f>
        <v>0</v>
      </c>
      <c r="E703" s="257">
        <f>(E624/E613)*SUM(C703:D703)</f>
        <v>22292.726950348781</v>
      </c>
      <c r="F703" s="257">
        <f>(F625/F613)*AK65</f>
        <v>517.91941326610572</v>
      </c>
      <c r="G703" s="255">
        <f>(G626/G613)*AK92</f>
        <v>0</v>
      </c>
      <c r="H703" s="257">
        <f>(H629/H613)*AK61</f>
        <v>0</v>
      </c>
      <c r="I703" s="255">
        <f>(I630/I613)*AK93</f>
        <v>49153.629450688997</v>
      </c>
      <c r="J703" s="255">
        <f>(J631/J613)*AK94</f>
        <v>2441.2345321898565</v>
      </c>
      <c r="K703" s="255">
        <f>(K645/K613)*AK90</f>
        <v>64589.05075453777</v>
      </c>
      <c r="L703" s="255">
        <f>(L648/L613)*AK95</f>
        <v>0</v>
      </c>
      <c r="M703" s="231">
        <f t="shared" si="18"/>
        <v>138995</v>
      </c>
      <c r="N703" s="249" t="s">
        <v>647</v>
      </c>
    </row>
    <row r="704" spans="1:14" s="231" customFormat="1" ht="12.65" customHeight="1" x14ac:dyDescent="0.3">
      <c r="A704" s="250">
        <v>7320</v>
      </c>
      <c r="B704" s="249" t="s">
        <v>648</v>
      </c>
      <c r="C704" s="255">
        <f>AL86</f>
        <v>325006</v>
      </c>
      <c r="D704" s="255">
        <f>(D616/D613)*AL91</f>
        <v>0</v>
      </c>
      <c r="E704" s="257">
        <f>(E624/E613)*SUM(C704:D704)</f>
        <v>21242.329489309028</v>
      </c>
      <c r="F704" s="257">
        <f>(F625/F613)*AL65</f>
        <v>167.26562990825437</v>
      </c>
      <c r="G704" s="255">
        <f>(G626/G613)*AL92</f>
        <v>0</v>
      </c>
      <c r="H704" s="257">
        <f>(H629/H613)*AL61</f>
        <v>0</v>
      </c>
      <c r="I704" s="255">
        <f>(I630/I613)*AL93</f>
        <v>14424.778600967145</v>
      </c>
      <c r="J704" s="255">
        <f>(J631/J613)*AL94</f>
        <v>0</v>
      </c>
      <c r="K704" s="255">
        <f>(K645/K613)*AL90</f>
        <v>61120.455558007918</v>
      </c>
      <c r="L704" s="255">
        <f>(L648/L613)*AL95</f>
        <v>0</v>
      </c>
      <c r="M704" s="231">
        <f t="shared" si="18"/>
        <v>96955</v>
      </c>
      <c r="N704" s="249" t="s">
        <v>649</v>
      </c>
    </row>
    <row r="705" spans="1:14" s="231" customFormat="1" ht="12.65" customHeight="1" x14ac:dyDescent="0.3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>
        <f>(G626/G613)*AM92</f>
        <v>0</v>
      </c>
      <c r="H705" s="257">
        <f>(H629/H613)*AM61</f>
        <v>0</v>
      </c>
      <c r="I705" s="255">
        <f>(I630/I613)*AM93</f>
        <v>0</v>
      </c>
      <c r="J705" s="255">
        <f>(J631/J613)*AM94</f>
        <v>0</v>
      </c>
      <c r="K705" s="255">
        <f>(K645/K613)*AM90</f>
        <v>0</v>
      </c>
      <c r="L705" s="255">
        <f>(L648/L613)*AM95</f>
        <v>0</v>
      </c>
      <c r="M705" s="231">
        <f t="shared" si="18"/>
        <v>0</v>
      </c>
      <c r="N705" s="249" t="s">
        <v>651</v>
      </c>
    </row>
    <row r="706" spans="1:14" s="231" customFormat="1" ht="12.65" customHeight="1" x14ac:dyDescent="0.3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>
        <f>(I630/I613)*AN93</f>
        <v>0</v>
      </c>
      <c r="J706" s="255">
        <f>(J631/J613)*AN94</f>
        <v>0</v>
      </c>
      <c r="K706" s="255">
        <f>(K645/K613)*AN90</f>
        <v>0</v>
      </c>
      <c r="L706" s="255">
        <f>(L648/L613)*AN95</f>
        <v>0</v>
      </c>
      <c r="M706" s="231">
        <f t="shared" si="18"/>
        <v>0</v>
      </c>
      <c r="N706" s="249" t="s">
        <v>653</v>
      </c>
    </row>
    <row r="707" spans="1:14" s="231" customFormat="1" ht="12.65" customHeight="1" x14ac:dyDescent="0.3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>
        <f>(G626/G613)*AO92</f>
        <v>0</v>
      </c>
      <c r="H707" s="257">
        <f>(H629/H613)*AO61</f>
        <v>0</v>
      </c>
      <c r="I707" s="255">
        <f>(I630/I613)*AO93</f>
        <v>0</v>
      </c>
      <c r="J707" s="255">
        <f>(J631/J613)*AO94</f>
        <v>0</v>
      </c>
      <c r="K707" s="255">
        <f>(K645/K613)*AO90</f>
        <v>0</v>
      </c>
      <c r="L707" s="255">
        <f>(L648/L613)*AO95</f>
        <v>0</v>
      </c>
      <c r="M707" s="231">
        <f t="shared" si="18"/>
        <v>0</v>
      </c>
      <c r="N707" s="249" t="s">
        <v>655</v>
      </c>
    </row>
    <row r="708" spans="1:14" s="231" customFormat="1" ht="12.65" customHeight="1" x14ac:dyDescent="0.3">
      <c r="A708" s="250">
        <v>7380</v>
      </c>
      <c r="B708" s="249" t="s">
        <v>656</v>
      </c>
      <c r="C708" s="255">
        <f>AP86</f>
        <v>0</v>
      </c>
      <c r="D708" s="255">
        <f>(D616/D613)*AP91</f>
        <v>0</v>
      </c>
      <c r="E708" s="257">
        <f>(E624/E613)*SUM(C708:D708)</f>
        <v>0</v>
      </c>
      <c r="F708" s="257">
        <f>(F625/F613)*AP65</f>
        <v>0</v>
      </c>
      <c r="G708" s="255">
        <f>(G626/G613)*AP92</f>
        <v>0</v>
      </c>
      <c r="H708" s="257">
        <f>(H629/H613)*AP61</f>
        <v>0</v>
      </c>
      <c r="I708" s="255">
        <f>(I630/I613)*AP93</f>
        <v>0</v>
      </c>
      <c r="J708" s="255">
        <f>(J631/J613)*AP94</f>
        <v>0</v>
      </c>
      <c r="K708" s="255">
        <f>(K645/K613)*AP90</f>
        <v>0</v>
      </c>
      <c r="L708" s="255">
        <f>(L648/L613)*AP95</f>
        <v>0</v>
      </c>
      <c r="M708" s="231">
        <f t="shared" si="18"/>
        <v>0</v>
      </c>
      <c r="N708" s="249" t="s">
        <v>657</v>
      </c>
    </row>
    <row r="709" spans="1:14" s="231" customFormat="1" ht="12.65" customHeight="1" x14ac:dyDescent="0.3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>
        <f>(I630/I613)*AQ93</f>
        <v>0</v>
      </c>
      <c r="J709" s="255">
        <f>(J631/J613)*AQ94</f>
        <v>0</v>
      </c>
      <c r="K709" s="255">
        <f>(K645/K613)*AQ90</f>
        <v>0</v>
      </c>
      <c r="L709" s="255">
        <f>(L648/L613)*AQ95</f>
        <v>0</v>
      </c>
      <c r="M709" s="231">
        <f t="shared" si="18"/>
        <v>0</v>
      </c>
      <c r="N709" s="249" t="s">
        <v>659</v>
      </c>
    </row>
    <row r="710" spans="1:14" s="231" customFormat="1" ht="12.65" customHeight="1" x14ac:dyDescent="0.3">
      <c r="A710" s="250">
        <v>7400</v>
      </c>
      <c r="B710" s="249" t="s">
        <v>660</v>
      </c>
      <c r="C710" s="255">
        <f>AR86</f>
        <v>2469149</v>
      </c>
      <c r="D710" s="255">
        <f>(D616/D613)*AR91</f>
        <v>32246.237875926519</v>
      </c>
      <c r="E710" s="257">
        <f>(E624/E613)*SUM(C710:D710)</f>
        <v>163490.71040518931</v>
      </c>
      <c r="F710" s="257">
        <f>(F625/F613)*AR65</f>
        <v>5081.7483567665513</v>
      </c>
      <c r="G710" s="255">
        <f>(G626/G613)*AR92</f>
        <v>0</v>
      </c>
      <c r="H710" s="257">
        <f>(H629/H613)*AR61</f>
        <v>110139.18874677632</v>
      </c>
      <c r="I710" s="255">
        <f>(I630/I613)*AR93</f>
        <v>25021.179942909836</v>
      </c>
      <c r="J710" s="255">
        <f>(J631/J613)*AR94</f>
        <v>0</v>
      </c>
      <c r="K710" s="255">
        <f>(K645/K613)*AR90</f>
        <v>219106.49214149071</v>
      </c>
      <c r="L710" s="255">
        <f>(L648/L613)*AR95</f>
        <v>138511.28552045664</v>
      </c>
      <c r="M710" s="231">
        <f t="shared" si="18"/>
        <v>693597</v>
      </c>
      <c r="N710" s="249" t="s">
        <v>661</v>
      </c>
    </row>
    <row r="711" spans="1:14" s="231" customFormat="1" ht="12.65" customHeight="1" x14ac:dyDescent="0.3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>
        <f>(I630/I613)*AS93</f>
        <v>0</v>
      </c>
      <c r="J711" s="255">
        <f>(J631/J613)*AS94</f>
        <v>0</v>
      </c>
      <c r="K711" s="255">
        <f>(K645/K613)*AS90</f>
        <v>0</v>
      </c>
      <c r="L711" s="255">
        <f>(L648/L613)*AS95</f>
        <v>0</v>
      </c>
      <c r="M711" s="231">
        <f t="shared" si="18"/>
        <v>0</v>
      </c>
      <c r="N711" s="249" t="s">
        <v>662</v>
      </c>
    </row>
    <row r="712" spans="1:14" s="231" customFormat="1" ht="12.65" customHeight="1" x14ac:dyDescent="0.3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>
        <f>(I630/I613)*AT93</f>
        <v>0</v>
      </c>
      <c r="J712" s="255">
        <f>(J631/J613)*AT94</f>
        <v>0</v>
      </c>
      <c r="K712" s="255">
        <f>(K645/K613)*AT90</f>
        <v>0</v>
      </c>
      <c r="L712" s="255">
        <f>(L648/L613)*AT95</f>
        <v>0</v>
      </c>
      <c r="M712" s="231">
        <f t="shared" si="18"/>
        <v>0</v>
      </c>
      <c r="N712" s="249" t="s">
        <v>664</v>
      </c>
    </row>
    <row r="713" spans="1:14" s="231" customFormat="1" ht="12.65" customHeight="1" x14ac:dyDescent="0.3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>
        <f>(I630/I613)*AU93</f>
        <v>0</v>
      </c>
      <c r="J713" s="255">
        <f>(J631/J613)*AU94</f>
        <v>0</v>
      </c>
      <c r="K713" s="255">
        <f>(K645/K613)*AU90</f>
        <v>0</v>
      </c>
      <c r="L713" s="255">
        <f>(L648/L613)*AU95</f>
        <v>0</v>
      </c>
      <c r="M713" s="231">
        <f t="shared" si="18"/>
        <v>0</v>
      </c>
      <c r="N713" s="249" t="s">
        <v>666</v>
      </c>
    </row>
    <row r="714" spans="1:14" s="231" customFormat="1" ht="12.65" customHeight="1" x14ac:dyDescent="0.3">
      <c r="A714" s="250">
        <v>7490</v>
      </c>
      <c r="B714" s="249" t="s">
        <v>667</v>
      </c>
      <c r="C714" s="255">
        <f>AV86</f>
        <v>0</v>
      </c>
      <c r="D714" s="255">
        <f>(D616/D613)*AV91</f>
        <v>0</v>
      </c>
      <c r="E714" s="257">
        <f>(E624/E613)*SUM(C714:D714)</f>
        <v>0</v>
      </c>
      <c r="F714" s="257">
        <f>(F625/F613)*AV65</f>
        <v>0</v>
      </c>
      <c r="G714" s="255">
        <f>(G626/G613)*AV92</f>
        <v>0</v>
      </c>
      <c r="H714" s="257">
        <f>(H629/H613)*AV61</f>
        <v>0</v>
      </c>
      <c r="I714" s="255">
        <f>(I630/I613)*AV93</f>
        <v>0</v>
      </c>
      <c r="J714" s="255">
        <f>(J631/J613)*AV94</f>
        <v>0</v>
      </c>
      <c r="K714" s="255">
        <f>(K645/K613)*AV90</f>
        <v>0</v>
      </c>
      <c r="L714" s="255">
        <f>(L648/L613)*AV95</f>
        <v>0</v>
      </c>
      <c r="M714" s="231">
        <f t="shared" si="18"/>
        <v>0</v>
      </c>
      <c r="N714" s="251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2">
        <f>SUM(C615:C648)+SUM(C669:C714)</f>
        <v>100245847</v>
      </c>
      <c r="D716" s="231">
        <f>SUM(D617:D648)+SUM(D669:D714)</f>
        <v>3098993</v>
      </c>
      <c r="E716" s="231">
        <f>SUM(E625:E648)+SUM(E669:E714)</f>
        <v>6150081.1138920207</v>
      </c>
      <c r="F716" s="231">
        <f>SUM(F626:F649)+SUM(F669:F714)</f>
        <v>538356.5550633719</v>
      </c>
      <c r="G716" s="231">
        <f>SUM(G627:G648)+SUM(G669:G714)</f>
        <v>493765.41609330726</v>
      </c>
      <c r="H716" s="231">
        <f>SUM(H630:H648)+SUM(H669:H714)</f>
        <v>2777351.9646669873</v>
      </c>
      <c r="I716" s="231">
        <f>SUM(I631:I648)+SUM(I669:I714)</f>
        <v>1965529.9031109312</v>
      </c>
      <c r="J716" s="231">
        <f>SUM(J632:J648)+SUM(J669:J714)</f>
        <v>280432.78400887985</v>
      </c>
      <c r="K716" s="231">
        <f>SUM(K669:K714)</f>
        <v>15275084.795597399</v>
      </c>
      <c r="L716" s="231">
        <f>SUM(L669:L714)</f>
        <v>2082185.9551607778</v>
      </c>
      <c r="M716" s="231">
        <f>SUM(M669:M714)</f>
        <v>29086844</v>
      </c>
      <c r="N716" s="249" t="s">
        <v>669</v>
      </c>
    </row>
    <row r="717" spans="1:14" s="231" customFormat="1" ht="12.65" customHeight="1" x14ac:dyDescent="0.3">
      <c r="C717" s="252">
        <f>CE86</f>
        <v>100245847</v>
      </c>
      <c r="D717" s="231">
        <f>D616</f>
        <v>3098993</v>
      </c>
      <c r="E717" s="231">
        <f>E624</f>
        <v>6150081.1138920197</v>
      </c>
      <c r="F717" s="231">
        <f>F625</f>
        <v>538356.55506337178</v>
      </c>
      <c r="G717" s="231">
        <f>G626</f>
        <v>493765.41609330726</v>
      </c>
      <c r="H717" s="231">
        <f>H629</f>
        <v>2777351.9646669873</v>
      </c>
      <c r="I717" s="231">
        <f>I630</f>
        <v>1965529.9031109307</v>
      </c>
      <c r="J717" s="231">
        <f>J631</f>
        <v>280432.78400887991</v>
      </c>
      <c r="K717" s="231">
        <f>K645</f>
        <v>15275084.795597397</v>
      </c>
      <c r="L717" s="231">
        <f>L648</f>
        <v>2082185.9551607778</v>
      </c>
      <c r="M717" s="231">
        <f>C649</f>
        <v>29086844</v>
      </c>
      <c r="N717" s="249" t="s">
        <v>670</v>
      </c>
    </row>
  </sheetData>
  <mergeCells count="1">
    <mergeCell ref="B237:C237"/>
  </mergeCells>
  <hyperlinks>
    <hyperlink ref="G43" r:id="rId1" xr:uid="{00000000-0004-0000-0B00-000000000000}"/>
    <hyperlink ref="A44" r:id="rId2" xr:uid="{00000000-0004-0000-0B00-000001000000}"/>
    <hyperlink ref="C31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140</v>
      </c>
      <c r="C2" s="12" t="str">
        <f>SUBSTITUTE(LEFT(data!C98,49),",","")</f>
        <v>Kittitas Valley Healthcare</v>
      </c>
      <c r="D2" s="12" t="str">
        <f>LEFT(data!C99,49)</f>
        <v>603 South Chestnut Street</v>
      </c>
      <c r="E2" s="12" t="str">
        <f>RIGHT(data!C100,100)</f>
        <v>Ellensburg</v>
      </c>
      <c r="F2" s="12" t="str">
        <f>RIGHT(data!C101,100)</f>
        <v>Ellensburg, WA 98926</v>
      </c>
      <c r="G2" s="12" t="str">
        <f>RIGHT(data!C102,100)</f>
        <v>98926</v>
      </c>
      <c r="H2" s="12" t="str">
        <f>RIGHT(data!C103,100)</f>
        <v xml:space="preserve">Kittitas  </v>
      </c>
      <c r="I2" s="12" t="str">
        <f>LEFT(data!C104,49)</f>
        <v>Julie A. Petersen</v>
      </c>
      <c r="J2" s="12" t="str">
        <f>LEFT(data!C105,49)</f>
        <v>Dale Scott Olander</v>
      </c>
      <c r="K2" s="12" t="str">
        <f>LEFT(data!C107,49)</f>
        <v>(509) 962-9841</v>
      </c>
      <c r="L2" s="12" t="str">
        <f>LEFT(data!C108,49)</f>
        <v>(509 962-7351</v>
      </c>
      <c r="M2" s="12" t="str">
        <f>LEFT(data!C109,49)</f>
        <v>Dale Scott Olander</v>
      </c>
      <c r="N2" s="12" t="str">
        <f>LEFT(data!C110,49)</f>
        <v>solander@kvhealthcare.org</v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140</v>
      </c>
      <c r="B2" s="224" t="str">
        <f>RIGHT(data!C96,4)</f>
        <v>2022</v>
      </c>
      <c r="C2" s="16" t="s">
        <v>1123</v>
      </c>
      <c r="D2" s="223">
        <f>ROUND(data!C181,0)</f>
        <v>3750309</v>
      </c>
      <c r="E2" s="223">
        <f>ROUND(data!C182,0)</f>
        <v>51195</v>
      </c>
      <c r="F2" s="223">
        <f>ROUND(data!C183,0)</f>
        <v>385085</v>
      </c>
      <c r="G2" s="223">
        <f>ROUND(data!C184,0)</f>
        <v>5115596</v>
      </c>
      <c r="H2" s="223">
        <f>ROUND(data!C185,0)</f>
        <v>64892</v>
      </c>
      <c r="I2" s="223">
        <f>ROUND(data!C186,0)</f>
        <v>3475371</v>
      </c>
      <c r="J2" s="223">
        <f>ROUND(data!C187+data!C188,0)</f>
        <v>206203</v>
      </c>
      <c r="K2" s="223">
        <f>ROUND(data!C191,0)</f>
        <v>8046</v>
      </c>
      <c r="L2" s="223">
        <f>ROUND(data!C192,0)</f>
        <v>180994</v>
      </c>
      <c r="M2" s="223">
        <f>ROUND(data!C195,0)</f>
        <v>923191</v>
      </c>
      <c r="N2" s="223">
        <f>ROUND(data!C196,0)</f>
        <v>287812</v>
      </c>
      <c r="O2" s="223">
        <f>ROUND(data!C199,0)</f>
        <v>172589</v>
      </c>
      <c r="P2" s="223">
        <f>ROUND(data!C200,0)</f>
        <v>583514</v>
      </c>
      <c r="Q2" s="223">
        <f>ROUND(data!C201,0)</f>
        <v>0</v>
      </c>
      <c r="R2" s="223">
        <f>ROUND(data!C204,0)</f>
        <v>0</v>
      </c>
      <c r="S2" s="223">
        <f>ROUND(data!C205,0)</f>
        <v>777132</v>
      </c>
      <c r="T2" s="223">
        <f>ROUND(data!B211,0)</f>
        <v>2808860</v>
      </c>
      <c r="U2" s="223">
        <f>ROUND(data!C211,0)</f>
        <v>404052</v>
      </c>
      <c r="V2" s="223">
        <f>ROUND(data!D211,0)</f>
        <v>0</v>
      </c>
      <c r="W2" s="223">
        <f>ROUND(data!B212,0)</f>
        <v>429006</v>
      </c>
      <c r="X2" s="223">
        <f>ROUND(data!C212,0)</f>
        <v>0</v>
      </c>
      <c r="Y2" s="223">
        <f>ROUND(data!D212,0)</f>
        <v>217661</v>
      </c>
      <c r="Z2" s="223">
        <f>ROUND(data!B213,0)</f>
        <v>47774316</v>
      </c>
      <c r="AA2" s="223">
        <f>ROUND(data!C213,0)</f>
        <v>707751</v>
      </c>
      <c r="AB2" s="223">
        <f>ROUND(data!D213,0)</f>
        <v>0</v>
      </c>
      <c r="AC2" s="223">
        <f>ROUND(data!B214,0)</f>
        <v>6963975</v>
      </c>
      <c r="AD2" s="223">
        <f>ROUND(data!C214,0)</f>
        <v>16594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32745184</v>
      </c>
      <c r="AJ2" s="223">
        <f>ROUND(data!C216,0)</f>
        <v>1540502</v>
      </c>
      <c r="AK2" s="223">
        <f>ROUND(data!D216,0)</f>
        <v>918385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5716029</v>
      </c>
      <c r="AQ2" s="223">
        <f>ROUND(data!D218,0)</f>
        <v>0</v>
      </c>
      <c r="AR2" s="223">
        <f>ROUND(data!B219,0)</f>
        <v>1652275</v>
      </c>
      <c r="AS2" s="223">
        <f>ROUND(data!C219,0)</f>
        <v>6466840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434951</v>
      </c>
      <c r="AY2" s="223">
        <f>ROUND(data!C225,0)</f>
        <v>2716</v>
      </c>
      <c r="AZ2" s="223">
        <f>ROUND(data!D225,0)</f>
        <v>217661</v>
      </c>
      <c r="BA2" s="223">
        <f>ROUND(data!B226,0)</f>
        <v>20290809</v>
      </c>
      <c r="BB2" s="223">
        <f>ROUND(data!C226,0)</f>
        <v>1919693</v>
      </c>
      <c r="BC2" s="223">
        <f>ROUND(data!D226,0)</f>
        <v>0</v>
      </c>
      <c r="BD2" s="223">
        <f>ROUND(data!B227,0)</f>
        <v>4463103</v>
      </c>
      <c r="BE2" s="223">
        <f>ROUND(data!C227,0)</f>
        <v>228877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24095378</v>
      </c>
      <c r="BK2" s="223">
        <f>ROUND(data!C229,0)</f>
        <v>2337611</v>
      </c>
      <c r="BL2" s="223">
        <f>ROUND(data!D229,0)</f>
        <v>915999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1225541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46404779</v>
      </c>
      <c r="BW2" s="223">
        <f>ROUND(data!C240,0)</f>
        <v>19799203</v>
      </c>
      <c r="BX2" s="223">
        <f>ROUND(data!C241,0)</f>
        <v>0</v>
      </c>
      <c r="BY2" s="223">
        <f>ROUND(data!C242,0)</f>
        <v>0</v>
      </c>
      <c r="BZ2" s="223">
        <f>ROUND(data!C243,0)</f>
        <v>0</v>
      </c>
      <c r="CA2" s="223">
        <f>ROUND(data!C244,0)</f>
        <v>18618326</v>
      </c>
      <c r="CB2" s="223">
        <f>ROUND(data!C247,0)</f>
        <v>4025</v>
      </c>
      <c r="CC2" s="223">
        <f>ROUND(data!C249,0)</f>
        <v>160937</v>
      </c>
      <c r="CD2" s="223">
        <f>ROUND(data!C250,0)</f>
        <v>1074723</v>
      </c>
      <c r="CE2" s="223">
        <f>ROUND(data!C254+data!C255,0)</f>
        <v>1733500</v>
      </c>
      <c r="CF2" s="223">
        <f>data!D237</f>
        <v>5954254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140</v>
      </c>
      <c r="B2" s="16" t="str">
        <f>RIGHT(data!C96,4)</f>
        <v>2022</v>
      </c>
      <c r="C2" s="16" t="s">
        <v>1123</v>
      </c>
      <c r="D2" s="222">
        <f>ROUND(data!C127,0)</f>
        <v>1056</v>
      </c>
      <c r="E2" s="222">
        <f>ROUND(data!C128,0)</f>
        <v>6</v>
      </c>
      <c r="F2" s="222">
        <f>ROUND(data!C129,0)</f>
        <v>0</v>
      </c>
      <c r="G2" s="222">
        <f>ROUND(data!C130,0)</f>
        <v>318</v>
      </c>
      <c r="H2" s="222">
        <f>ROUND(data!D127,0)</f>
        <v>3950</v>
      </c>
      <c r="I2" s="222">
        <f>ROUND(data!D128,0)</f>
        <v>59</v>
      </c>
      <c r="J2" s="222">
        <f>ROUND(data!D129,0)</f>
        <v>0</v>
      </c>
      <c r="K2" s="222">
        <f>ROUND(data!D130,0)</f>
        <v>526</v>
      </c>
      <c r="L2" s="222">
        <f>ROUND(data!C132,0)</f>
        <v>6</v>
      </c>
      <c r="M2" s="222">
        <f>ROUND(data!C133,0)</f>
        <v>0</v>
      </c>
      <c r="N2" s="222">
        <f>ROUND(data!C134,0)</f>
        <v>13</v>
      </c>
      <c r="O2" s="222">
        <f>ROUND(data!C135,0)</f>
        <v>0</v>
      </c>
      <c r="P2" s="222">
        <f>ROUND(data!C136,0)</f>
        <v>6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50</v>
      </c>
      <c r="X2" s="222">
        <f>ROUND(data!C145,0)</f>
        <v>6</v>
      </c>
      <c r="Y2" s="222">
        <f>ROUND(data!B154,0)</f>
        <v>424</v>
      </c>
      <c r="Z2" s="222">
        <f>ROUND(data!B155,0)</f>
        <v>1971</v>
      </c>
      <c r="AA2" s="222">
        <f>ROUND(data!B156,0)</f>
        <v>87951</v>
      </c>
      <c r="AB2" s="222">
        <f>ROUND(data!B157,0)</f>
        <v>14420522</v>
      </c>
      <c r="AC2" s="222">
        <f>ROUND(data!B158,0)</f>
        <v>78836235</v>
      </c>
      <c r="AD2" s="222">
        <f>ROUND(data!C154,0)</f>
        <v>202</v>
      </c>
      <c r="AE2" s="222">
        <f>ROUND(data!C155,0)</f>
        <v>606</v>
      </c>
      <c r="AF2" s="222">
        <f>ROUND(data!C156,0)</f>
        <v>38917</v>
      </c>
      <c r="AG2" s="222">
        <f>ROUND(data!C157,0)</f>
        <v>5465501</v>
      </c>
      <c r="AH2" s="222">
        <f>ROUND(data!C158,0)</f>
        <v>33272776</v>
      </c>
      <c r="AI2" s="222">
        <f>ROUND(data!D154,0)</f>
        <v>430</v>
      </c>
      <c r="AJ2" s="222">
        <f>ROUND(data!D155,0)</f>
        <v>1899</v>
      </c>
      <c r="AK2" s="222">
        <f>ROUND(data!D156,0)</f>
        <v>81005</v>
      </c>
      <c r="AL2" s="222">
        <f>ROUND(data!D157,0)</f>
        <v>10441911</v>
      </c>
      <c r="AM2" s="222">
        <f>ROUND(data!D158,0)</f>
        <v>70994260</v>
      </c>
      <c r="AN2" s="222">
        <f>ROUND(data!B160,0)</f>
        <v>6</v>
      </c>
      <c r="AO2" s="222">
        <f>ROUND(data!B161,0)</f>
        <v>59</v>
      </c>
      <c r="AP2" s="222">
        <f>ROUND(data!B162,0)</f>
        <v>0</v>
      </c>
      <c r="AQ2" s="222">
        <f>ROUND(data!B163,0)</f>
        <v>60876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4482209</v>
      </c>
      <c r="BS2" s="222">
        <f>ROUND(data!C173,0)</f>
        <v>3067944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140</v>
      </c>
      <c r="B2" s="224" t="str">
        <f>RIGHT(data!C96,4)</f>
        <v>2022</v>
      </c>
      <c r="C2" s="16" t="s">
        <v>1123</v>
      </c>
      <c r="D2" s="222">
        <f>ROUND(data!C266,0)</f>
        <v>11162290</v>
      </c>
      <c r="E2" s="222">
        <f>ROUND(data!C267,0)</f>
        <v>0</v>
      </c>
      <c r="F2" s="222">
        <f>ROUND(data!C268,0)</f>
        <v>41373454</v>
      </c>
      <c r="G2" s="222">
        <f>ROUND(data!C269,0)</f>
        <v>26782289</v>
      </c>
      <c r="H2" s="222">
        <f>ROUND(data!C270,0)</f>
        <v>2182107</v>
      </c>
      <c r="I2" s="222">
        <f>ROUND(data!C271,0)</f>
        <v>2007557</v>
      </c>
      <c r="J2" s="222">
        <f>ROUND(data!C272,0)</f>
        <v>0</v>
      </c>
      <c r="K2" s="222">
        <f>ROUND(data!C273,0)</f>
        <v>2690763</v>
      </c>
      <c r="L2" s="222">
        <f>ROUND(data!C274,0)</f>
        <v>1512320</v>
      </c>
      <c r="M2" s="222">
        <f>ROUND(data!C275,0)</f>
        <v>963413</v>
      </c>
      <c r="N2" s="222">
        <f>ROUND(data!C278,0)</f>
        <v>0</v>
      </c>
      <c r="O2" s="222">
        <f>ROUND(data!C279,0)</f>
        <v>61115705</v>
      </c>
      <c r="P2" s="222">
        <f>ROUND(data!C280,0)</f>
        <v>0</v>
      </c>
      <c r="Q2" s="222">
        <f>ROUND(data!C283,0)</f>
        <v>3212912</v>
      </c>
      <c r="R2" s="222">
        <f>ROUND(data!C284,0)</f>
        <v>211345</v>
      </c>
      <c r="S2" s="222">
        <f>ROUND(data!C285,0)</f>
        <v>46791473</v>
      </c>
      <c r="T2" s="222">
        <f>ROUND(data!C286,0)</f>
        <v>6980569</v>
      </c>
      <c r="U2" s="222">
        <f>ROUND(data!C287,0)</f>
        <v>0</v>
      </c>
      <c r="V2" s="222">
        <f>ROUND(data!C288,0)</f>
        <v>39642889</v>
      </c>
      <c r="W2" s="222">
        <f>ROUND(data!C289,0)</f>
        <v>1131036</v>
      </c>
      <c r="X2" s="222">
        <f>ROUND(data!C290,0)</f>
        <v>8119115</v>
      </c>
      <c r="Y2" s="222">
        <f>ROUND(data!C291,0)</f>
        <v>0</v>
      </c>
      <c r="Z2" s="222">
        <f>ROUND(data!C292,0)</f>
        <v>53865018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4228424</v>
      </c>
      <c r="AK2" s="222">
        <f>ROUND(data!C316,0)</f>
        <v>5558497</v>
      </c>
      <c r="AL2" s="222">
        <f>ROUND(data!C317,0)</f>
        <v>0</v>
      </c>
      <c r="AM2" s="222">
        <f>ROUND(data!C318,0)</f>
        <v>0</v>
      </c>
      <c r="AN2" s="222">
        <f>ROUND(data!C319,0)</f>
        <v>1284899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2293900</v>
      </c>
      <c r="AS2" s="222">
        <f>ROUND(data!C326,0)</f>
        <v>0</v>
      </c>
      <c r="AT2" s="222">
        <f>ROUND(data!C327,0)</f>
        <v>60910</v>
      </c>
      <c r="AU2" s="222">
        <f>ROUND(data!C328,0)</f>
        <v>1028817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4991302</v>
      </c>
      <c r="AZ2" s="222">
        <f>ROUND(data!C335,0)</f>
        <v>33155706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94334870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560.87</v>
      </c>
      <c r="BL2" s="222">
        <f>ROUND(data!C358,0)</f>
        <v>30388810</v>
      </c>
      <c r="BM2" s="222">
        <f>ROUND(data!C359,0)</f>
        <v>183103271</v>
      </c>
      <c r="BN2" s="222">
        <f>ROUND(data!C363,0)</f>
        <v>84822308</v>
      </c>
      <c r="BO2" s="222">
        <f>ROUND(data!C364,0)</f>
        <v>1235660</v>
      </c>
      <c r="BP2" s="222">
        <f>ROUND(data!C365,0)</f>
        <v>1733500</v>
      </c>
      <c r="BQ2" s="222">
        <f>ROUND(data!D381,0)</f>
        <v>2472726</v>
      </c>
      <c r="BR2" s="222">
        <f>ROUND(data!C370,0)</f>
        <v>195039</v>
      </c>
      <c r="BS2" s="222">
        <f>ROUND(data!C371,0)</f>
        <v>158683</v>
      </c>
      <c r="BT2" s="222">
        <f>ROUND(data!C372,0)</f>
        <v>0</v>
      </c>
      <c r="BU2" s="222">
        <f>ROUND(data!C373,0)</f>
        <v>0</v>
      </c>
      <c r="BV2" s="222">
        <f>ROUND(data!C374,0)</f>
        <v>1220074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309808</v>
      </c>
      <c r="CB2" s="222">
        <f>ROUND(data!C380,0)</f>
        <v>589122</v>
      </c>
      <c r="CC2" s="222">
        <f>ROUND(data!C382,0)</f>
        <v>0</v>
      </c>
      <c r="CD2" s="222">
        <f>ROUND(data!C389,0)</f>
        <v>54598631</v>
      </c>
      <c r="CE2" s="222">
        <f>ROUND(data!C390,0)</f>
        <v>13048651</v>
      </c>
      <c r="CF2" s="222">
        <f>ROUND(data!C391,0)</f>
        <v>2716325</v>
      </c>
      <c r="CG2" s="222">
        <f>ROUND(data!C392,0)</f>
        <v>12536040</v>
      </c>
      <c r="CH2" s="222">
        <f>ROUND(data!C393,0)</f>
        <v>1198546</v>
      </c>
      <c r="CI2" s="222">
        <f>ROUND(data!C394,0)</f>
        <v>13503688</v>
      </c>
      <c r="CJ2" s="222">
        <f>ROUND(data!C395,0)</f>
        <v>5661935</v>
      </c>
      <c r="CK2" s="222">
        <f>ROUND(data!C396,0)</f>
        <v>189040</v>
      </c>
      <c r="CL2" s="222">
        <f>ROUND(data!C397,0)</f>
        <v>1211003</v>
      </c>
      <c r="CM2" s="222">
        <f>ROUND(data!C398,0)</f>
        <v>756103</v>
      </c>
      <c r="CN2" s="222">
        <f>ROUND(data!C399,0)</f>
        <v>777132</v>
      </c>
      <c r="CO2" s="222">
        <f>ROUND(data!C362,0)</f>
        <v>5954254</v>
      </c>
      <c r="CP2" s="222">
        <f>ROUND(data!D415,0)</f>
        <v>7947990</v>
      </c>
      <c r="CQ2" s="65">
        <f>ROUND(data!C401,0)</f>
        <v>0</v>
      </c>
      <c r="CR2" s="65">
        <f>ROUND(data!C402,0)</f>
        <v>6697461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152636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224658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873235</v>
      </c>
      <c r="DE2" s="65">
        <f>ROUND(data!C419,0)</f>
        <v>0</v>
      </c>
      <c r="DF2" s="222">
        <f>ROUND(data!D420,0)</f>
        <v>-1994212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topLeftCell="X53"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140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567</v>
      </c>
      <c r="F2" s="212">
        <f>ROUND(data!C60,2)</f>
        <v>15.1</v>
      </c>
      <c r="G2" s="222">
        <f>ROUND(data!C61,0)</f>
        <v>1455192</v>
      </c>
      <c r="H2" s="222">
        <f>ROUND(data!C62,0)</f>
        <v>347780</v>
      </c>
      <c r="I2" s="222">
        <f>ROUND(data!C63,0)</f>
        <v>0</v>
      </c>
      <c r="J2" s="222">
        <f>ROUND(data!C64,0)</f>
        <v>88140</v>
      </c>
      <c r="K2" s="222">
        <f>ROUND(data!C65,0)</f>
        <v>0</v>
      </c>
      <c r="L2" s="222">
        <f>ROUND(data!C66,0)</f>
        <v>66999</v>
      </c>
      <c r="M2" s="66">
        <f>ROUND(data!C67,0)</f>
        <v>57006</v>
      </c>
      <c r="N2" s="222">
        <f>ROUND(data!C68,0)</f>
        <v>0</v>
      </c>
      <c r="O2" s="222">
        <f>ROUND(data!C69,0)</f>
        <v>491103</v>
      </c>
      <c r="P2" s="222">
        <f>ROUND(data!C70,0)</f>
        <v>0</v>
      </c>
      <c r="Q2" s="222">
        <f>ROUND(data!C71,0)</f>
        <v>490123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980</v>
      </c>
      <c r="AD2" s="222">
        <f>ROUND(data!C84,0)</f>
        <v>0</v>
      </c>
      <c r="AE2" s="222">
        <f>ROUND(data!C89,0)</f>
        <v>2591455</v>
      </c>
      <c r="AF2" s="222">
        <f>ROUND(data!C87,0)</f>
        <v>2088077</v>
      </c>
      <c r="AG2" s="222">
        <f>IF(data!C90&gt;0,ROUND(data!C90,0),0)</f>
        <v>2897</v>
      </c>
      <c r="AH2" s="222">
        <f>IF(data!C91&gt;0,ROUND(data!C91,0),0)</f>
        <v>2578</v>
      </c>
      <c r="AI2" s="222">
        <f>IF(data!C92&gt;0,ROUND(data!C92,0),0)</f>
        <v>1800</v>
      </c>
      <c r="AJ2" s="222">
        <f>IF(data!C93&gt;0,ROUND(data!C93,0),0)</f>
        <v>22765</v>
      </c>
      <c r="AK2" s="212">
        <f>IF(data!C94&gt;0,ROUND(data!C94,2),0)</f>
        <v>12.6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140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140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3229</v>
      </c>
      <c r="F4" s="212">
        <f>ROUND(data!E60,2)</f>
        <v>22.73</v>
      </c>
      <c r="G4" s="222">
        <f>ROUND(data!E61,0)</f>
        <v>1865257</v>
      </c>
      <c r="H4" s="222">
        <f>ROUND(data!E62,0)</f>
        <v>445782</v>
      </c>
      <c r="I4" s="222">
        <f>ROUND(data!E63,0)</f>
        <v>0</v>
      </c>
      <c r="J4" s="222">
        <f>ROUND(data!E64,0)</f>
        <v>147366</v>
      </c>
      <c r="K4" s="222">
        <f>ROUND(data!E65,0)</f>
        <v>0</v>
      </c>
      <c r="L4" s="222">
        <f>ROUND(data!E66,0)</f>
        <v>77184</v>
      </c>
      <c r="M4" s="66">
        <f>ROUND(data!E67,0)</f>
        <v>208461</v>
      </c>
      <c r="N4" s="222">
        <f>ROUND(data!E68,0)</f>
        <v>0</v>
      </c>
      <c r="O4" s="222">
        <f>ROUND(data!E69,0)</f>
        <v>765663</v>
      </c>
      <c r="P4" s="222">
        <f>ROUND(data!E70,0)</f>
        <v>0</v>
      </c>
      <c r="Q4" s="222">
        <f>ROUND(data!E71,0)</f>
        <v>740198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25465</v>
      </c>
      <c r="AD4" s="222">
        <f>ROUND(data!E84,0)</f>
        <v>0</v>
      </c>
      <c r="AE4" s="222">
        <f>ROUND(data!E89,0)</f>
        <v>9308724</v>
      </c>
      <c r="AF4" s="222">
        <f>ROUND(data!E87,0)</f>
        <v>5472804</v>
      </c>
      <c r="AG4" s="222">
        <f>IF(data!E90&gt;0,ROUND(data!E90,0),0)</f>
        <v>13113</v>
      </c>
      <c r="AH4" s="222">
        <f>IF(data!E91&gt;0,ROUND(data!E91,0),0)</f>
        <v>12314</v>
      </c>
      <c r="AI4" s="222">
        <f>IF(data!E92&gt;0,ROUND(data!E92,0),0)</f>
        <v>4160</v>
      </c>
      <c r="AJ4" s="222">
        <f>IF(data!E93&gt;0,ROUND(data!E93,0),0)</f>
        <v>90398</v>
      </c>
      <c r="AK4" s="212">
        <f>IF(data!E94&gt;0,ROUND(data!E94,2),0)</f>
        <v>18.399999999999999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140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140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140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140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140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526</v>
      </c>
      <c r="F9" s="212">
        <f>ROUND(data!J60,2)</f>
        <v>2</v>
      </c>
      <c r="G9" s="222">
        <f>ROUND(data!J61,0)</f>
        <v>148042</v>
      </c>
      <c r="H9" s="222">
        <f>ROUND(data!J62,0)</f>
        <v>35381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3378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839665</v>
      </c>
      <c r="AF9" s="222">
        <f>ROUND(data!J87,0)</f>
        <v>839665</v>
      </c>
      <c r="AG9" s="222">
        <f>IF(data!J90&gt;0,ROUND(data!J90,0),0)</f>
        <v>252</v>
      </c>
      <c r="AH9" s="222">
        <f>IF(data!J91&gt;0,ROUND(data!J91,0),0)</f>
        <v>0</v>
      </c>
      <c r="AI9" s="222">
        <f>IF(data!J92&gt;0,ROUND(data!J92,0),0)</f>
        <v>280</v>
      </c>
      <c r="AJ9" s="222">
        <f>IF(data!J93&gt;0,ROUND(data!J93,0),0)</f>
        <v>6176</v>
      </c>
      <c r="AK9" s="212">
        <f>IF(data!J94&gt;0,ROUND(data!J94,2),0)</f>
        <v>1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140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140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57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60876</v>
      </c>
      <c r="AF11" s="222">
        <f>ROUND(data!L87,0)</f>
        <v>60876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140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140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140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318</v>
      </c>
      <c r="F14" s="212">
        <f>ROUND(data!O60,2)</f>
        <v>15.8</v>
      </c>
      <c r="G14" s="222">
        <f>ROUND(data!O61,0)</f>
        <v>1574628</v>
      </c>
      <c r="H14" s="222">
        <f>ROUND(data!O62,0)</f>
        <v>376324</v>
      </c>
      <c r="I14" s="222">
        <f>ROUND(data!O63,0)</f>
        <v>0</v>
      </c>
      <c r="J14" s="222">
        <f>ROUND(data!O64,0)</f>
        <v>149588</v>
      </c>
      <c r="K14" s="222">
        <f>ROUND(data!O65,0)</f>
        <v>0</v>
      </c>
      <c r="L14" s="222">
        <f>ROUND(data!O66,0)</f>
        <v>16210</v>
      </c>
      <c r="M14" s="66">
        <f>ROUND(data!O67,0)</f>
        <v>95365</v>
      </c>
      <c r="N14" s="222">
        <f>ROUND(data!O68,0)</f>
        <v>0</v>
      </c>
      <c r="O14" s="222">
        <f>ROUND(data!O69,0)</f>
        <v>447899</v>
      </c>
      <c r="P14" s="222">
        <f>ROUND(data!O70,0)</f>
        <v>0</v>
      </c>
      <c r="Q14" s="222">
        <f>ROUND(data!O71,0)</f>
        <v>428398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19501</v>
      </c>
      <c r="AD14" s="222">
        <f>ROUND(data!O84,0)</f>
        <v>0</v>
      </c>
      <c r="AE14" s="222">
        <f>ROUND(data!O89,0)</f>
        <v>4266812</v>
      </c>
      <c r="AF14" s="222">
        <f>ROUND(data!O87,0)</f>
        <v>3415848</v>
      </c>
      <c r="AG14" s="222">
        <f>IF(data!O90&gt;0,ROUND(data!O90,0),0)</f>
        <v>3134</v>
      </c>
      <c r="AH14" s="222">
        <f>IF(data!O91&gt;0,ROUND(data!O91,0),0)</f>
        <v>0</v>
      </c>
      <c r="AI14" s="222">
        <f>IF(data!O92&gt;0,ROUND(data!O92,0),0)</f>
        <v>1700</v>
      </c>
      <c r="AJ14" s="222">
        <f>IF(data!O93&gt;0,ROUND(data!O93,0),0)</f>
        <v>31570</v>
      </c>
      <c r="AK14" s="212">
        <f>IF(data!O94&gt;0,ROUND(data!O94,2),0)</f>
        <v>10.6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140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142557</v>
      </c>
      <c r="F15" s="212">
        <f>ROUND(data!P60,2)</f>
        <v>28.37</v>
      </c>
      <c r="G15" s="222">
        <f>ROUND(data!P61,0)</f>
        <v>2753257</v>
      </c>
      <c r="H15" s="222">
        <f>ROUND(data!P62,0)</f>
        <v>658007</v>
      </c>
      <c r="I15" s="222">
        <f>ROUND(data!P63,0)</f>
        <v>0</v>
      </c>
      <c r="J15" s="222">
        <f>ROUND(data!P64,0)</f>
        <v>4209981</v>
      </c>
      <c r="K15" s="222">
        <f>ROUND(data!P65,0)</f>
        <v>5101</v>
      </c>
      <c r="L15" s="222">
        <f>ROUND(data!P66,0)</f>
        <v>131882</v>
      </c>
      <c r="M15" s="66">
        <f>ROUND(data!P67,0)</f>
        <v>478071</v>
      </c>
      <c r="N15" s="222">
        <f>ROUND(data!P68,0)</f>
        <v>0</v>
      </c>
      <c r="O15" s="222">
        <f>ROUND(data!P69,0)</f>
        <v>1178181</v>
      </c>
      <c r="P15" s="222">
        <f>ROUND(data!P70,0)</f>
        <v>0</v>
      </c>
      <c r="Q15" s="222">
        <f>ROUND(data!P71,0)</f>
        <v>1172071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6110</v>
      </c>
      <c r="AD15" s="222">
        <f>ROUND(data!P84,0)</f>
        <v>0</v>
      </c>
      <c r="AE15" s="222">
        <f>ROUND(data!P89,0)</f>
        <v>33290303</v>
      </c>
      <c r="AF15" s="222">
        <f>ROUND(data!P87,0)</f>
        <v>7239162</v>
      </c>
      <c r="AG15" s="222">
        <f>IF(data!P90&gt;0,ROUND(data!P90,0),0)</f>
        <v>12295</v>
      </c>
      <c r="AH15" s="222">
        <f>IF(data!P91&gt;0,ROUND(data!P91,0),0)</f>
        <v>43</v>
      </c>
      <c r="AI15" s="222">
        <f>IF(data!P92&gt;0,ROUND(data!P92,0),0)</f>
        <v>7040</v>
      </c>
      <c r="AJ15" s="222">
        <f>IF(data!P93&gt;0,ROUND(data!P93,0),0)</f>
        <v>54931</v>
      </c>
      <c r="AK15" s="212">
        <f>IF(data!P94&gt;0,ROUND(data!P94,2),0)</f>
        <v>19.600000000000001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140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0.27</v>
      </c>
      <c r="G16" s="222">
        <f>ROUND(data!Q61,0)</f>
        <v>99094</v>
      </c>
      <c r="H16" s="222">
        <f>ROUND(data!Q62,0)</f>
        <v>23683</v>
      </c>
      <c r="I16" s="222">
        <f>ROUND(data!Q63,0)</f>
        <v>0</v>
      </c>
      <c r="J16" s="222">
        <f>ROUND(data!Q64,0)</f>
        <v>21693</v>
      </c>
      <c r="K16" s="222">
        <f>ROUND(data!Q65,0)</f>
        <v>0</v>
      </c>
      <c r="L16" s="222">
        <f>ROUND(data!Q66,0)</f>
        <v>0</v>
      </c>
      <c r="M16" s="66">
        <f>ROUND(data!Q67,0)</f>
        <v>24971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3036105</v>
      </c>
      <c r="AF16" s="222">
        <f>ROUND(data!Q87,0)</f>
        <v>395332</v>
      </c>
      <c r="AG16" s="222">
        <f>IF(data!Q90&gt;0,ROUND(data!Q90,0),0)</f>
        <v>1012</v>
      </c>
      <c r="AH16" s="222">
        <f>IF(data!Q91&gt;0,ROUND(data!Q91,0),0)</f>
        <v>0</v>
      </c>
      <c r="AI16" s="222">
        <f>IF(data!Q92&gt;0,ROUND(data!Q92,0),0)</f>
        <v>2080</v>
      </c>
      <c r="AJ16" s="222">
        <f>IF(data!Q93&gt;0,ROUND(data!Q93,0),0)</f>
        <v>22765</v>
      </c>
      <c r="AK16" s="212">
        <f>IF(data!Q94&gt;0,ROUND(data!Q94,2),0)</f>
        <v>0.4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140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39033</v>
      </c>
      <c r="K17" s="222">
        <f>ROUND(data!R65,0)</f>
        <v>0</v>
      </c>
      <c r="L17" s="222">
        <f>ROUND(data!R66,0)</f>
        <v>78844</v>
      </c>
      <c r="M17" s="66">
        <f>ROUND(data!R67,0)</f>
        <v>13454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140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5.17</v>
      </c>
      <c r="G18" s="222">
        <f>ROUND(data!S61,0)</f>
        <v>283836</v>
      </c>
      <c r="H18" s="222">
        <f>ROUND(data!S62,0)</f>
        <v>67835</v>
      </c>
      <c r="I18" s="222">
        <f>ROUND(data!S63,0)</f>
        <v>0</v>
      </c>
      <c r="J18" s="222">
        <f>ROUND(data!S64,0)</f>
        <v>138027</v>
      </c>
      <c r="K18" s="222">
        <f>ROUND(data!S65,0)</f>
        <v>0</v>
      </c>
      <c r="L18" s="222">
        <f>ROUND(data!S66,0)</f>
        <v>47030</v>
      </c>
      <c r="M18" s="66">
        <f>ROUND(data!S67,0)</f>
        <v>72219</v>
      </c>
      <c r="N18" s="222">
        <f>ROUND(data!S68,0)</f>
        <v>0</v>
      </c>
      <c r="O18" s="222">
        <f>ROUND(data!S69,0)</f>
        <v>3030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3030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1529</v>
      </c>
      <c r="AH18" s="222">
        <f>IF(data!S91&gt;0,ROUND(data!S91,0),0)</f>
        <v>0</v>
      </c>
      <c r="AI18" s="222">
        <f>IF(data!S92&gt;0,ROUND(data!S92,0),0)</f>
        <v>500</v>
      </c>
      <c r="AJ18" s="222">
        <f>IF(data!S93&gt;0,ROUND(data!S93,0),0)</f>
        <v>0</v>
      </c>
      <c r="AK18" s="212">
        <f>IF(data!S94&gt;0,ROUND(data!S94,2),0)</f>
        <v>0.3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140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140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277627</v>
      </c>
      <c r="F20" s="212">
        <f>ROUND(data!U60,2)</f>
        <v>25.89</v>
      </c>
      <c r="G20" s="222">
        <f>ROUND(data!U61,0)</f>
        <v>1857186</v>
      </c>
      <c r="H20" s="222">
        <f>ROUND(data!U62,0)</f>
        <v>443853</v>
      </c>
      <c r="I20" s="222">
        <f>ROUND(data!U63,0)</f>
        <v>14945</v>
      </c>
      <c r="J20" s="222">
        <f>ROUND(data!U64,0)</f>
        <v>2027049</v>
      </c>
      <c r="K20" s="222">
        <f>ROUND(data!U65,0)</f>
        <v>0</v>
      </c>
      <c r="L20" s="222">
        <f>ROUND(data!U66,0)</f>
        <v>1258391</v>
      </c>
      <c r="M20" s="66">
        <f>ROUND(data!U67,0)</f>
        <v>286240</v>
      </c>
      <c r="N20" s="222">
        <f>ROUND(data!U68,0)</f>
        <v>0</v>
      </c>
      <c r="O20" s="222">
        <f>ROUND(data!U69,0)</f>
        <v>311157</v>
      </c>
      <c r="P20" s="222">
        <f>ROUND(data!U70,0)</f>
        <v>0</v>
      </c>
      <c r="Q20" s="222">
        <f>ROUND(data!U71,0)</f>
        <v>295512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15645</v>
      </c>
      <c r="AD20" s="222">
        <f>ROUND(data!U84,0)</f>
        <v>0</v>
      </c>
      <c r="AE20" s="222">
        <f>ROUND(data!U89,0)</f>
        <v>26283039</v>
      </c>
      <c r="AF20" s="222">
        <f>ROUND(data!U87,0)</f>
        <v>2194814</v>
      </c>
      <c r="AG20" s="222">
        <f>IF(data!U90&gt;0,ROUND(data!U90,0),0)</f>
        <v>4560</v>
      </c>
      <c r="AH20" s="222">
        <f>IF(data!U91&gt;0,ROUND(data!U91,0),0)</f>
        <v>0</v>
      </c>
      <c r="AI20" s="222">
        <f>IF(data!U92&gt;0,ROUND(data!U92,0),0)</f>
        <v>1456</v>
      </c>
      <c r="AJ20" s="222">
        <f>IF(data!U93&gt;0,ROUND(data!U93,0),0)</f>
        <v>2014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140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140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2277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411216</v>
      </c>
      <c r="M22" s="66">
        <f>ROUND(data!W67,0)</f>
        <v>1904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8569460</v>
      </c>
      <c r="AF22" s="222">
        <f>ROUND(data!W87,0)</f>
        <v>140890</v>
      </c>
      <c r="AG22" s="222">
        <f>IF(data!W90&gt;0,ROUND(data!W90,0),0)</f>
        <v>142</v>
      </c>
      <c r="AH22" s="222">
        <f>IF(data!W91&gt;0,ROUND(data!W91,0),0)</f>
        <v>0</v>
      </c>
      <c r="AI22" s="222">
        <f>IF(data!W92&gt;0,ROUND(data!W92,0),0)</f>
        <v>728</v>
      </c>
      <c r="AJ22" s="222">
        <f>IF(data!W93&gt;0,ROUND(data!W93,0),0)</f>
        <v>4819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140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6220</v>
      </c>
      <c r="F23" s="212">
        <f>ROUND(data!X60,2)</f>
        <v>9.34</v>
      </c>
      <c r="G23" s="222">
        <f>ROUND(data!X61,0)</f>
        <v>828792</v>
      </c>
      <c r="H23" s="222">
        <f>ROUND(data!X62,0)</f>
        <v>198075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148143</v>
      </c>
      <c r="M23" s="66">
        <f>ROUND(data!X67,0)</f>
        <v>30458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25147465</v>
      </c>
      <c r="AF23" s="222">
        <f>ROUND(data!X87,0)</f>
        <v>1534111</v>
      </c>
      <c r="AG23" s="222">
        <f>IF(data!X90&gt;0,ROUND(data!X90,0),0)</f>
        <v>2272</v>
      </c>
      <c r="AH23" s="222">
        <f>IF(data!X91&gt;0,ROUND(data!X91,0),0)</f>
        <v>0</v>
      </c>
      <c r="AI23" s="222">
        <f>IF(data!X92&gt;0,ROUND(data!X92,0),0)</f>
        <v>1228</v>
      </c>
      <c r="AJ23" s="222">
        <f>IF(data!X93&gt;0,ROUND(data!X93,0),0)</f>
        <v>13163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140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26725</v>
      </c>
      <c r="F24" s="212">
        <f>ROUND(data!Y60,2)</f>
        <v>13.33</v>
      </c>
      <c r="G24" s="222">
        <f>ROUND(data!Y61,0)</f>
        <v>1064210</v>
      </c>
      <c r="H24" s="222">
        <f>ROUND(data!Y62,0)</f>
        <v>254338</v>
      </c>
      <c r="I24" s="222">
        <f>ROUND(data!Y63,0)</f>
        <v>-65111</v>
      </c>
      <c r="J24" s="222">
        <f>ROUND(data!Y64,0)</f>
        <v>119521</v>
      </c>
      <c r="K24" s="222">
        <f>ROUND(data!Y65,0)</f>
        <v>0</v>
      </c>
      <c r="L24" s="222">
        <f>ROUND(data!Y66,0)</f>
        <v>423774</v>
      </c>
      <c r="M24" s="66">
        <f>ROUND(data!Y67,0)</f>
        <v>770361</v>
      </c>
      <c r="N24" s="222">
        <f>ROUND(data!Y68,0)</f>
        <v>0</v>
      </c>
      <c r="O24" s="222">
        <f>ROUND(data!Y69,0)</f>
        <v>412629</v>
      </c>
      <c r="P24" s="222">
        <f>ROUND(data!Y70,0)</f>
        <v>0</v>
      </c>
      <c r="Q24" s="222">
        <f>ROUND(data!Y71,0)</f>
        <v>392307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20322</v>
      </c>
      <c r="AD24" s="222">
        <f>ROUND(data!Y84,0)</f>
        <v>0</v>
      </c>
      <c r="AE24" s="222">
        <f>ROUND(data!Y89,0)</f>
        <v>14245181</v>
      </c>
      <c r="AF24" s="222">
        <f>ROUND(data!Y87,0)</f>
        <v>696806</v>
      </c>
      <c r="AG24" s="222">
        <f>IF(data!Y90&gt;0,ROUND(data!Y90,0),0)</f>
        <v>2355</v>
      </c>
      <c r="AH24" s="222">
        <f>IF(data!Y91&gt;0,ROUND(data!Y91,0),0)</f>
        <v>0</v>
      </c>
      <c r="AI24" s="222">
        <f>IF(data!Y92&gt;0,ROUND(data!Y92,0),0)</f>
        <v>1228</v>
      </c>
      <c r="AJ24" s="222">
        <f>IF(data!Y93&gt;0,ROUND(data!Y93,0),0)</f>
        <v>56558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140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140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140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13.48</v>
      </c>
      <c r="G27" s="222">
        <f>ROUND(data!AB61,0)</f>
        <v>1503949</v>
      </c>
      <c r="H27" s="222">
        <f>ROUND(data!AB62,0)</f>
        <v>359432</v>
      </c>
      <c r="I27" s="222">
        <f>ROUND(data!AB63,0)</f>
        <v>0</v>
      </c>
      <c r="J27" s="222">
        <f>ROUND(data!AB64,0)</f>
        <v>2231630</v>
      </c>
      <c r="K27" s="222">
        <f>ROUND(data!AB65,0)</f>
        <v>0</v>
      </c>
      <c r="L27" s="222">
        <f>ROUND(data!AB66,0)</f>
        <v>252992</v>
      </c>
      <c r="M27" s="66">
        <f>ROUND(data!AB67,0)</f>
        <v>214243</v>
      </c>
      <c r="N27" s="222">
        <f>ROUND(data!AB68,0)</f>
        <v>0</v>
      </c>
      <c r="O27" s="222">
        <f>ROUND(data!AB69,0)</f>
        <v>2081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2081</v>
      </c>
      <c r="AD27" s="222">
        <f>ROUND(data!AB84,0)</f>
        <v>0</v>
      </c>
      <c r="AE27" s="222">
        <f>ROUND(data!AB89,0)</f>
        <v>17601368</v>
      </c>
      <c r="AF27" s="222">
        <f>ROUND(data!AB87,0)</f>
        <v>4900513</v>
      </c>
      <c r="AG27" s="222">
        <f>IF(data!AB90&gt;0,ROUND(data!AB90,0),0)</f>
        <v>1163</v>
      </c>
      <c r="AH27" s="222">
        <f>IF(data!AB91&gt;0,ROUND(data!AB91,0),0)</f>
        <v>0</v>
      </c>
      <c r="AI27" s="222">
        <f>IF(data!AB92&gt;0,ROUND(data!AB92,0),0)</f>
        <v>1200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140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7.51</v>
      </c>
      <c r="G28" s="222">
        <f>ROUND(data!AC61,0)</f>
        <v>668467</v>
      </c>
      <c r="H28" s="222">
        <f>ROUND(data!AC62,0)</f>
        <v>159758</v>
      </c>
      <c r="I28" s="222">
        <f>ROUND(data!AC63,0)</f>
        <v>5467</v>
      </c>
      <c r="J28" s="222">
        <f>ROUND(data!AC64,0)</f>
        <v>60215</v>
      </c>
      <c r="K28" s="222">
        <f>ROUND(data!AC65,0)</f>
        <v>0</v>
      </c>
      <c r="L28" s="222">
        <f>ROUND(data!AC66,0)</f>
        <v>17959</v>
      </c>
      <c r="M28" s="66">
        <f>ROUND(data!AC67,0)</f>
        <v>70784</v>
      </c>
      <c r="N28" s="222">
        <f>ROUND(data!AC68,0)</f>
        <v>0</v>
      </c>
      <c r="O28" s="222">
        <f>ROUND(data!AC69,0)</f>
        <v>131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131</v>
      </c>
      <c r="AD28" s="222">
        <f>ROUND(data!AC84,0)</f>
        <v>0</v>
      </c>
      <c r="AE28" s="222">
        <f>ROUND(data!AC89,0)</f>
        <v>2615584</v>
      </c>
      <c r="AF28" s="222">
        <f>ROUND(data!AC87,0)</f>
        <v>513493</v>
      </c>
      <c r="AG28" s="222">
        <f>IF(data!AC90&gt;0,ROUND(data!AC90,0),0)</f>
        <v>1032</v>
      </c>
      <c r="AH28" s="222">
        <f>IF(data!AC91&gt;0,ROUND(data!AC91,0),0)</f>
        <v>0</v>
      </c>
      <c r="AI28" s="222">
        <f>IF(data!AC92&gt;0,ROUND(data!AC92,0),0)</f>
        <v>1800</v>
      </c>
      <c r="AJ28" s="222">
        <f>IF(data!AC93&gt;0,ROUND(data!AC93,0),0)</f>
        <v>16789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140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140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12427</v>
      </c>
      <c r="F30" s="212">
        <f>ROUND(data!AE60,2)</f>
        <v>3.73</v>
      </c>
      <c r="G30" s="222">
        <f>ROUND(data!AE61,0)</f>
        <v>291571</v>
      </c>
      <c r="H30" s="222">
        <f>ROUND(data!AE62,0)</f>
        <v>69683</v>
      </c>
      <c r="I30" s="222">
        <f>ROUND(data!AE63,0)</f>
        <v>0</v>
      </c>
      <c r="J30" s="222">
        <f>ROUND(data!AE64,0)</f>
        <v>20366</v>
      </c>
      <c r="K30" s="222">
        <f>ROUND(data!AE65,0)</f>
        <v>417</v>
      </c>
      <c r="L30" s="222">
        <f>ROUND(data!AE66,0)</f>
        <v>985801</v>
      </c>
      <c r="M30" s="66">
        <f>ROUND(data!AE67,0)</f>
        <v>143879</v>
      </c>
      <c r="N30" s="222">
        <f>ROUND(data!AE68,0)</f>
        <v>0</v>
      </c>
      <c r="O30" s="222">
        <f>ROUND(data!AE69,0)</f>
        <v>2348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2348</v>
      </c>
      <c r="AD30" s="222">
        <f>ROUND(data!AE84,0)</f>
        <v>0</v>
      </c>
      <c r="AE30" s="222">
        <f>ROUND(data!AE89,0)</f>
        <v>3841741</v>
      </c>
      <c r="AF30" s="222">
        <f>ROUND(data!AE87,0)</f>
        <v>253936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1600</v>
      </c>
      <c r="AJ30" s="222">
        <f>IF(data!AE93&gt;0,ROUND(data!AE93,0),0)</f>
        <v>8394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140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140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15643</v>
      </c>
      <c r="F32" s="212">
        <f>ROUND(data!AG60,2)</f>
        <v>24</v>
      </c>
      <c r="G32" s="222">
        <f>ROUND(data!AG61,0)</f>
        <v>5395489</v>
      </c>
      <c r="H32" s="222">
        <f>ROUND(data!AG62,0)</f>
        <v>1289480</v>
      </c>
      <c r="I32" s="222">
        <f>ROUND(data!AG63,0)</f>
        <v>53254</v>
      </c>
      <c r="J32" s="222">
        <f>ROUND(data!AG64,0)</f>
        <v>364285</v>
      </c>
      <c r="K32" s="222">
        <f>ROUND(data!AG65,0)</f>
        <v>0</v>
      </c>
      <c r="L32" s="222">
        <f>ROUND(data!AG66,0)</f>
        <v>116600</v>
      </c>
      <c r="M32" s="66">
        <f>ROUND(data!AG67,0)</f>
        <v>100818</v>
      </c>
      <c r="N32" s="222">
        <f>ROUND(data!AG68,0)</f>
        <v>0</v>
      </c>
      <c r="O32" s="222">
        <f>ROUND(data!AG69,0)</f>
        <v>1166899</v>
      </c>
      <c r="P32" s="222">
        <f>ROUND(data!AG70,0)</f>
        <v>0</v>
      </c>
      <c r="Q32" s="222">
        <f>ROUND(data!AG71,0)</f>
        <v>1132868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34031</v>
      </c>
      <c r="AD32" s="222">
        <f>ROUND(data!AG84,0)</f>
        <v>0</v>
      </c>
      <c r="AE32" s="222">
        <f>ROUND(data!AG89,0)</f>
        <v>24007707</v>
      </c>
      <c r="AF32" s="222">
        <f>ROUND(data!AG87,0)</f>
        <v>502508</v>
      </c>
      <c r="AG32" s="222">
        <f>IF(data!AG90&gt;0,ROUND(data!AG90,0),0)</f>
        <v>5160</v>
      </c>
      <c r="AH32" s="222">
        <f>IF(data!AG91&gt;0,ROUND(data!AG91,0),0)</f>
        <v>936</v>
      </c>
      <c r="AI32" s="222">
        <f>IF(data!AG92&gt;0,ROUND(data!AG92,0),0)</f>
        <v>8320</v>
      </c>
      <c r="AJ32" s="222">
        <f>IF(data!AG93&gt;0,ROUND(data!AG93,0),0)</f>
        <v>77294</v>
      </c>
      <c r="AK32" s="212">
        <f>IF(data!AG94&gt;0,ROUND(data!AG94,2),0)</f>
        <v>22.1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140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140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140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88913</v>
      </c>
      <c r="F35" s="212">
        <f>ROUND(data!AJ60,2)</f>
        <v>167.57</v>
      </c>
      <c r="G35" s="222">
        <f>ROUND(data!AJ61,0)</f>
        <v>18439029</v>
      </c>
      <c r="H35" s="222">
        <f>ROUND(data!AJ62,0)</f>
        <v>4406785</v>
      </c>
      <c r="I35" s="222">
        <f>ROUND(data!AJ63,0)</f>
        <v>2396406</v>
      </c>
      <c r="J35" s="222">
        <f>ROUND(data!AJ64,0)</f>
        <v>1734431</v>
      </c>
      <c r="K35" s="222">
        <f>ROUND(data!AJ65,0)</f>
        <v>221054</v>
      </c>
      <c r="L35" s="222">
        <f>ROUND(data!AJ66,0)</f>
        <v>1273101</v>
      </c>
      <c r="M35" s="66">
        <f>ROUND(data!AJ67,0)</f>
        <v>1118210</v>
      </c>
      <c r="N35" s="222">
        <f>ROUND(data!AJ68,0)</f>
        <v>0</v>
      </c>
      <c r="O35" s="222">
        <f>ROUND(data!AJ69,0)</f>
        <v>1247503</v>
      </c>
      <c r="P35" s="222">
        <f>ROUND(data!AJ70,0)</f>
        <v>0</v>
      </c>
      <c r="Q35" s="222">
        <f>ROUND(data!AJ71,0)</f>
        <v>1070537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176966</v>
      </c>
      <c r="AD35" s="222">
        <f>ROUND(data!AJ84,0)</f>
        <v>0</v>
      </c>
      <c r="AE35" s="222">
        <f>ROUND(data!AJ89,0)</f>
        <v>33363996</v>
      </c>
      <c r="AF35" s="222">
        <f>ROUND(data!AJ87,0)</f>
        <v>0</v>
      </c>
      <c r="AG35" s="222">
        <f>IF(data!AJ90&gt;0,ROUND(data!AJ90,0),0)</f>
        <v>41797</v>
      </c>
      <c r="AH35" s="222">
        <f>IF(data!AJ91&gt;0,ROUND(data!AJ91,0),0)</f>
        <v>0</v>
      </c>
      <c r="AI35" s="222">
        <f>IF(data!AJ92&gt;0,ROUND(data!AJ92,0),0)</f>
        <v>9495</v>
      </c>
      <c r="AJ35" s="222">
        <f>IF(data!AJ93&gt;0,ROUND(data!AJ93,0),0)</f>
        <v>22835</v>
      </c>
      <c r="AK35" s="212">
        <f>IF(data!AJ94&gt;0,ROUND(data!AJ94,2),0)</f>
        <v>13.28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140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2587</v>
      </c>
      <c r="F36" s="212">
        <f>ROUND(data!AK60,2)</f>
        <v>0</v>
      </c>
      <c r="G36" s="222">
        <f>ROUND(data!AK61,0)</f>
        <v>160</v>
      </c>
      <c r="H36" s="222">
        <f>ROUND(data!AK62,0)</f>
        <v>38</v>
      </c>
      <c r="I36" s="222">
        <f>ROUND(data!AK63,0)</f>
        <v>0</v>
      </c>
      <c r="J36" s="222">
        <f>ROUND(data!AK64,0)</f>
        <v>6582</v>
      </c>
      <c r="K36" s="222">
        <f>ROUND(data!AK65,0)</f>
        <v>0</v>
      </c>
      <c r="L36" s="222">
        <f>ROUND(data!AK66,0)</f>
        <v>238841</v>
      </c>
      <c r="M36" s="66">
        <f>ROUND(data!AK67,0)</f>
        <v>42034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727899</v>
      </c>
      <c r="AF36" s="222">
        <f>ROUND(data!AK87,0)</f>
        <v>95105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300</v>
      </c>
      <c r="AJ36" s="222">
        <f>IF(data!AK93&gt;0,ROUND(data!AK93,0),0)</f>
        <v>3358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140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2046</v>
      </c>
      <c r="F37" s="212">
        <f>ROUND(data!AL60,2)</f>
        <v>0</v>
      </c>
      <c r="G37" s="222">
        <f>ROUND(data!AL61,0)</f>
        <v>-488</v>
      </c>
      <c r="H37" s="222">
        <f>ROUND(data!AL62,0)</f>
        <v>-117</v>
      </c>
      <c r="I37" s="222">
        <f>ROUND(data!AL63,0)</f>
        <v>10300</v>
      </c>
      <c r="J37" s="222">
        <f>ROUND(data!AL64,0)</f>
        <v>4857</v>
      </c>
      <c r="K37" s="222">
        <f>ROUND(data!AL65,0)</f>
        <v>0</v>
      </c>
      <c r="L37" s="222">
        <f>ROUND(data!AL66,0)</f>
        <v>197291</v>
      </c>
      <c r="M37" s="66">
        <f>ROUND(data!AL67,0)</f>
        <v>11775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580491</v>
      </c>
      <c r="AF37" s="222">
        <f>ROUND(data!AL87,0)</f>
        <v>44870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180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140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140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140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140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140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140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14761</v>
      </c>
      <c r="F43" s="212">
        <f>ROUND(data!AR60,2)</f>
        <v>17.329999999999998</v>
      </c>
      <c r="G43" s="222">
        <f>ROUND(data!AR61,0)</f>
        <v>1410163</v>
      </c>
      <c r="H43" s="222">
        <f>ROUND(data!AR62,0)</f>
        <v>337018</v>
      </c>
      <c r="I43" s="222">
        <f>ROUND(data!AR63,0)</f>
        <v>2088</v>
      </c>
      <c r="J43" s="222">
        <f>ROUND(data!AR64,0)</f>
        <v>110404</v>
      </c>
      <c r="K43" s="222">
        <f>ROUND(data!AR65,0)</f>
        <v>0</v>
      </c>
      <c r="L43" s="222">
        <f>ROUND(data!AR66,0)</f>
        <v>292160</v>
      </c>
      <c r="M43" s="66">
        <f>ROUND(data!AR67,0)</f>
        <v>39988</v>
      </c>
      <c r="N43" s="222">
        <f>ROUND(data!AR68,0)</f>
        <v>0</v>
      </c>
      <c r="O43" s="222">
        <f>ROUND(data!AR69,0)</f>
        <v>890588</v>
      </c>
      <c r="P43" s="222">
        <f>ROUND(data!AR70,0)</f>
        <v>0</v>
      </c>
      <c r="Q43" s="222">
        <f>ROUND(data!AR71,0)</f>
        <v>813738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76850</v>
      </c>
      <c r="AD43" s="222">
        <f>ROUND(data!AR84,0)</f>
        <v>0</v>
      </c>
      <c r="AE43" s="222">
        <f>ROUND(data!AR89,0)</f>
        <v>3114210</v>
      </c>
      <c r="AF43" s="222">
        <f>ROUND(data!AR87,0)</f>
        <v>0</v>
      </c>
      <c r="AG43" s="222">
        <f>IF(data!AR90&gt;0,ROUND(data!AR90,0),0)</f>
        <v>1394</v>
      </c>
      <c r="AH43" s="222">
        <f>IF(data!AR91&gt;0,ROUND(data!AR91,0),0)</f>
        <v>0</v>
      </c>
      <c r="AI43" s="222">
        <f>IF(data!AR92&gt;0,ROUND(data!AR92,0),0)</f>
        <v>624</v>
      </c>
      <c r="AJ43" s="222">
        <f>IF(data!AR93&gt;0,ROUND(data!AR93,0),0)</f>
        <v>671</v>
      </c>
      <c r="AK43" s="212">
        <f>IF(data!AR94&gt;0,ROUND(data!AR94,2),0)</f>
        <v>6.49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140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140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140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140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140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140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140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15871</v>
      </c>
      <c r="F50" s="212">
        <f>ROUND(data!AY60,2)</f>
        <v>4.22</v>
      </c>
      <c r="G50" s="222">
        <f>ROUND(data!AY61,0)</f>
        <v>226827</v>
      </c>
      <c r="H50" s="222">
        <f>ROUND(data!AY62,0)</f>
        <v>54210</v>
      </c>
      <c r="I50" s="222">
        <f>ROUND(data!AY63,0)</f>
        <v>0</v>
      </c>
      <c r="J50" s="222">
        <f>ROUND(data!AY64,0)</f>
        <v>89721</v>
      </c>
      <c r="K50" s="222">
        <f>ROUND(data!AY65,0)</f>
        <v>0</v>
      </c>
      <c r="L50" s="222">
        <f>ROUND(data!AY66,0)</f>
        <v>10866</v>
      </c>
      <c r="M50" s="66">
        <f>ROUND(data!AY67,0)</f>
        <v>44279</v>
      </c>
      <c r="N50" s="222">
        <f>ROUND(data!AY68,0)</f>
        <v>0</v>
      </c>
      <c r="O50" s="222">
        <f>ROUND(data!AY69,0)</f>
        <v>4474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4474</v>
      </c>
      <c r="AD50" s="222">
        <f>ROUND(data!AY84,0)</f>
        <v>0</v>
      </c>
      <c r="AE50" s="222"/>
      <c r="AF50" s="222"/>
      <c r="AG50" s="222">
        <f>IF(data!AY90&gt;0,ROUND(data!AY90,0),0)</f>
        <v>2628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140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38735</v>
      </c>
      <c r="F51" s="212">
        <f>ROUND(data!AZ60,2)</f>
        <v>8.85</v>
      </c>
      <c r="G51" s="222">
        <f>ROUND(data!AZ61,0)</f>
        <v>553595</v>
      </c>
      <c r="H51" s="222">
        <f>ROUND(data!AZ62,0)</f>
        <v>132305</v>
      </c>
      <c r="I51" s="222">
        <f>ROUND(data!AZ63,0)</f>
        <v>0</v>
      </c>
      <c r="J51" s="222">
        <f>ROUND(data!AZ64,0)</f>
        <v>251303</v>
      </c>
      <c r="K51" s="222">
        <f>ROUND(data!AZ65,0)</f>
        <v>0</v>
      </c>
      <c r="L51" s="222">
        <f>ROUND(data!AZ66,0)</f>
        <v>0</v>
      </c>
      <c r="M51" s="66">
        <f>ROUND(data!AZ67,0)</f>
        <v>25873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1930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140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3.21</v>
      </c>
      <c r="G52" s="222">
        <f>ROUND(data!BA61,0)</f>
        <v>187345</v>
      </c>
      <c r="H52" s="222">
        <f>ROUND(data!BA62,0)</f>
        <v>44774</v>
      </c>
      <c r="I52" s="222">
        <f>ROUND(data!BA63,0)</f>
        <v>0</v>
      </c>
      <c r="J52" s="222">
        <f>ROUND(data!BA64,0)</f>
        <v>590</v>
      </c>
      <c r="K52" s="222">
        <f>ROUND(data!BA65,0)</f>
        <v>0</v>
      </c>
      <c r="L52" s="222">
        <f>ROUND(data!BA66,0)</f>
        <v>538</v>
      </c>
      <c r="M52" s="66">
        <f>ROUND(data!BA67,0)</f>
        <v>17806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855</v>
      </c>
      <c r="AH52" s="222">
        <f>IFERROR(IF(data!BA$91&gt;0,ROUND(data!BA$91,0),0),0)</f>
        <v>0</v>
      </c>
      <c r="AI52" s="222">
        <f>IFERROR(IF(data!BA$92&gt;0,ROUND(data!BA$92,0),0),0)</f>
        <v>360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140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1.52</v>
      </c>
      <c r="G53" s="222">
        <f>ROUND(data!BB61,0)</f>
        <v>112271</v>
      </c>
      <c r="H53" s="222">
        <f>ROUND(data!BB62,0)</f>
        <v>26832</v>
      </c>
      <c r="I53" s="222">
        <f>ROUND(data!BB63,0)</f>
        <v>0</v>
      </c>
      <c r="J53" s="222">
        <f>ROUND(data!BB64,0)</f>
        <v>946</v>
      </c>
      <c r="K53" s="222">
        <f>ROUND(data!BB65,0)</f>
        <v>0</v>
      </c>
      <c r="L53" s="222">
        <f>ROUND(data!BB66,0)</f>
        <v>11287</v>
      </c>
      <c r="M53" s="66">
        <f>ROUND(data!BB67,0)</f>
        <v>2896</v>
      </c>
      <c r="N53" s="222">
        <f>ROUND(data!BB68,0)</f>
        <v>0</v>
      </c>
      <c r="O53" s="222">
        <f>ROUND(data!BB69,0)</f>
        <v>813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813</v>
      </c>
      <c r="AD53" s="222">
        <f>ROUND(data!BB84,0)</f>
        <v>0</v>
      </c>
      <c r="AE53" s="222"/>
      <c r="AF53" s="222"/>
      <c r="AG53" s="222">
        <f>IF(data!BB90&gt;0,ROUND(data!BB90,0),0)</f>
        <v>216</v>
      </c>
      <c r="AH53" s="222">
        <f>IFERROR(IF(data!BB$91&gt;0,ROUND(data!BB$91,0),0),0)</f>
        <v>0</v>
      </c>
      <c r="AI53" s="222">
        <f>IFERROR(IF(data!BB$92&gt;0,ROUND(data!BB$92,0),0),0)</f>
        <v>360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140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140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5.53</v>
      </c>
      <c r="G55" s="222">
        <f>ROUND(data!BD61,0)</f>
        <v>332929</v>
      </c>
      <c r="H55" s="222">
        <f>ROUND(data!BD62,0)</f>
        <v>79567</v>
      </c>
      <c r="I55" s="222">
        <f>ROUND(data!BD63,0)</f>
        <v>0</v>
      </c>
      <c r="J55" s="222">
        <f>ROUND(data!BD64,0)</f>
        <v>-205346</v>
      </c>
      <c r="K55" s="222">
        <f>ROUND(data!BD65,0)</f>
        <v>125</v>
      </c>
      <c r="L55" s="222">
        <f>ROUND(data!BD66,0)</f>
        <v>95129</v>
      </c>
      <c r="M55" s="66">
        <f>ROUND(data!BD67,0)</f>
        <v>42041</v>
      </c>
      <c r="N55" s="222">
        <f>ROUND(data!BD68,0)</f>
        <v>0</v>
      </c>
      <c r="O55" s="222">
        <f>ROUND(data!BD69,0)</f>
        <v>972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972</v>
      </c>
      <c r="AD55" s="222">
        <f>ROUND(data!BD84,0)</f>
        <v>0</v>
      </c>
      <c r="AE55" s="222"/>
      <c r="AF55" s="222"/>
      <c r="AG55" s="222">
        <f>IF(data!BD90&gt;0,ROUND(data!BD90,0),0)</f>
        <v>3136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140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145897</v>
      </c>
      <c r="F56" s="212">
        <f>ROUND(data!BE60,2)</f>
        <v>7.97</v>
      </c>
      <c r="G56" s="222">
        <f>ROUND(data!BE61,0)</f>
        <v>631967</v>
      </c>
      <c r="H56" s="222">
        <f>ROUND(data!BE62,0)</f>
        <v>151035</v>
      </c>
      <c r="I56" s="222">
        <f>ROUND(data!BE63,0)</f>
        <v>0</v>
      </c>
      <c r="J56" s="222">
        <f>ROUND(data!BE64,0)</f>
        <v>85961</v>
      </c>
      <c r="K56" s="222">
        <f>ROUND(data!BE65,0)</f>
        <v>853653</v>
      </c>
      <c r="L56" s="222">
        <f>ROUND(data!BE66,0)</f>
        <v>1819267</v>
      </c>
      <c r="M56" s="66">
        <f>ROUND(data!BE67,0)</f>
        <v>139632</v>
      </c>
      <c r="N56" s="222">
        <f>ROUND(data!BE68,0)</f>
        <v>0</v>
      </c>
      <c r="O56" s="222">
        <f>ROUND(data!BE69,0)</f>
        <v>12797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12797</v>
      </c>
      <c r="AD56" s="222">
        <f>ROUND(data!BE84,0)</f>
        <v>0</v>
      </c>
      <c r="AE56" s="222"/>
      <c r="AF56" s="222"/>
      <c r="AG56" s="222">
        <f>IF(data!BE90&gt;0,ROUND(data!BE90,0),0)</f>
        <v>5182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140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24.07</v>
      </c>
      <c r="G57" s="222">
        <f>ROUND(data!BF61,0)</f>
        <v>1152514</v>
      </c>
      <c r="H57" s="222">
        <f>ROUND(data!BF62,0)</f>
        <v>275442</v>
      </c>
      <c r="I57" s="222">
        <f>ROUND(data!BF63,0)</f>
        <v>0</v>
      </c>
      <c r="J57" s="222">
        <f>ROUND(data!BF64,0)</f>
        <v>286584</v>
      </c>
      <c r="K57" s="222">
        <f>ROUND(data!BF65,0)</f>
        <v>0</v>
      </c>
      <c r="L57" s="222">
        <f>ROUND(data!BF66,0)</f>
        <v>130908</v>
      </c>
      <c r="M57" s="66">
        <f>ROUND(data!BF67,0)</f>
        <v>7193</v>
      </c>
      <c r="N57" s="222">
        <f>ROUND(data!BF68,0)</f>
        <v>0</v>
      </c>
      <c r="O57" s="222">
        <f>ROUND(data!BF69,0)</f>
        <v>32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32</v>
      </c>
      <c r="AD57" s="222">
        <f>ROUND(data!BF84,0)</f>
        <v>0</v>
      </c>
      <c r="AE57" s="222"/>
      <c r="AF57" s="222"/>
      <c r="AG57" s="222">
        <f>IF(data!BF90&gt;0,ROUND(data!BF90,0),0)</f>
        <v>343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140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140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17.649999999999999</v>
      </c>
      <c r="G59" s="222">
        <f>ROUND(data!BH61,0)</f>
        <v>1734318</v>
      </c>
      <c r="H59" s="222">
        <f>ROUND(data!BH62,0)</f>
        <v>414489</v>
      </c>
      <c r="I59" s="222">
        <f>ROUND(data!BH63,0)</f>
        <v>0</v>
      </c>
      <c r="J59" s="222">
        <f>ROUND(data!BH64,0)</f>
        <v>407888</v>
      </c>
      <c r="K59" s="222">
        <f>ROUND(data!BH65,0)</f>
        <v>115665</v>
      </c>
      <c r="L59" s="222">
        <f>ROUND(data!BH66,0)</f>
        <v>2652587</v>
      </c>
      <c r="M59" s="66">
        <f>ROUND(data!BH67,0)</f>
        <v>1036683</v>
      </c>
      <c r="N59" s="222">
        <f>ROUND(data!BH68,0)</f>
        <v>0</v>
      </c>
      <c r="O59" s="222">
        <f>ROUND(data!BH69,0)</f>
        <v>9276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9276</v>
      </c>
      <c r="AD59" s="222">
        <f>ROUND(data!BH84,0)</f>
        <v>0</v>
      </c>
      <c r="AE59" s="222"/>
      <c r="AF59" s="222"/>
      <c r="AG59" s="222">
        <f>IF(data!BH90&gt;0,ROUND(data!BH90,0),0)</f>
        <v>3456</v>
      </c>
      <c r="AH59" s="222">
        <f>IFERROR(IF(data!BH$91&gt;0,ROUND(data!BH$91,0),0),0)</f>
        <v>0</v>
      </c>
      <c r="AI59" s="222">
        <f>IFERROR(IF(data!BH$92&gt;0,ROUND(data!BH$92,0),0),0)</f>
        <v>1000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140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140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6.98</v>
      </c>
      <c r="G61" s="222">
        <f>ROUND(data!BJ61,0)</f>
        <v>605035</v>
      </c>
      <c r="H61" s="222">
        <f>ROUND(data!BJ62,0)</f>
        <v>144599</v>
      </c>
      <c r="I61" s="222">
        <f>ROUND(data!BJ63,0)</f>
        <v>102245</v>
      </c>
      <c r="J61" s="222">
        <f>ROUND(data!BJ64,0)</f>
        <v>8804</v>
      </c>
      <c r="K61" s="222">
        <f>ROUND(data!BJ65,0)</f>
        <v>0</v>
      </c>
      <c r="L61" s="222">
        <f>ROUND(data!BJ66,0)</f>
        <v>395207</v>
      </c>
      <c r="M61" s="66">
        <f>ROUND(data!BJ67,0)</f>
        <v>9642</v>
      </c>
      <c r="N61" s="222">
        <f>ROUND(data!BJ68,0)</f>
        <v>0</v>
      </c>
      <c r="O61" s="222">
        <f>ROUND(data!BJ69,0)</f>
        <v>45128</v>
      </c>
      <c r="P61" s="222">
        <f>ROUND(data!BJ70,0)</f>
        <v>0</v>
      </c>
      <c r="Q61" s="222">
        <f>ROUND(data!BJ71,0)</f>
        <v>43906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1222</v>
      </c>
      <c r="AD61" s="222">
        <f>ROUND(data!BJ84,0)</f>
        <v>0</v>
      </c>
      <c r="AE61" s="222"/>
      <c r="AF61" s="222"/>
      <c r="AG61" s="222">
        <f>IF(data!BJ90&gt;0,ROUND(data!BJ90,0),0)</f>
        <v>664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140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21.05</v>
      </c>
      <c r="G62" s="222">
        <f>ROUND(data!BK61,0)</f>
        <v>1201432</v>
      </c>
      <c r="H62" s="222">
        <f>ROUND(data!BK62,0)</f>
        <v>287133</v>
      </c>
      <c r="I62" s="222">
        <f>ROUND(data!BK63,0)</f>
        <v>15600</v>
      </c>
      <c r="J62" s="222">
        <f>ROUND(data!BK64,0)</f>
        <v>3760</v>
      </c>
      <c r="K62" s="222">
        <f>ROUND(data!BK65,0)</f>
        <v>0</v>
      </c>
      <c r="L62" s="222">
        <f>ROUND(data!BK66,0)</f>
        <v>708444</v>
      </c>
      <c r="M62" s="66">
        <f>ROUND(data!BK67,0)</f>
        <v>109797</v>
      </c>
      <c r="N62" s="222">
        <f>ROUND(data!BK68,0)</f>
        <v>0</v>
      </c>
      <c r="O62" s="222">
        <f>ROUND(data!BK69,0)</f>
        <v>100207</v>
      </c>
      <c r="P62" s="222">
        <f>ROUND(data!BK70,0)</f>
        <v>0</v>
      </c>
      <c r="Q62" s="222">
        <f>ROUND(data!BK71,0)</f>
        <v>96989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3218</v>
      </c>
      <c r="AD62" s="222">
        <f>ROUND(data!BK84,0)</f>
        <v>0</v>
      </c>
      <c r="AE62" s="222"/>
      <c r="AF62" s="222"/>
      <c r="AG62" s="222">
        <f>IF(data!BK90&gt;0,ROUND(data!BK90,0),0)</f>
        <v>7998</v>
      </c>
      <c r="AH62" s="222">
        <f>IFERROR(IF(data!BK$91&gt;0,ROUND(data!BK$91,0),0),0)</f>
        <v>0</v>
      </c>
      <c r="AI62" s="222">
        <f>IFERROR(IF(data!BK$92&gt;0,ROUND(data!BK$92,0),0),0)</f>
        <v>1040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140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17.21</v>
      </c>
      <c r="G63" s="222">
        <f>ROUND(data!BL61,0)</f>
        <v>817375</v>
      </c>
      <c r="H63" s="222">
        <f>ROUND(data!BL62,0)</f>
        <v>195346</v>
      </c>
      <c r="I63" s="222">
        <f>ROUND(data!BL63,0)</f>
        <v>0</v>
      </c>
      <c r="J63" s="222">
        <f>ROUND(data!BL64,0)</f>
        <v>23000</v>
      </c>
      <c r="K63" s="222">
        <f>ROUND(data!BL65,0)</f>
        <v>0</v>
      </c>
      <c r="L63" s="222">
        <f>ROUND(data!BL66,0)</f>
        <v>62458</v>
      </c>
      <c r="M63" s="66">
        <f>ROUND(data!BL67,0)</f>
        <v>5644</v>
      </c>
      <c r="N63" s="222">
        <f>ROUND(data!BL68,0)</f>
        <v>0</v>
      </c>
      <c r="O63" s="222">
        <f>ROUND(data!BL69,0)</f>
        <v>1956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1956</v>
      </c>
      <c r="AD63" s="222">
        <f>ROUND(data!BL84,0)</f>
        <v>0</v>
      </c>
      <c r="AE63" s="222"/>
      <c r="AF63" s="222"/>
      <c r="AG63" s="222">
        <f>IF(data!BL90&gt;0,ROUND(data!BL90,0),0)</f>
        <v>421</v>
      </c>
      <c r="AH63" s="222">
        <f>IFERROR(IF(data!BL$91&gt;0,ROUND(data!BL$91,0),0),0)</f>
        <v>0</v>
      </c>
      <c r="AI63" s="222">
        <f>IFERROR(IF(data!BL$92&gt;0,ROUND(data!BL$92,0),0),0)</f>
        <v>360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140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140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7.25</v>
      </c>
      <c r="G65" s="222">
        <f>ROUND(data!BN61,0)</f>
        <v>1188870</v>
      </c>
      <c r="H65" s="222">
        <f>ROUND(data!BN62,0)</f>
        <v>284131</v>
      </c>
      <c r="I65" s="222">
        <f>ROUND(data!BN63,0)</f>
        <v>158657</v>
      </c>
      <c r="J65" s="222">
        <f>ROUND(data!BN64,0)</f>
        <v>34601</v>
      </c>
      <c r="K65" s="222">
        <f>ROUND(data!BN65,0)</f>
        <v>0</v>
      </c>
      <c r="L65" s="222">
        <f>ROUND(data!BN66,0)</f>
        <v>48007</v>
      </c>
      <c r="M65" s="66">
        <f>ROUND(data!BN67,0)</f>
        <v>325089</v>
      </c>
      <c r="N65" s="222">
        <f>ROUND(data!BN68,0)</f>
        <v>0</v>
      </c>
      <c r="O65" s="222">
        <f>ROUND(data!BN69,0)</f>
        <v>208149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208149</v>
      </c>
      <c r="AD65" s="222">
        <f>ROUND(data!BN84,0)</f>
        <v>0</v>
      </c>
      <c r="AE65" s="222"/>
      <c r="AF65" s="222"/>
      <c r="AG65" s="222">
        <f>IF(data!BN90&gt;0,ROUND(data!BN90,0),0)</f>
        <v>20248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140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2.85</v>
      </c>
      <c r="G66" s="222">
        <f>ROUND(data!BO61,0)</f>
        <v>246444</v>
      </c>
      <c r="H66" s="222">
        <f>ROUND(data!BO62,0)</f>
        <v>58898</v>
      </c>
      <c r="I66" s="222">
        <f>ROUND(data!BO63,0)</f>
        <v>0</v>
      </c>
      <c r="J66" s="222">
        <f>ROUND(data!BO64,0)</f>
        <v>9241</v>
      </c>
      <c r="K66" s="222">
        <f>ROUND(data!BO65,0)</f>
        <v>2531</v>
      </c>
      <c r="L66" s="222">
        <f>ROUND(data!BO66,0)</f>
        <v>66168</v>
      </c>
      <c r="M66" s="66">
        <f>ROUND(data!BO67,0)</f>
        <v>43900</v>
      </c>
      <c r="N66" s="222">
        <f>ROUND(data!BO68,0)</f>
        <v>0</v>
      </c>
      <c r="O66" s="222">
        <f>ROUND(data!BO69,0)</f>
        <v>84652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84652</v>
      </c>
      <c r="AD66" s="222">
        <f>ROUND(data!BO84,0)</f>
        <v>0</v>
      </c>
      <c r="AE66" s="222"/>
      <c r="AF66" s="222"/>
      <c r="AG66" s="222">
        <f>IF(data!BO90&gt;0,ROUND(data!BO90,0),0)</f>
        <v>360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140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3.89</v>
      </c>
      <c r="G67" s="222">
        <f>ROUND(data!BP61,0)</f>
        <v>389523</v>
      </c>
      <c r="H67" s="222">
        <f>ROUND(data!BP62,0)</f>
        <v>93093</v>
      </c>
      <c r="I67" s="222">
        <f>ROUND(data!BP63,0)</f>
        <v>0</v>
      </c>
      <c r="J67" s="222">
        <f>ROUND(data!BP64,0)</f>
        <v>7649</v>
      </c>
      <c r="K67" s="222">
        <f>ROUND(data!BP65,0)</f>
        <v>0</v>
      </c>
      <c r="L67" s="222">
        <f>ROUND(data!BP66,0)</f>
        <v>21163</v>
      </c>
      <c r="M67" s="66">
        <f>ROUND(data!BP67,0)</f>
        <v>5215</v>
      </c>
      <c r="N67" s="222">
        <f>ROUND(data!BP68,0)</f>
        <v>0</v>
      </c>
      <c r="O67" s="222">
        <f>ROUND(data!BP69,0)</f>
        <v>250483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250483</v>
      </c>
      <c r="AD67" s="222">
        <f>ROUND(data!BP84,0)</f>
        <v>0</v>
      </c>
      <c r="AE67" s="222"/>
      <c r="AF67" s="222"/>
      <c r="AG67" s="222">
        <f>IF(data!BP90&gt;0,ROUND(data!BP90,0),0)</f>
        <v>389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140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140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8.1999999999999993</v>
      </c>
      <c r="G69" s="222">
        <f>ROUND(data!BR61,0)</f>
        <v>689292</v>
      </c>
      <c r="H69" s="222">
        <f>ROUND(data!BR62,0)</f>
        <v>164735</v>
      </c>
      <c r="I69" s="222">
        <f>ROUND(data!BR63,0)</f>
        <v>22424</v>
      </c>
      <c r="J69" s="222">
        <f>ROUND(data!BR64,0)</f>
        <v>13986</v>
      </c>
      <c r="K69" s="222">
        <f>ROUND(data!BR65,0)</f>
        <v>0</v>
      </c>
      <c r="L69" s="222">
        <f>ROUND(data!BR66,0)</f>
        <v>177365</v>
      </c>
      <c r="M69" s="66">
        <f>ROUND(data!BR67,0)</f>
        <v>16358</v>
      </c>
      <c r="N69" s="222">
        <f>ROUND(data!BR68,0)</f>
        <v>0</v>
      </c>
      <c r="O69" s="222">
        <f>ROUND(data!BR69,0)</f>
        <v>36024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36024</v>
      </c>
      <c r="AD69" s="222">
        <f>ROUND(data!BR84,0)</f>
        <v>0</v>
      </c>
      <c r="AE69" s="222"/>
      <c r="AF69" s="222"/>
      <c r="AG69" s="222">
        <f>IF(data!BR90&gt;0,ROUND(data!BR90,0),0)</f>
        <v>1023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140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140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140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140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23.05</v>
      </c>
      <c r="G73" s="222">
        <f>ROUND(data!BV61,0)</f>
        <v>1481909</v>
      </c>
      <c r="H73" s="222">
        <f>ROUND(data!BV62,0)</f>
        <v>354165</v>
      </c>
      <c r="I73" s="222">
        <f>ROUND(data!BV63,0)</f>
        <v>0</v>
      </c>
      <c r="J73" s="222">
        <f>ROUND(data!BV64,0)</f>
        <v>9098</v>
      </c>
      <c r="K73" s="222">
        <f>ROUND(data!BV65,0)</f>
        <v>0</v>
      </c>
      <c r="L73" s="222">
        <f>ROUND(data!BV66,0)</f>
        <v>433284</v>
      </c>
      <c r="M73" s="66">
        <f>ROUND(data!BV67,0)</f>
        <v>26089</v>
      </c>
      <c r="N73" s="222">
        <f>ROUND(data!BV68,0)</f>
        <v>0</v>
      </c>
      <c r="O73" s="222">
        <f>ROUND(data!BV69,0)</f>
        <v>4376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4376</v>
      </c>
      <c r="AD73" s="222">
        <f>ROUND(data!BV84,0)</f>
        <v>0</v>
      </c>
      <c r="AE73" s="222"/>
      <c r="AF73" s="222"/>
      <c r="AG73" s="222">
        <f>IF(data!BV90&gt;0,ROUND(data!BV90,0),0)</f>
        <v>1783</v>
      </c>
      <c r="AH73" s="222">
        <f>IF(data!BV91&gt;0,ROUND(data!BV91,0),0)</f>
        <v>0</v>
      </c>
      <c r="AI73" s="222">
        <f>IF(data!BV92&gt;0,ROUND(data!BV92,0),0)</f>
        <v>600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140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4.03</v>
      </c>
      <c r="G74" s="222">
        <f>ROUND(data!BW61,0)</f>
        <v>863881</v>
      </c>
      <c r="H74" s="222">
        <f>ROUND(data!BW62,0)</f>
        <v>206461</v>
      </c>
      <c r="I74" s="222">
        <f>ROUND(data!BW63,0)</f>
        <v>0</v>
      </c>
      <c r="J74" s="222">
        <f>ROUND(data!BW64,0)</f>
        <v>2487</v>
      </c>
      <c r="K74" s="222">
        <f>ROUND(data!BW65,0)</f>
        <v>0</v>
      </c>
      <c r="L74" s="222">
        <f>ROUND(data!BW66,0)</f>
        <v>30778</v>
      </c>
      <c r="M74" s="66">
        <f>ROUND(data!BW67,0)</f>
        <v>1126</v>
      </c>
      <c r="N74" s="222">
        <f>ROUND(data!BW68,0)</f>
        <v>0</v>
      </c>
      <c r="O74" s="222">
        <f>ROUND(data!BW69,0)</f>
        <v>232699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224658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8041</v>
      </c>
      <c r="AD74" s="222">
        <f>ROUND(data!BW84,0)</f>
        <v>0</v>
      </c>
      <c r="AE74" s="222"/>
      <c r="AF74" s="222"/>
      <c r="AG74" s="222">
        <f>IF(data!BW90&gt;0,ROUND(data!BW90,0),0)</f>
        <v>84</v>
      </c>
      <c r="AH74" s="222">
        <f>IF(data!BW91&gt;0,ROUND(data!BW91,0),0)</f>
        <v>0</v>
      </c>
      <c r="AI74" s="222">
        <f>IF(data!BW92&gt;0,ROUND(data!BW92,0),0)</f>
        <v>100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140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7.52</v>
      </c>
      <c r="G75" s="222">
        <f>ROUND(data!BX61,0)</f>
        <v>888350</v>
      </c>
      <c r="H75" s="222">
        <f>ROUND(data!BX62,0)</f>
        <v>212309</v>
      </c>
      <c r="I75" s="222">
        <f>ROUND(data!BX63,0)</f>
        <v>0</v>
      </c>
      <c r="J75" s="222">
        <f>ROUND(data!BX64,0)</f>
        <v>19524</v>
      </c>
      <c r="K75" s="222">
        <f>ROUND(data!BX65,0)</f>
        <v>0</v>
      </c>
      <c r="L75" s="222">
        <f>ROUND(data!BX66,0)</f>
        <v>181226</v>
      </c>
      <c r="M75" s="66">
        <f>ROUND(data!BX67,0)</f>
        <v>12646</v>
      </c>
      <c r="N75" s="222">
        <f>ROUND(data!BX68,0)</f>
        <v>0</v>
      </c>
      <c r="O75" s="222">
        <f>ROUND(data!BX69,0)</f>
        <v>11320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11320</v>
      </c>
      <c r="AD75" s="222">
        <f>ROUND(data!BX84,0)</f>
        <v>0</v>
      </c>
      <c r="AE75" s="222"/>
      <c r="AF75" s="222"/>
      <c r="AG75" s="222">
        <f>IF(data!BX90&gt;0,ROUND(data!BX90,0),0)</f>
        <v>600</v>
      </c>
      <c r="AH75" s="222">
        <f>IF(data!BX91&gt;0,ROUND(data!BX91,0),0)</f>
        <v>0</v>
      </c>
      <c r="AI75" s="222">
        <f>IF(data!BX92&gt;0,ROUND(data!BX92,0),0)</f>
        <v>100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140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14.2</v>
      </c>
      <c r="G76" s="222">
        <f>ROUND(data!BY61,0)</f>
        <v>1656920</v>
      </c>
      <c r="H76" s="222">
        <f>ROUND(data!BY62,0)</f>
        <v>395991</v>
      </c>
      <c r="I76" s="222">
        <f>ROUND(data!BY63,0)</f>
        <v>0</v>
      </c>
      <c r="J76" s="222">
        <f>ROUND(data!BY64,0)</f>
        <v>13075</v>
      </c>
      <c r="K76" s="222">
        <f>ROUND(data!BY65,0)</f>
        <v>0</v>
      </c>
      <c r="L76" s="222">
        <f>ROUND(data!BY66,0)</f>
        <v>624588</v>
      </c>
      <c r="M76" s="66">
        <f>ROUND(data!BY67,0)</f>
        <v>6409</v>
      </c>
      <c r="N76" s="222">
        <f>ROUND(data!BY68,0)</f>
        <v>0</v>
      </c>
      <c r="O76" s="222">
        <f>ROUND(data!BY69,0)</f>
        <v>25420</v>
      </c>
      <c r="P76" s="222">
        <f>ROUND(data!BY70,0)</f>
        <v>0</v>
      </c>
      <c r="Q76" s="222">
        <f>ROUND(data!BY71,0)</f>
        <v>20814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4606</v>
      </c>
      <c r="AD76" s="222">
        <f>ROUND(data!BY84,0)</f>
        <v>0</v>
      </c>
      <c r="AE76" s="222"/>
      <c r="AF76" s="222"/>
      <c r="AG76" s="222">
        <f>IF(data!BY90&gt;0,ROUND(data!BY90,0),0)</f>
        <v>474</v>
      </c>
      <c r="AH76" s="222">
        <f>IF(data!BY91&gt;0,ROUND(data!BY91,0),0)</f>
        <v>0</v>
      </c>
      <c r="AI76" s="222">
        <f>IF(data!BY92&gt;0,ROUND(data!BY92,0),0)</f>
        <v>458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140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140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140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140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E21" sqref="E21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Kittitas Valley Healthcare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H-140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603 South Chestnut Street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+data!C99</f>
        <v>603 South Chestnut Street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Ellensburg, WA 98926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zoomScaleNormal="100" workbookViewId="0">
      <selection activeCell="E48" sqref="E48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140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3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4">
        <f>'Prior Year'!C86</f>
        <v>2381246</v>
      </c>
      <c r="C15" s="274">
        <f>data!C85</f>
        <v>2506220</v>
      </c>
      <c r="D15" s="274">
        <f>'Prior Year'!C60</f>
        <v>857</v>
      </c>
      <c r="E15" s="1">
        <f>data!C59</f>
        <v>567</v>
      </c>
      <c r="F15" s="238">
        <f t="shared" ref="F15:F59" si="0">IF(B15=0,"",IF(D15=0,"",B15/D15))</f>
        <v>2778.5834305717622</v>
      </c>
      <c r="G15" s="238">
        <f t="shared" ref="G15:G29" si="1">IF(C15=0,"",IF(E15=0,"",C15/E15))</f>
        <v>4420.1410934744272</v>
      </c>
      <c r="H15" s="6">
        <f t="shared" ref="H15:H59" si="2">IF(B15=0,"",IF(C15=0,"",IF(D15=0,"",IF(E15=0,"",IF(G15/F15-1&lt;-0.25,G15/F15-1,IF(G15/F15-1&gt;0.25,G15/F15-1,""))))))</f>
        <v>0.590789409035263</v>
      </c>
      <c r="I15" s="274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4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4">
        <f>'Prior Year'!E86</f>
        <v>2871345</v>
      </c>
      <c r="C17" s="274">
        <f>data!E85</f>
        <v>3509713</v>
      </c>
      <c r="D17" s="274">
        <f>'Prior Year'!E60</f>
        <v>2325</v>
      </c>
      <c r="E17" s="1">
        <f>data!E59</f>
        <v>3229</v>
      </c>
      <c r="F17" s="238">
        <f t="shared" si="0"/>
        <v>1234.9870967741936</v>
      </c>
      <c r="G17" s="238">
        <f t="shared" si="1"/>
        <v>1086.9349643852586</v>
      </c>
      <c r="H17" s="6" t="str">
        <f t="shared" si="2"/>
        <v/>
      </c>
      <c r="I17" s="274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4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4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4">
        <f>'Prior Year'!J86</f>
        <v>255668</v>
      </c>
      <c r="C22" s="274">
        <f>data!J85</f>
        <v>186801</v>
      </c>
      <c r="D22" s="274">
        <f>'Prior Year'!J60</f>
        <v>444</v>
      </c>
      <c r="E22" s="1">
        <f>data!J59</f>
        <v>526</v>
      </c>
      <c r="F22" s="238">
        <f t="shared" si="0"/>
        <v>575.82882882882882</v>
      </c>
      <c r="G22" s="238">
        <f t="shared" si="1"/>
        <v>355.13498098859316</v>
      </c>
      <c r="H22" s="6">
        <f t="shared" si="2"/>
        <v>-0.38326293646864151</v>
      </c>
      <c r="I22" s="274" t="str">
        <f t="shared" si="3"/>
        <v/>
      </c>
      <c r="M22" s="7"/>
    </row>
    <row r="23" spans="1:13" x14ac:dyDescent="0.35">
      <c r="A23" s="1" t="s">
        <v>716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4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4">
        <f>'Prior Year'!L86</f>
        <v>0</v>
      </c>
      <c r="C24" s="274">
        <f>data!L85</f>
        <v>0</v>
      </c>
      <c r="D24" s="274">
        <f>'Prior Year'!L60</f>
        <v>74</v>
      </c>
      <c r="E24" s="1">
        <f>data!L59</f>
        <v>57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4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4">
        <f>'Prior Year'!O86</f>
        <v>1785425</v>
      </c>
      <c r="C27" s="274">
        <f>data!O85</f>
        <v>2660014</v>
      </c>
      <c r="D27" s="274">
        <f>'Prior Year'!O60</f>
        <v>280</v>
      </c>
      <c r="E27" s="1">
        <f>data!O59</f>
        <v>318</v>
      </c>
      <c r="F27" s="238">
        <f t="shared" si="0"/>
        <v>6376.5178571428569</v>
      </c>
      <c r="G27" s="238">
        <f t="shared" si="1"/>
        <v>8364.8238993710693</v>
      </c>
      <c r="H27" s="6">
        <f t="shared" si="2"/>
        <v>0.31181690175946875</v>
      </c>
      <c r="I27" s="274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4">
        <f>'Prior Year'!P86</f>
        <v>7408085</v>
      </c>
      <c r="C28" s="274">
        <f>data!P85</f>
        <v>9414480</v>
      </c>
      <c r="D28" s="274">
        <f>'Prior Year'!P60</f>
        <v>0</v>
      </c>
      <c r="E28" s="1">
        <f>data!P59</f>
        <v>142557</v>
      </c>
      <c r="F28" s="238" t="str">
        <f t="shared" si="0"/>
        <v/>
      </c>
      <c r="G28" s="238">
        <f t="shared" si="1"/>
        <v>66.040110271680803</v>
      </c>
      <c r="H28" s="6" t="str">
        <f t="shared" si="2"/>
        <v/>
      </c>
      <c r="I28" s="274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4">
        <f>'Prior Year'!Q86</f>
        <v>195513</v>
      </c>
      <c r="C29" s="274">
        <f>data!Q85</f>
        <v>169441</v>
      </c>
      <c r="D29" s="274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4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4">
        <f>'Prior Year'!R86</f>
        <v>114858</v>
      </c>
      <c r="C30" s="274">
        <f>data!R85</f>
        <v>131331</v>
      </c>
      <c r="D30" s="274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4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4">
        <f>'Prior Year'!S86</f>
        <v>551131</v>
      </c>
      <c r="C31" s="274">
        <f>data!S85</f>
        <v>611977</v>
      </c>
      <c r="D31" s="274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4" t="e">
        <f t="shared" si="3"/>
        <v>#VALUE!</v>
      </c>
      <c r="M31" s="7"/>
    </row>
    <row r="32" spans="1:13" x14ac:dyDescent="0.35">
      <c r="A32" s="1" t="s">
        <v>726</v>
      </c>
      <c r="B32" s="274">
        <f>'Prior Year'!T86</f>
        <v>0</v>
      </c>
      <c r="C32" s="274">
        <f>data!T85</f>
        <v>0</v>
      </c>
      <c r="D32" s="274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4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4">
        <f>'Prior Year'!U86</f>
        <v>7667121</v>
      </c>
      <c r="C33" s="274">
        <f>data!U85</f>
        <v>6198821</v>
      </c>
      <c r="D33" s="274">
        <f>'Prior Year'!U60</f>
        <v>288552</v>
      </c>
      <c r="E33" s="1">
        <f>data!U59</f>
        <v>277627</v>
      </c>
      <c r="F33" s="238">
        <f t="shared" si="0"/>
        <v>26.571020128087831</v>
      </c>
      <c r="G33" s="238">
        <f t="shared" ref="G33:G69" si="5">IF(C33=0,"",IF(E33=0,"",C33/E33))</f>
        <v>22.327875170642624</v>
      </c>
      <c r="H33" s="6" t="str">
        <f t="shared" si="2"/>
        <v/>
      </c>
      <c r="I33" s="274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4">
        <f>'Prior Year'!V86</f>
        <v>0</v>
      </c>
      <c r="C34" s="274">
        <f>data!V85</f>
        <v>0</v>
      </c>
      <c r="D34" s="274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4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4">
        <f>'Prior Year'!W86</f>
        <v>757151</v>
      </c>
      <c r="C35" s="274">
        <f>data!W85</f>
        <v>413120</v>
      </c>
      <c r="D35" s="274">
        <f>'Prior Year'!W60</f>
        <v>2029</v>
      </c>
      <c r="E35" s="1">
        <f>data!W59</f>
        <v>2277</v>
      </c>
      <c r="F35" s="238">
        <f t="shared" si="0"/>
        <v>373.16461310990638</v>
      </c>
      <c r="G35" s="238">
        <f t="shared" si="5"/>
        <v>181.43170838823013</v>
      </c>
      <c r="H35" s="6">
        <f t="shared" si="2"/>
        <v>-0.51380248283404639</v>
      </c>
      <c r="I35" s="274" t="str">
        <f t="shared" si="3"/>
        <v/>
      </c>
      <c r="M35" s="7"/>
    </row>
    <row r="36" spans="1:13" x14ac:dyDescent="0.35">
      <c r="A36" s="1" t="s">
        <v>730</v>
      </c>
      <c r="B36" s="274">
        <f>'Prior Year'!X86</f>
        <v>1129482</v>
      </c>
      <c r="C36" s="274">
        <f>data!X85</f>
        <v>1205468</v>
      </c>
      <c r="D36" s="274">
        <f>'Prior Year'!X60</f>
        <v>5896</v>
      </c>
      <c r="E36" s="1">
        <f>data!X59</f>
        <v>6220</v>
      </c>
      <c r="F36" s="238">
        <f t="shared" si="0"/>
        <v>191.56750339213025</v>
      </c>
      <c r="G36" s="238">
        <f t="shared" si="5"/>
        <v>193.80514469453377</v>
      </c>
      <c r="H36" s="6" t="str">
        <f t="shared" si="2"/>
        <v/>
      </c>
      <c r="I36" s="274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4">
        <f>'Prior Year'!Y86</f>
        <v>2233835</v>
      </c>
      <c r="C37" s="274">
        <f>data!Y85</f>
        <v>2979722</v>
      </c>
      <c r="D37" s="274">
        <f>'Prior Year'!Y60</f>
        <v>24091</v>
      </c>
      <c r="E37" s="1">
        <f>data!Y59</f>
        <v>26725</v>
      </c>
      <c r="F37" s="238">
        <f t="shared" si="0"/>
        <v>92.724876509899957</v>
      </c>
      <c r="G37" s="238">
        <f t="shared" si="5"/>
        <v>111.4956782039289</v>
      </c>
      <c r="H37" s="6" t="str">
        <f t="shared" si="2"/>
        <v/>
      </c>
      <c r="I37" s="274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4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4">
        <f>'Prior Year'!AA86</f>
        <v>0</v>
      </c>
      <c r="C39" s="274">
        <f>data!AA85</f>
        <v>0</v>
      </c>
      <c r="D39" s="274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4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4">
        <f>'Prior Year'!AB86</f>
        <v>5018701</v>
      </c>
      <c r="C40" s="274">
        <f>data!AB85</f>
        <v>4564327</v>
      </c>
      <c r="D40" s="274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4" t="e">
        <f t="shared" si="3"/>
        <v>#VALUE!</v>
      </c>
      <c r="M40" s="7"/>
    </row>
    <row r="41" spans="1:13" x14ac:dyDescent="0.35">
      <c r="A41" s="1" t="s">
        <v>735</v>
      </c>
      <c r="B41" s="274">
        <f>'Prior Year'!AC86</f>
        <v>931375</v>
      </c>
      <c r="C41" s="274">
        <f>data!AC85</f>
        <v>982781</v>
      </c>
      <c r="D41" s="274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4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4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4">
        <f>'Prior Year'!AE86</f>
        <v>1721753</v>
      </c>
      <c r="C43" s="274">
        <f>data!AE85</f>
        <v>1514065</v>
      </c>
      <c r="D43" s="274">
        <f>'Prior Year'!AE60</f>
        <v>15095</v>
      </c>
      <c r="E43" s="1">
        <f>data!AE59</f>
        <v>12427</v>
      </c>
      <c r="F43" s="238">
        <f t="shared" si="0"/>
        <v>114.06114607485922</v>
      </c>
      <c r="G43" s="238">
        <f t="shared" si="5"/>
        <v>121.83672648265873</v>
      </c>
      <c r="H43" s="6" t="str">
        <f t="shared" si="2"/>
        <v/>
      </c>
      <c r="I43" s="274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4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4">
        <f>'Prior Year'!AG86</f>
        <v>7055137</v>
      </c>
      <c r="C45" s="274">
        <f>data!AG85</f>
        <v>8486825</v>
      </c>
      <c r="D45" s="274">
        <f>'Prior Year'!AG60</f>
        <v>13988</v>
      </c>
      <c r="E45" s="1">
        <f>data!AG59</f>
        <v>15643</v>
      </c>
      <c r="F45" s="238">
        <f t="shared" si="0"/>
        <v>504.3706748641693</v>
      </c>
      <c r="G45" s="238">
        <f t="shared" si="5"/>
        <v>542.53180336252638</v>
      </c>
      <c r="H45" s="6" t="str">
        <f t="shared" si="2"/>
        <v/>
      </c>
      <c r="I45" s="274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4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4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4">
        <f>'Prior Year'!AJ86</f>
        <v>25945945</v>
      </c>
      <c r="C48" s="274">
        <f>data!AJ85</f>
        <v>30836519</v>
      </c>
      <c r="D48" s="274">
        <f>'Prior Year'!AJ60</f>
        <v>88964</v>
      </c>
      <c r="E48" s="1">
        <f>data!AJ59</f>
        <v>88913</v>
      </c>
      <c r="F48" s="238">
        <f t="shared" si="0"/>
        <v>291.64544085247968</v>
      </c>
      <c r="G48" s="238">
        <f t="shared" si="5"/>
        <v>346.8167647025744</v>
      </c>
      <c r="H48" s="6" t="str">
        <f t="shared" si="2"/>
        <v/>
      </c>
      <c r="I48" s="274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4">
        <f>'Prior Year'!AK86</f>
        <v>341077</v>
      </c>
      <c r="C49" s="274">
        <f>data!AK85</f>
        <v>287655</v>
      </c>
      <c r="D49" s="274">
        <f>'Prior Year'!AK60</f>
        <v>3129</v>
      </c>
      <c r="E49" s="1">
        <f>data!AK59</f>
        <v>2587</v>
      </c>
      <c r="F49" s="238">
        <f t="shared" si="0"/>
        <v>109.00511345477788</v>
      </c>
      <c r="G49" s="238">
        <f t="shared" si="5"/>
        <v>111.19250096637032</v>
      </c>
      <c r="H49" s="6" t="str">
        <f t="shared" si="2"/>
        <v/>
      </c>
      <c r="I49" s="274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4">
        <f>'Prior Year'!AL86</f>
        <v>325006</v>
      </c>
      <c r="C50" s="274">
        <f>data!AL85</f>
        <v>223618</v>
      </c>
      <c r="D50" s="274">
        <f>'Prior Year'!AL60</f>
        <v>3176</v>
      </c>
      <c r="E50" s="1">
        <f>data!AL59</f>
        <v>2046</v>
      </c>
      <c r="F50" s="238">
        <f t="shared" si="0"/>
        <v>102.33186397984886</v>
      </c>
      <c r="G50" s="238">
        <f t="shared" si="5"/>
        <v>109.29521016617791</v>
      </c>
      <c r="H50" s="6" t="str">
        <f t="shared" si="2"/>
        <v/>
      </c>
      <c r="I50" s="274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4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4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4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4">
        <f>'Prior Year'!AP86</f>
        <v>0</v>
      </c>
      <c r="C54" s="274">
        <f>data!AP85</f>
        <v>0</v>
      </c>
      <c r="D54" s="274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4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4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4">
        <f>'Prior Year'!AR86</f>
        <v>2469149</v>
      </c>
      <c r="C56" s="274">
        <f>data!AR85</f>
        <v>3082409</v>
      </c>
      <c r="D56" s="274">
        <f>'Prior Year'!AR60</f>
        <v>13181</v>
      </c>
      <c r="E56" s="1">
        <f>data!AR59</f>
        <v>14761</v>
      </c>
      <c r="F56" s="238">
        <f t="shared" si="0"/>
        <v>187.32637887868901</v>
      </c>
      <c r="G56" s="238">
        <f t="shared" si="5"/>
        <v>208.82115032856854</v>
      </c>
      <c r="H56" s="6" t="str">
        <f t="shared" si="2"/>
        <v/>
      </c>
      <c r="I56" s="274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4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4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4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4">
        <f>'Prior Year'!AV86</f>
        <v>0</v>
      </c>
      <c r="C60" s="274">
        <f>data!AV85</f>
        <v>0</v>
      </c>
      <c r="D60" s="274" t="s">
        <v>725</v>
      </c>
      <c r="E60" s="4" t="s">
        <v>725</v>
      </c>
      <c r="F60" s="238"/>
      <c r="G60" s="238"/>
      <c r="H60" s="6"/>
      <c r="I60" s="274" t="str">
        <f t="shared" si="6"/>
        <v/>
      </c>
      <c r="M60" s="7"/>
    </row>
    <row r="61" spans="1:13" x14ac:dyDescent="0.35">
      <c r="A61" s="1" t="s">
        <v>755</v>
      </c>
      <c r="B61" s="274">
        <f>'Prior Year'!AW86</f>
        <v>0</v>
      </c>
      <c r="C61" s="274">
        <f>data!AW85</f>
        <v>0</v>
      </c>
      <c r="D61" s="274" t="s">
        <v>725</v>
      </c>
      <c r="E61" s="4" t="s">
        <v>725</v>
      </c>
      <c r="F61" s="238"/>
      <c r="G61" s="238"/>
      <c r="H61" s="6"/>
      <c r="I61" s="274" t="str">
        <f t="shared" si="6"/>
        <v/>
      </c>
      <c r="M61" s="7"/>
    </row>
    <row r="62" spans="1:13" x14ac:dyDescent="0.35">
      <c r="A62" s="1" t="s">
        <v>756</v>
      </c>
      <c r="B62" s="274">
        <f>'Prior Year'!AX86</f>
        <v>0</v>
      </c>
      <c r="C62" s="274">
        <f>data!AX85</f>
        <v>0</v>
      </c>
      <c r="D62" s="274" t="s">
        <v>725</v>
      </c>
      <c r="E62" s="4" t="s">
        <v>725</v>
      </c>
      <c r="F62" s="238"/>
      <c r="G62" s="238"/>
      <c r="H62" s="6"/>
      <c r="I62" s="274" t="str">
        <f t="shared" si="6"/>
        <v/>
      </c>
      <c r="M62" s="7"/>
    </row>
    <row r="63" spans="1:13" x14ac:dyDescent="0.35">
      <c r="A63" s="1" t="s">
        <v>757</v>
      </c>
      <c r="B63" s="274">
        <f>'Prior Year'!AY86</f>
        <v>399151</v>
      </c>
      <c r="C63" s="274">
        <f>data!AY85</f>
        <v>430377</v>
      </c>
      <c r="D63" s="274">
        <f>'Prior Year'!AY60</f>
        <v>11541</v>
      </c>
      <c r="E63" s="1">
        <f>data!AY59</f>
        <v>15871</v>
      </c>
      <c r="F63" s="238">
        <f>IF(B63=0,"",IF(D63=0,"",B63/D63))</f>
        <v>34.585477861537129</v>
      </c>
      <c r="G63" s="238">
        <f t="shared" si="5"/>
        <v>27.117194883750237</v>
      </c>
      <c r="H63" s="6" t="str">
        <f>IF(B63=0,"",IF(C63=0,"",IF(D63=0,"",IF(E63=0,"",IF(G63/F63-1&lt;-0.25,G63/F63-1,IF(G63/F63-1&gt;0.25,G63/F63-1,""))))))</f>
        <v/>
      </c>
      <c r="I63" s="274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4">
        <f>'Prior Year'!AZ86</f>
        <v>869617</v>
      </c>
      <c r="C64" s="274">
        <f>data!AZ85</f>
        <v>963076</v>
      </c>
      <c r="D64" s="274">
        <f>'Prior Year'!AZ60</f>
        <v>28225</v>
      </c>
      <c r="E64" s="1">
        <f>data!AZ59</f>
        <v>38735</v>
      </c>
      <c r="F64" s="238">
        <f>IF(B64=0,"",IF(D64=0,"",B64/D64))</f>
        <v>30.810168290522586</v>
      </c>
      <c r="G64" s="238">
        <f t="shared" si="5"/>
        <v>24.863198657544856</v>
      </c>
      <c r="H64" s="6" t="str">
        <f>IF(B64=0,"",IF(C64=0,"",IF(D64=0,"",IF(E64=0,"",IF(G64/F64-1&lt;-0.25,G64/F64-1,IF(G64/F64-1&gt;0.25,G64/F64-1,""))))))</f>
        <v/>
      </c>
      <c r="I64" s="274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4">
        <f>'Prior Year'!BA86</f>
        <v>211983</v>
      </c>
      <c r="C65" s="274">
        <f>data!BA85</f>
        <v>251053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4">
        <f>'Prior Year'!BB86</f>
        <v>173651</v>
      </c>
      <c r="C66" s="274">
        <f>data!BB85</f>
        <v>155045</v>
      </c>
      <c r="D66" s="274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4" t="str">
        <f t="shared" si="6"/>
        <v/>
      </c>
      <c r="M66" s="7"/>
    </row>
    <row r="67" spans="1:13" x14ac:dyDescent="0.35">
      <c r="A67" s="1" t="s">
        <v>761</v>
      </c>
      <c r="B67" s="274">
        <f>'Prior Year'!BC86</f>
        <v>0</v>
      </c>
      <c r="C67" s="274">
        <f>data!BC85</f>
        <v>0</v>
      </c>
      <c r="D67" s="274" t="s">
        <v>725</v>
      </c>
      <c r="E67" s="4" t="s">
        <v>725</v>
      </c>
      <c r="F67" s="238"/>
      <c r="G67" s="238" t="str">
        <f t="shared" si="7"/>
        <v/>
      </c>
      <c r="H67" s="6"/>
      <c r="I67" s="274" t="str">
        <f t="shared" si="6"/>
        <v/>
      </c>
      <c r="M67" s="7"/>
    </row>
    <row r="68" spans="1:13" x14ac:dyDescent="0.35">
      <c r="A68" s="1" t="s">
        <v>762</v>
      </c>
      <c r="B68" s="274">
        <f>'Prior Year'!BD86</f>
        <v>468155</v>
      </c>
      <c r="C68" s="274">
        <f>data!BD85</f>
        <v>345417</v>
      </c>
      <c r="D68" s="274" t="s">
        <v>725</v>
      </c>
      <c r="E68" s="4" t="s">
        <v>725</v>
      </c>
      <c r="F68" s="238"/>
      <c r="G68" s="238" t="str">
        <f t="shared" si="7"/>
        <v/>
      </c>
      <c r="H68" s="6"/>
      <c r="I68" s="274" t="str">
        <f t="shared" si="6"/>
        <v/>
      </c>
      <c r="M68" s="7"/>
    </row>
    <row r="69" spans="1:13" x14ac:dyDescent="0.35">
      <c r="A69" s="1" t="s">
        <v>763</v>
      </c>
      <c r="B69" s="274">
        <f>'Prior Year'!BE86</f>
        <v>3098993</v>
      </c>
      <c r="C69" s="274">
        <f>data!BE85</f>
        <v>3694312</v>
      </c>
      <c r="D69" s="274">
        <f>'Prior Year'!BE60</f>
        <v>139151</v>
      </c>
      <c r="E69" s="1">
        <f>data!BE59</f>
        <v>145897</v>
      </c>
      <c r="F69" s="238">
        <f>IF(B69=0,"",IF(D69=0,"",B69/D69))</f>
        <v>22.270720296656151</v>
      </c>
      <c r="G69" s="238">
        <f t="shared" si="5"/>
        <v>25.321370555940149</v>
      </c>
      <c r="H69" s="6" t="str">
        <f>IF(B69=0,"",IF(C69=0,"",IF(D69=0,"",IF(E69=0,"",IF(G69/F69-1&lt;-0.25,G69/F69-1,IF(G69/F69-1&gt;0.25,G69/F69-1,""))))))</f>
        <v/>
      </c>
      <c r="I69" s="274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4">
        <f>'Prior Year'!BF86</f>
        <v>1717671</v>
      </c>
      <c r="C70" s="274">
        <f>data!BF85</f>
        <v>1852673</v>
      </c>
      <c r="D70" s="274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4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4">
        <f>'Prior Year'!BG86</f>
        <v>0</v>
      </c>
      <c r="C71" s="274">
        <f>data!BG85</f>
        <v>0</v>
      </c>
      <c r="D71" s="274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4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4">
        <f>'Prior Year'!BH86</f>
        <v>5731678</v>
      </c>
      <c r="C72" s="274">
        <f>data!BH85</f>
        <v>6370906</v>
      </c>
      <c r="D72" s="274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4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4">
        <f>'Prior Year'!BI86</f>
        <v>0</v>
      </c>
      <c r="C73" s="274">
        <f>data!BI85</f>
        <v>0</v>
      </c>
      <c r="D73" s="274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4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4">
        <f>'Prior Year'!BJ86</f>
        <v>944066</v>
      </c>
      <c r="C74" s="274">
        <f>data!BJ85</f>
        <v>1310660</v>
      </c>
      <c r="D74" s="274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4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4">
        <f>'Prior Year'!BK86</f>
        <v>2326843</v>
      </c>
      <c r="C75" s="274">
        <f>data!BK85</f>
        <v>2426373</v>
      </c>
      <c r="D75" s="274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4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4">
        <f>'Prior Year'!BL86</f>
        <v>904161</v>
      </c>
      <c r="C76" s="274">
        <f>data!BL85</f>
        <v>1105779</v>
      </c>
      <c r="D76" s="274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4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4">
        <f>'Prior Year'!BM86</f>
        <v>0</v>
      </c>
      <c r="C77" s="274">
        <f>data!BM85</f>
        <v>0</v>
      </c>
      <c r="D77" s="274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4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4">
        <f>'Prior Year'!BN86</f>
        <v>3908304</v>
      </c>
      <c r="C78" s="274">
        <f>data!BN85</f>
        <v>2247504</v>
      </c>
      <c r="D78" s="274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4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4">
        <f>'Prior Year'!BO86</f>
        <v>752730</v>
      </c>
      <c r="C79" s="274">
        <f>data!BO85</f>
        <v>511834</v>
      </c>
      <c r="D79" s="274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4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4">
        <f>'Prior Year'!BP86</f>
        <v>589890</v>
      </c>
      <c r="C80" s="274">
        <f>data!BP85</f>
        <v>767126</v>
      </c>
      <c r="D80" s="274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4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4">
        <f>'Prior Year'!BQ86</f>
        <v>0</v>
      </c>
      <c r="C81" s="274">
        <f>data!BQ85</f>
        <v>0</v>
      </c>
      <c r="D81" s="274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4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4">
        <f>'Prior Year'!BR86</f>
        <v>908428</v>
      </c>
      <c r="C82" s="274">
        <f>data!BR85</f>
        <v>1120184</v>
      </c>
      <c r="D82" s="274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4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4">
        <f>'Prior Year'!BS86</f>
        <v>50972</v>
      </c>
      <c r="C83" s="274">
        <f>data!BS85</f>
        <v>0</v>
      </c>
      <c r="D83" s="274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4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4">
        <f>'Prior Year'!BT86</f>
        <v>0</v>
      </c>
      <c r="C84" s="274">
        <f>data!BT85</f>
        <v>0</v>
      </c>
      <c r="D84" s="274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4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4">
        <f>'Prior Year'!BU86</f>
        <v>0</v>
      </c>
      <c r="C85" s="274">
        <f>data!BU85</f>
        <v>0</v>
      </c>
      <c r="D85" s="274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4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4">
        <f>'Prior Year'!BV86</f>
        <v>2099846</v>
      </c>
      <c r="C86" s="274">
        <f>data!BV85</f>
        <v>2308921</v>
      </c>
      <c r="D86" s="274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4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4">
        <f>'Prior Year'!BW86</f>
        <v>1187004</v>
      </c>
      <c r="C87" s="274">
        <f>data!BW85</f>
        <v>1337432</v>
      </c>
      <c r="D87" s="274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4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4">
        <f>'Prior Year'!BX86</f>
        <v>893265</v>
      </c>
      <c r="C88" s="274">
        <f>data!BX85</f>
        <v>1325375</v>
      </c>
      <c r="D88" s="274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4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4">
        <f>'Prior Year'!BY86</f>
        <v>1850436</v>
      </c>
      <c r="C89" s="274">
        <f>data!BY85</f>
        <v>2722403</v>
      </c>
      <c r="D89" s="274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4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4">
        <f>'Prior Year'!BZ86</f>
        <v>0</v>
      </c>
      <c r="C90" s="274">
        <f>data!BZ85</f>
        <v>0</v>
      </c>
      <c r="D90" s="274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4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4">
        <f>'Prior Year'!CA86</f>
        <v>0</v>
      </c>
      <c r="C91" s="274">
        <f>data!CA85</f>
        <v>0</v>
      </c>
      <c r="D91" s="274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4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4">
        <f>'Prior Year'!CB86</f>
        <v>0</v>
      </c>
      <c r="C92" s="274">
        <f>data!CB85</f>
        <v>0</v>
      </c>
      <c r="D92" s="274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4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4">
        <f>'Prior Year'!CC86</f>
        <v>0</v>
      </c>
      <c r="C93" s="274">
        <f>data!CC85</f>
        <v>0</v>
      </c>
      <c r="D93" s="274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4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4">
        <f>'Prior Year'!CD86</f>
        <v>0</v>
      </c>
      <c r="C94" s="274">
        <f>data!CD85</f>
        <v>0</v>
      </c>
      <c r="D94" s="274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4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1" t="s">
        <v>1348</v>
      </c>
    </row>
    <row r="3" spans="1:4" x14ac:dyDescent="0.35">
      <c r="A3" s="11" t="s">
        <v>789</v>
      </c>
    </row>
    <row r="4" spans="1:4" x14ac:dyDescent="0.35">
      <c r="A4" s="329" t="s">
        <v>1346</v>
      </c>
    </row>
    <row r="5" spans="1:4" x14ac:dyDescent="0.35">
      <c r="A5" s="330" t="s">
        <v>1344</v>
      </c>
    </row>
    <row r="6" spans="1:4" x14ac:dyDescent="0.35">
      <c r="A6" s="328"/>
    </row>
    <row r="7" spans="1:4" x14ac:dyDescent="0.35">
      <c r="A7" s="329" t="s">
        <v>1347</v>
      </c>
    </row>
    <row r="8" spans="1:4" x14ac:dyDescent="0.35">
      <c r="A8" s="330" t="s">
        <v>1345</v>
      </c>
    </row>
    <row r="11" spans="1:4" x14ac:dyDescent="0.35">
      <c r="A11" s="13" t="s">
        <v>790</v>
      </c>
      <c r="D11" s="275">
        <f>data!C380</f>
        <v>589122</v>
      </c>
    </row>
    <row r="12" spans="1:4" x14ac:dyDescent="0.35">
      <c r="A12" s="13" t="s">
        <v>791</v>
      </c>
      <c r="D12" s="275" t="str">
        <f>IF(OR(data!C380&gt;1000000,data!C380/(data!D360+data!D383)&gt;0.01),"Yes","No")</f>
        <v>No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6">
        <f>data!C414</f>
        <v>873235</v>
      </c>
    </row>
    <row r="26" spans="1:4" x14ac:dyDescent="0.35">
      <c r="A26" s="13" t="s">
        <v>791</v>
      </c>
      <c r="D26" s="276" t="str">
        <f>IF(OR(data!C414&gt;1000000,data!C414/(data!D416)&gt;0.01),"Yes","No")</f>
        <v>No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D9" sqref="D9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H-140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Kittitas Valley Healthcare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"&amp;data!C103</f>
        <v xml:space="preserve">  Kittitas  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"&amp;data!C104</f>
        <v xml:space="preserve">  Julie A. Petersen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"&amp;data!C105</f>
        <v xml:space="preserve">  Dale Scott Olander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"&amp;data!C106</f>
        <v xml:space="preserve">  Matthew Altman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(509) 962-9841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(509 962-7351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7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92"/>
      <c r="B18" s="81" t="s">
        <v>806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1056</v>
      </c>
      <c r="G23" s="81">
        <f>data!D127</f>
        <v>3950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6</v>
      </c>
      <c r="G24" s="81">
        <f>data!D128</f>
        <v>59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318</v>
      </c>
      <c r="G26" s="81">
        <f>data!D130</f>
        <v>526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6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13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6</v>
      </c>
      <c r="E34" s="78" t="s">
        <v>324</v>
      </c>
      <c r="F34" s="81"/>
      <c r="G34" s="81">
        <f>data!E143</f>
        <v>25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50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6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D7" sqref="D7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Kittitas Valley Healthcare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424</v>
      </c>
      <c r="C7" s="141">
        <f>data!B155</f>
        <v>1971</v>
      </c>
      <c r="D7" s="141">
        <f>data!B156</f>
        <v>87951</v>
      </c>
      <c r="E7" s="141">
        <f>data!B157</f>
        <v>14420522</v>
      </c>
      <c r="F7" s="141">
        <f>data!B158</f>
        <v>78836235</v>
      </c>
      <c r="G7" s="141">
        <f>data!B157+data!B158</f>
        <v>93256757</v>
      </c>
    </row>
    <row r="8" spans="1:7" ht="20.149999999999999" customHeight="1" x14ac:dyDescent="0.35">
      <c r="A8" s="77" t="s">
        <v>331</v>
      </c>
      <c r="B8" s="141">
        <f>data!C154</f>
        <v>202</v>
      </c>
      <c r="C8" s="141">
        <f>data!C155</f>
        <v>606</v>
      </c>
      <c r="D8" s="141">
        <f>data!C156</f>
        <v>38917</v>
      </c>
      <c r="E8" s="141">
        <f>data!C157</f>
        <v>5465501</v>
      </c>
      <c r="F8" s="141">
        <f>data!C158</f>
        <v>33272776</v>
      </c>
      <c r="G8" s="141">
        <f>data!C157+data!C158</f>
        <v>38738277</v>
      </c>
    </row>
    <row r="9" spans="1:7" ht="20.149999999999999" customHeight="1" x14ac:dyDescent="0.35">
      <c r="A9" s="77" t="s">
        <v>829</v>
      </c>
      <c r="B9" s="141">
        <f>data!D154</f>
        <v>430</v>
      </c>
      <c r="C9" s="141">
        <f>data!D155</f>
        <v>1899</v>
      </c>
      <c r="D9" s="141">
        <f>data!D156</f>
        <v>81005</v>
      </c>
      <c r="E9" s="141">
        <f>data!D157</f>
        <v>10441911</v>
      </c>
      <c r="F9" s="141">
        <f>data!D158</f>
        <v>70994260</v>
      </c>
      <c r="G9" s="141">
        <f>data!D157+data!D158</f>
        <v>81436171</v>
      </c>
    </row>
    <row r="10" spans="1:7" ht="20.149999999999999" customHeight="1" x14ac:dyDescent="0.35">
      <c r="A10" s="92" t="s">
        <v>215</v>
      </c>
      <c r="B10" s="141">
        <f>data!E154</f>
        <v>1056</v>
      </c>
      <c r="C10" s="141">
        <f>data!E155</f>
        <v>4476</v>
      </c>
      <c r="D10" s="141">
        <f>data!E156</f>
        <v>207873</v>
      </c>
      <c r="E10" s="141">
        <f>data!E157</f>
        <v>30327934</v>
      </c>
      <c r="F10" s="141">
        <f>data!E158</f>
        <v>183103271</v>
      </c>
      <c r="G10" s="141">
        <f>E10+F10</f>
        <v>213431205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6</v>
      </c>
      <c r="C16" s="141">
        <f>data!B161</f>
        <v>59</v>
      </c>
      <c r="D16" s="141">
        <f>data!B162</f>
        <v>0</v>
      </c>
      <c r="E16" s="141">
        <f>data!B163</f>
        <v>60876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6</v>
      </c>
      <c r="C19" s="141">
        <f>data!E161</f>
        <v>59</v>
      </c>
      <c r="D19" s="141">
        <f>data!E162</f>
        <v>0</v>
      </c>
      <c r="E19" s="141">
        <f>data!E163</f>
        <v>60876</v>
      </c>
      <c r="F19" s="141">
        <f>data!E164</f>
        <v>0</v>
      </c>
      <c r="G19" s="141">
        <f>data!E163+data!E164</f>
        <v>60876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4482209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3067944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Kittitas Valley Healthcare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3750309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51195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385085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5115596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64892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3475371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178775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27428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13048651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8046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180994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189040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923191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287812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1211003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172589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583514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756103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777132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777132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4" workbookViewId="0">
      <selection activeCell="F12" sqref="F1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Kittitas Valley Healthcare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2808860</v>
      </c>
      <c r="D7" s="81">
        <f>data!C211</f>
        <v>404052</v>
      </c>
      <c r="E7" s="81">
        <f>data!D211</f>
        <v>0</v>
      </c>
      <c r="F7" s="81">
        <f>data!E211</f>
        <v>3212912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429006</v>
      </c>
      <c r="D8" s="81">
        <f>data!C212</f>
        <v>0</v>
      </c>
      <c r="E8" s="81">
        <f>data!D212</f>
        <v>217661</v>
      </c>
      <c r="F8" s="81">
        <f>data!E212</f>
        <v>211345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47774316</v>
      </c>
      <c r="D9" s="81">
        <f>data!C213</f>
        <v>707751</v>
      </c>
      <c r="E9" s="81">
        <f>data!D213</f>
        <v>0</v>
      </c>
      <c r="F9" s="81">
        <f>data!E213</f>
        <v>48482067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6963975</v>
      </c>
      <c r="D10" s="81">
        <f>data!C214</f>
        <v>16594</v>
      </c>
      <c r="E10" s="81">
        <f>data!D214</f>
        <v>0</v>
      </c>
      <c r="F10" s="81">
        <f>data!E214</f>
        <v>6980569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32745184</v>
      </c>
      <c r="D12" s="81">
        <f>data!C216</f>
        <v>1540502</v>
      </c>
      <c r="E12" s="81">
        <f>data!D216</f>
        <v>918385</v>
      </c>
      <c r="F12" s="81">
        <f>data!E216</f>
        <v>33367301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5716029</v>
      </c>
      <c r="E14" s="81">
        <f>data!D218</f>
        <v>0</v>
      </c>
      <c r="F14" s="81">
        <f>data!E218</f>
        <v>5716029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1652275</v>
      </c>
      <c r="D15" s="81">
        <f>data!C219</f>
        <v>6466840</v>
      </c>
      <c r="E15" s="81">
        <f>data!D219</f>
        <v>0</v>
      </c>
      <c r="F15" s="81">
        <f>data!E219</f>
        <v>8119115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92373616</v>
      </c>
      <c r="D16" s="81">
        <f>data!C220</f>
        <v>14851768</v>
      </c>
      <c r="E16" s="81">
        <f>data!D220</f>
        <v>1136046</v>
      </c>
      <c r="F16" s="81">
        <f>data!E220</f>
        <v>106089338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434951</v>
      </c>
      <c r="D24" s="81">
        <f>data!C225</f>
        <v>2716</v>
      </c>
      <c r="E24" s="81">
        <f>data!D225</f>
        <v>217661</v>
      </c>
      <c r="F24" s="81">
        <f>data!E225</f>
        <v>220006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20290809</v>
      </c>
      <c r="D25" s="81">
        <f>data!C226</f>
        <v>1919693</v>
      </c>
      <c r="E25" s="81">
        <f>data!D226</f>
        <v>0</v>
      </c>
      <c r="F25" s="81">
        <f>data!E226</f>
        <v>22210502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4463103</v>
      </c>
      <c r="D26" s="81">
        <f>data!C227</f>
        <v>228877</v>
      </c>
      <c r="E26" s="81">
        <f>data!D227</f>
        <v>0</v>
      </c>
      <c r="F26" s="81">
        <f>data!E227</f>
        <v>4691980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24095378</v>
      </c>
      <c r="D28" s="81">
        <f>data!C229</f>
        <v>2337611</v>
      </c>
      <c r="E28" s="81">
        <f>data!D229</f>
        <v>915999</v>
      </c>
      <c r="F28" s="81">
        <f>data!E229</f>
        <v>25516990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1225541</v>
      </c>
      <c r="E30" s="81">
        <f>data!D231</f>
        <v>0</v>
      </c>
      <c r="F30" s="81">
        <f>data!E231</f>
        <v>1225541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49284241</v>
      </c>
      <c r="D32" s="81">
        <f>data!C233</f>
        <v>5714438</v>
      </c>
      <c r="E32" s="81">
        <f>data!D233</f>
        <v>1133660</v>
      </c>
      <c r="F32" s="81">
        <f>data!E233</f>
        <v>53865019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Kittitas Valley Healthcare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5954254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46404779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19799203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18618326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84822308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4025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160937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1074723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1235660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1733500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1733500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2023-06-16T00:15:48Z</cp:lastPrinted>
  <dcterms:created xsi:type="dcterms:W3CDTF">1999-06-02T22:01:56Z</dcterms:created>
  <dcterms:modified xsi:type="dcterms:W3CDTF">2023-06-21T15:51:13Z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