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BF87F61D-1887-4CD9-8A07-8D2632AC5654}" xr6:coauthVersionLast="47" xr6:coauthVersionMax="47" xr10:uidLastSave="{00000000-0000-0000-0000-000000000000}"/>
  <workbookProtection workbookAlgorithmName="SHA-512" workbookHashValue="S/Q7xc+jm1JKWFbnRyO2rOyRpYl9BhXDiYco8/gpFtyalMfJLSr1Ev70qxyI7pT9Dwn8vRQ9Mkuge8c57SjkhQ==" workbookSaltValue="6c6DWnivE2Tt5scYiK781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data!$A$95:$E$424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9" i="24" l="1"/>
  <c r="C230" i="24"/>
  <c r="C219" i="24"/>
  <c r="D219" i="24"/>
  <c r="C217" i="24"/>
  <c r="D216" i="24"/>
  <c r="C216" i="24"/>
  <c r="C229" i="24"/>
  <c r="C32" i="6" l="1"/>
  <c r="C25" i="6"/>
  <c r="F25" i="6" s="1"/>
  <c r="D25" i="6"/>
  <c r="E25" i="6"/>
  <c r="C26" i="6"/>
  <c r="D26" i="6"/>
  <c r="F26" i="6" s="1"/>
  <c r="E26" i="6"/>
  <c r="C27" i="6"/>
  <c r="D27" i="6"/>
  <c r="E27" i="6"/>
  <c r="F27" i="6"/>
  <c r="C28" i="6"/>
  <c r="D28" i="6"/>
  <c r="E28" i="6"/>
  <c r="E32" i="6" s="1"/>
  <c r="C29" i="6"/>
  <c r="D29" i="6"/>
  <c r="E29" i="6"/>
  <c r="C30" i="6"/>
  <c r="D30" i="6"/>
  <c r="E30" i="6"/>
  <c r="F30" i="6"/>
  <c r="C31" i="6"/>
  <c r="F31" i="6" s="1"/>
  <c r="D31" i="6"/>
  <c r="E31" i="6"/>
  <c r="F24" i="6"/>
  <c r="E24" i="6"/>
  <c r="D24" i="6"/>
  <c r="C16" i="6"/>
  <c r="C8" i="6"/>
  <c r="D8" i="6"/>
  <c r="E8" i="6"/>
  <c r="F8" i="6"/>
  <c r="C9" i="6"/>
  <c r="D9" i="6"/>
  <c r="F9" i="6" s="1"/>
  <c r="E9" i="6"/>
  <c r="C10" i="6"/>
  <c r="D10" i="6"/>
  <c r="E10" i="6"/>
  <c r="F10" i="6"/>
  <c r="C11" i="6"/>
  <c r="D11" i="6"/>
  <c r="E11" i="6"/>
  <c r="F11" i="6"/>
  <c r="C12" i="6"/>
  <c r="D12" i="6"/>
  <c r="E12" i="6"/>
  <c r="F12" i="6" s="1"/>
  <c r="C13" i="6"/>
  <c r="D13" i="6"/>
  <c r="E13" i="6"/>
  <c r="F13" i="6"/>
  <c r="C14" i="6"/>
  <c r="D14" i="6"/>
  <c r="E14" i="6"/>
  <c r="F14" i="6"/>
  <c r="C15" i="6"/>
  <c r="D15" i="6"/>
  <c r="E15" i="6"/>
  <c r="F7" i="6"/>
  <c r="E7" i="6"/>
  <c r="D7" i="6"/>
  <c r="F28" i="6" l="1"/>
  <c r="F15" i="6"/>
  <c r="F16" i="6" s="1"/>
  <c r="E16" i="6"/>
  <c r="D16" i="6"/>
  <c r="D32" i="6"/>
  <c r="F29" i="6"/>
  <c r="F32" i="6" s="1"/>
  <c r="BV63" i="24"/>
  <c r="AV88" i="24" l="1"/>
  <c r="C177" i="8"/>
  <c r="C172" i="8"/>
  <c r="C168" i="8"/>
  <c r="C138" i="8"/>
  <c r="C137" i="8"/>
  <c r="C121" i="8"/>
  <c r="C120" i="8"/>
  <c r="C113" i="8"/>
  <c r="C136" i="8" l="1"/>
  <c r="C167" i="8"/>
  <c r="C35" i="8"/>
  <c r="C33" i="8"/>
  <c r="D27" i="7"/>
  <c r="E19" i="27"/>
  <c r="CE69" i="24"/>
  <c r="H16" i="15"/>
  <c r="I16" i="15" s="1"/>
  <c r="H18" i="15"/>
  <c r="I18" i="15" s="1"/>
  <c r="H19" i="15"/>
  <c r="I19" i="15" s="1"/>
  <c r="H20" i="15"/>
  <c r="I20" i="15" s="1"/>
  <c r="H21" i="15"/>
  <c r="I21" i="15" s="1"/>
  <c r="H23" i="15"/>
  <c r="I23" i="15" s="1"/>
  <c r="H24" i="15"/>
  <c r="I24" i="15" s="1"/>
  <c r="H25" i="15"/>
  <c r="I25" i="15" s="1"/>
  <c r="H26" i="15"/>
  <c r="I26" i="15" s="1"/>
  <c r="H32" i="15"/>
  <c r="I32" i="15" s="1"/>
  <c r="H34" i="15"/>
  <c r="I34" i="15" s="1"/>
  <c r="H38" i="15"/>
  <c r="I38" i="15" s="1"/>
  <c r="H42" i="15"/>
  <c r="I42" i="15" s="1"/>
  <c r="H44" i="15"/>
  <c r="I44" i="15" s="1"/>
  <c r="H46" i="15"/>
  <c r="I46" i="15" s="1"/>
  <c r="H47" i="15"/>
  <c r="I47" i="15" s="1"/>
  <c r="H48" i="15"/>
  <c r="I48" i="15" s="1"/>
  <c r="H49" i="15"/>
  <c r="I49" i="15" s="1"/>
  <c r="H50" i="15"/>
  <c r="I50" i="15" s="1"/>
  <c r="H51" i="15"/>
  <c r="I51" i="15" s="1"/>
  <c r="H52" i="15"/>
  <c r="I52" i="15" s="1"/>
  <c r="H53" i="15"/>
  <c r="I53" i="15" s="1"/>
  <c r="H55" i="15"/>
  <c r="I55" i="15" s="1"/>
  <c r="H56" i="15"/>
  <c r="I56" i="15" s="1"/>
  <c r="H57" i="15"/>
  <c r="I57" i="15" s="1"/>
  <c r="H58" i="15"/>
  <c r="I58" i="15" s="1"/>
  <c r="H59" i="15"/>
  <c r="I59" i="15" s="1"/>
  <c r="I60" i="15"/>
  <c r="I61" i="15"/>
  <c r="I62" i="15"/>
  <c r="I66" i="15"/>
  <c r="I67" i="15"/>
  <c r="I68" i="15"/>
  <c r="I94" i="15"/>
  <c r="CE90" i="24" l="1"/>
  <c r="CF90" i="24" s="1"/>
  <c r="D154" i="24" l="1"/>
  <c r="D155" i="24"/>
  <c r="C226" i="24" l="1"/>
  <c r="B220" i="24"/>
  <c r="C213" i="24"/>
  <c r="CC83" i="24" l="1"/>
  <c r="CC64" i="24"/>
  <c r="CE47" i="24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C24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18" i="27"/>
  <c r="E17" i="27"/>
  <c r="D415" i="24"/>
  <c r="CP2" i="30" s="1"/>
  <c r="D381" i="24"/>
  <c r="D366" i="24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D281" i="24"/>
  <c r="C22" i="8" s="1"/>
  <c r="D276" i="24"/>
  <c r="C16" i="8" s="1"/>
  <c r="D256" i="24"/>
  <c r="D252" i="24"/>
  <c r="D245" i="24"/>
  <c r="D13" i="7" s="1"/>
  <c r="D237" i="24"/>
  <c r="D233" i="24"/>
  <c r="C233" i="24"/>
  <c r="B233" i="24"/>
  <c r="E232" i="24"/>
  <c r="E231" i="24"/>
  <c r="E230" i="24"/>
  <c r="E229" i="24"/>
  <c r="E228" i="24"/>
  <c r="E227" i="24"/>
  <c r="E226" i="24"/>
  <c r="E225" i="24"/>
  <c r="D220" i="24"/>
  <c r="C220" i="24"/>
  <c r="E219" i="24"/>
  <c r="E218" i="24"/>
  <c r="E217" i="24"/>
  <c r="E216" i="24"/>
  <c r="E215" i="24"/>
  <c r="E214" i="24"/>
  <c r="E213" i="24"/>
  <c r="E212" i="24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AU48" i="24" l="1"/>
  <c r="AU62" i="24" s="1"/>
  <c r="H46" i="31" s="1"/>
  <c r="G48" i="24"/>
  <c r="G62" i="24" s="1"/>
  <c r="G12" i="32" s="1"/>
  <c r="W48" i="24"/>
  <c r="W62" i="24" s="1"/>
  <c r="BK48" i="24"/>
  <c r="BK62" i="24" s="1"/>
  <c r="H62" i="31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K48" i="24"/>
  <c r="K62" i="24" s="1"/>
  <c r="D44" i="32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E332" i="32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I371" i="32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39" i="31"/>
  <c r="H65" i="31"/>
  <c r="C300" i="32"/>
  <c r="H74" i="31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I380" i="32"/>
  <c r="CB52" i="24"/>
  <c r="CB67" i="24" s="1"/>
  <c r="D612" i="24"/>
  <c r="H2" i="31"/>
  <c r="C12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300" i="32"/>
  <c r="G332" i="32"/>
  <c r="BK2" i="30"/>
  <c r="I362" i="32"/>
  <c r="H612" i="24"/>
  <c r="E220" i="24"/>
  <c r="I612" i="24"/>
  <c r="I366" i="32"/>
  <c r="F612" i="24"/>
  <c r="BQ2" i="30"/>
  <c r="D383" i="24"/>
  <c r="D12" i="17" s="1"/>
  <c r="H55" i="31"/>
  <c r="G236" i="32"/>
  <c r="DF2" i="30"/>
  <c r="C170" i="8"/>
  <c r="D204" i="32"/>
  <c r="D22" i="7"/>
  <c r="D258" i="24"/>
  <c r="H37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C44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67" i="24"/>
  <c r="AC49" i="25"/>
  <c r="AC63" i="25" s="1"/>
  <c r="AC86" i="25" s="1"/>
  <c r="CE68" i="25"/>
  <c r="E234" i="25"/>
  <c r="CE70" i="25"/>
  <c r="CE53" i="25"/>
  <c r="D342" i="25"/>
  <c r="D351" i="25" s="1"/>
  <c r="H23" i="31" l="1"/>
  <c r="E76" i="32"/>
  <c r="AV52" i="24"/>
  <c r="AV67" i="24" s="1"/>
  <c r="AV85" i="24" s="1"/>
  <c r="C60" i="15" s="1"/>
  <c r="X52" i="24"/>
  <c r="X67" i="24" s="1"/>
  <c r="X85" i="24" s="1"/>
  <c r="C689" i="24" s="1"/>
  <c r="BX52" i="24"/>
  <c r="BX67" i="24" s="1"/>
  <c r="M75" i="31" s="1"/>
  <c r="L52" i="24"/>
  <c r="L67" i="24" s="1"/>
  <c r="L85" i="24" s="1"/>
  <c r="D76" i="32"/>
  <c r="H12" i="32"/>
  <c r="E236" i="32"/>
  <c r="H71" i="31"/>
  <c r="H268" i="32"/>
  <c r="D332" i="32"/>
  <c r="I12" i="32"/>
  <c r="G268" i="32"/>
  <c r="G76" i="32"/>
  <c r="H10" i="31"/>
  <c r="C236" i="32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M47" i="31" l="1"/>
  <c r="C113" i="32"/>
  <c r="M23" i="31"/>
  <c r="BX85" i="24"/>
  <c r="C644" i="24" s="1"/>
  <c r="E49" i="32"/>
  <c r="M11" i="31"/>
  <c r="F337" i="32"/>
  <c r="S85" i="24"/>
  <c r="E85" i="32" s="1"/>
  <c r="E17" i="32"/>
  <c r="M61" i="31"/>
  <c r="F209" i="32"/>
  <c r="E85" i="24"/>
  <c r="E21" i="32" s="1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D49" i="32"/>
  <c r="C117" i="32"/>
  <c r="M74" i="31"/>
  <c r="M10" i="31"/>
  <c r="C640" i="24"/>
  <c r="I309" i="32"/>
  <c r="F145" i="32"/>
  <c r="I113" i="32"/>
  <c r="C27" i="15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C54" i="15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F80" i="15"/>
  <c r="M6" i="31"/>
  <c r="G17" i="32"/>
  <c r="G85" i="24"/>
  <c r="F38" i="15"/>
  <c r="M54" i="31"/>
  <c r="F241" i="32"/>
  <c r="BC85" i="24"/>
  <c r="F32" i="15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F16" i="15"/>
  <c r="F23" i="15"/>
  <c r="F81" i="15"/>
  <c r="H81" i="15"/>
  <c r="I81" i="15" s="1"/>
  <c r="M59" i="31"/>
  <c r="D273" i="32"/>
  <c r="BH85" i="24"/>
  <c r="F43" i="15"/>
  <c r="F46" i="15"/>
  <c r="F79" i="15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 s="1"/>
  <c r="I87" i="15" s="1"/>
  <c r="F26" i="15"/>
  <c r="M76" i="31"/>
  <c r="G337" i="32"/>
  <c r="BY85" i="24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F22" i="15"/>
  <c r="F78" i="15"/>
  <c r="M5" i="31"/>
  <c r="F17" i="32"/>
  <c r="F85" i="24"/>
  <c r="F47" i="15"/>
  <c r="F77" i="15"/>
  <c r="H77" i="15"/>
  <c r="I77" i="15" s="1"/>
  <c r="M12" i="31"/>
  <c r="F49" i="32"/>
  <c r="M85" i="24"/>
  <c r="F39" i="15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F19" i="15"/>
  <c r="F59" i="15"/>
  <c r="M53" i="31"/>
  <c r="E241" i="32"/>
  <c r="BB85" i="24"/>
  <c r="F31" i="15"/>
  <c r="F37" i="15"/>
  <c r="F53" i="15"/>
  <c r="C67" i="24"/>
  <c r="CE52" i="24"/>
  <c r="F70" i="15"/>
  <c r="F30" i="15"/>
  <c r="M62" i="31"/>
  <c r="G273" i="32"/>
  <c r="BK85" i="24"/>
  <c r="F75" i="15"/>
  <c r="F55" i="15"/>
  <c r="F85" i="15"/>
  <c r="H85" i="15"/>
  <c r="I85" i="15" s="1"/>
  <c r="F20" i="15"/>
  <c r="M50" i="31"/>
  <c r="I209" i="32"/>
  <c r="AY85" i="24"/>
  <c r="F82" i="15"/>
  <c r="F29" i="15"/>
  <c r="G94" i="15"/>
  <c r="H94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M40" i="31"/>
  <c r="F177" i="32"/>
  <c r="AO85" i="24"/>
  <c r="M39" i="31"/>
  <c r="E177" i="32"/>
  <c r="AN85" i="24"/>
  <c r="F51" i="15"/>
  <c r="M26" i="31"/>
  <c r="F113" i="32"/>
  <c r="AA85" i="24"/>
  <c r="M25" i="31"/>
  <c r="E113" i="32"/>
  <c r="Z85" i="24"/>
  <c r="F34" i="15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M58" i="31"/>
  <c r="C273" i="32"/>
  <c r="BG85" i="24"/>
  <c r="M42" i="31"/>
  <c r="H177" i="32"/>
  <c r="AQ85" i="24"/>
  <c r="F73" i="15"/>
  <c r="F58" i="15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F44" i="15"/>
  <c r="C86" i="25"/>
  <c r="CE63" i="25"/>
  <c r="M9" i="31"/>
  <c r="C49" i="32"/>
  <c r="J85" i="24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C92" i="15"/>
  <c r="G92" i="15" s="1"/>
  <c r="C373" i="32"/>
  <c r="C622" i="24"/>
  <c r="C684" i="24" l="1"/>
  <c r="C31" i="15"/>
  <c r="G31" i="15" s="1"/>
  <c r="H31" i="15" s="1"/>
  <c r="I31" i="15" s="1"/>
  <c r="G54" i="15"/>
  <c r="H54" i="15" s="1"/>
  <c r="I54" i="15" s="1"/>
  <c r="G36" i="15"/>
  <c r="H36" i="15" s="1"/>
  <c r="I36" i="15" s="1"/>
  <c r="G35" i="15"/>
  <c r="H35" i="15" s="1"/>
  <c r="I35" i="15" s="1"/>
  <c r="G27" i="15"/>
  <c r="H27" i="15"/>
  <c r="I27" i="15" s="1"/>
  <c r="I117" i="32"/>
  <c r="C42" i="15"/>
  <c r="G42" i="15" s="1"/>
  <c r="C670" i="24"/>
  <c r="C17" i="15"/>
  <c r="H277" i="32"/>
  <c r="C74" i="15"/>
  <c r="G74" i="15" s="1"/>
  <c r="H74" i="15" s="1"/>
  <c r="I74" i="15" s="1"/>
  <c r="C76" i="15"/>
  <c r="G76" i="15" s="1"/>
  <c r="H76" i="15" s="1"/>
  <c r="I76" i="15" s="1"/>
  <c r="C40" i="15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CE85" i="24" s="1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D309" i="32"/>
  <c r="C627" i="24"/>
  <c r="C79" i="15"/>
  <c r="G245" i="32"/>
  <c r="C68" i="15"/>
  <c r="G68" i="15" s="1"/>
  <c r="C624" i="24"/>
  <c r="G17" i="15" l="1"/>
  <c r="H17" i="15" s="1"/>
  <c r="I17" i="15" s="1"/>
  <c r="G40" i="15"/>
  <c r="H40" i="15" s="1"/>
  <c r="I40" i="15" s="1"/>
  <c r="G22" i="15"/>
  <c r="H22" i="15" s="1"/>
  <c r="H69" i="15"/>
  <c r="I69" i="15" s="1"/>
  <c r="G30" i="15"/>
  <c r="H30" i="15" s="1"/>
  <c r="I30" i="15" s="1"/>
  <c r="G72" i="15"/>
  <c r="H72" i="15" s="1"/>
  <c r="I72" i="15" s="1"/>
  <c r="G79" i="15"/>
  <c r="H79" i="15" s="1"/>
  <c r="I79" i="15" s="1"/>
  <c r="G80" i="15"/>
  <c r="H80" i="15" s="1"/>
  <c r="I80" i="15" s="1"/>
  <c r="H91" i="15"/>
  <c r="I91" i="15" s="1"/>
  <c r="C648" i="24"/>
  <c r="M716" i="24" s="1"/>
  <c r="G32" i="15"/>
  <c r="G38" i="15"/>
  <c r="G28" i="15"/>
  <c r="H28" i="15" s="1"/>
  <c r="I28" i="15" s="1"/>
  <c r="G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C668" i="24"/>
  <c r="C715" i="24" s="1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D424" i="24"/>
  <c r="G48" i="15"/>
  <c r="G78" i="15"/>
  <c r="H78" i="15" s="1"/>
  <c r="I78" i="15" s="1"/>
  <c r="G49" i="15"/>
  <c r="D716" i="25"/>
  <c r="E624" i="25"/>
  <c r="G56" i="15"/>
  <c r="G64" i="15"/>
  <c r="H64" i="15" s="1"/>
  <c r="I64" i="15" s="1"/>
  <c r="E613" i="25"/>
  <c r="G43" i="15"/>
  <c r="H43" i="15" s="1"/>
  <c r="I43" i="15" s="1"/>
  <c r="G15" i="15" l="1"/>
  <c r="H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M710" i="25" s="1"/>
  <c r="K702" i="25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K687" i="25"/>
  <c r="M687" i="25" s="1"/>
  <c r="K678" i="25"/>
  <c r="M678" i="25" s="1"/>
  <c r="K670" i="25"/>
  <c r="M670" i="25" s="1"/>
  <c r="K706" i="25"/>
  <c r="M706" i="25" s="1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L713" i="24" l="1"/>
  <c r="L689" i="24"/>
  <c r="L712" i="24"/>
  <c r="L675" i="24"/>
  <c r="L668" i="24"/>
  <c r="L694" i="24"/>
  <c r="L701" i="24"/>
  <c r="L695" i="24"/>
  <c r="L702" i="24"/>
  <c r="L709" i="24"/>
  <c r="L684" i="24"/>
  <c r="L698" i="24"/>
  <c r="L699" i="24"/>
  <c r="L697" i="24"/>
  <c r="L681" i="24"/>
  <c r="L670" i="24"/>
  <c r="L686" i="24"/>
  <c r="L690" i="24"/>
  <c r="L692" i="24"/>
  <c r="L705" i="24"/>
  <c r="L682" i="24"/>
  <c r="L679" i="24"/>
  <c r="L703" i="24"/>
  <c r="L691" i="24"/>
  <c r="L674" i="24"/>
  <c r="L711" i="24"/>
  <c r="L706" i="24"/>
  <c r="L669" i="24"/>
  <c r="L707" i="24"/>
  <c r="L693" i="24"/>
  <c r="L672" i="24"/>
  <c r="L685" i="24"/>
  <c r="L673" i="24"/>
  <c r="L671" i="24"/>
  <c r="L688" i="24"/>
  <c r="L676" i="24"/>
  <c r="L677" i="24"/>
  <c r="L700" i="24"/>
  <c r="L687" i="24"/>
  <c r="L680" i="24"/>
  <c r="L696" i="24"/>
  <c r="L678" i="24"/>
  <c r="L704" i="24"/>
  <c r="L683" i="24"/>
  <c r="L710" i="24"/>
  <c r="L716" i="24"/>
  <c r="M672" i="25"/>
  <c r="M689" i="25"/>
  <c r="M693" i="25"/>
  <c r="M681" i="25"/>
  <c r="M674" i="25"/>
  <c r="M696" i="25"/>
  <c r="M702" i="25"/>
  <c r="M682" i="25"/>
  <c r="L716" i="25"/>
  <c r="M709" i="25"/>
  <c r="M712" i="25"/>
  <c r="K713" i="24"/>
  <c r="K703" i="24"/>
  <c r="K695" i="24"/>
  <c r="M695" i="24" s="1"/>
  <c r="I119" i="32" s="1"/>
  <c r="K712" i="24"/>
  <c r="K711" i="24"/>
  <c r="K707" i="24"/>
  <c r="K699" i="24"/>
  <c r="K691" i="24"/>
  <c r="K683" i="24"/>
  <c r="K694" i="24"/>
  <c r="K689" i="24"/>
  <c r="K684" i="24"/>
  <c r="K679" i="24"/>
  <c r="K672" i="24"/>
  <c r="K693" i="24"/>
  <c r="K688" i="24"/>
  <c r="K669" i="24"/>
  <c r="K716" i="24"/>
  <c r="K678" i="24"/>
  <c r="K674" i="24"/>
  <c r="K708" i="24"/>
  <c r="M708" i="24" s="1"/>
  <c r="H183" i="32" s="1"/>
  <c r="K668" i="24"/>
  <c r="K701" i="24"/>
  <c r="M701" i="24" s="1"/>
  <c r="H151" i="32" s="1"/>
  <c r="K706" i="24"/>
  <c r="K705" i="24"/>
  <c r="K704" i="24"/>
  <c r="K686" i="24"/>
  <c r="K681" i="24"/>
  <c r="K676" i="24"/>
  <c r="K673" i="24"/>
  <c r="K709" i="24"/>
  <c r="K702" i="24"/>
  <c r="K700" i="24"/>
  <c r="K696" i="24"/>
  <c r="K677" i="24"/>
  <c r="K675" i="24"/>
  <c r="K671" i="24"/>
  <c r="K690" i="24"/>
  <c r="K692" i="24"/>
  <c r="K685" i="24"/>
  <c r="K710" i="24"/>
  <c r="K698" i="24"/>
  <c r="K687" i="24"/>
  <c r="K670" i="24"/>
  <c r="K680" i="24"/>
  <c r="K697" i="24"/>
  <c r="K682" i="24"/>
  <c r="K716" i="25"/>
  <c r="M669" i="25"/>
  <c r="M668" i="24" l="1"/>
  <c r="C23" i="32" s="1"/>
  <c r="M712" i="24"/>
  <c r="E215" i="32" s="1"/>
  <c r="M713" i="24"/>
  <c r="F215" i="32" s="1"/>
  <c r="M675" i="24"/>
  <c r="C55" i="32" s="1"/>
  <c r="M682" i="24"/>
  <c r="C87" i="32" s="1"/>
  <c r="M702" i="24"/>
  <c r="I151" i="32" s="1"/>
  <c r="M699" i="24"/>
  <c r="F151" i="32" s="1"/>
  <c r="M685" i="24"/>
  <c r="F87" i="32" s="1"/>
  <c r="M679" i="24"/>
  <c r="G55" i="32" s="1"/>
  <c r="M697" i="24"/>
  <c r="D151" i="32" s="1"/>
  <c r="M670" i="24"/>
  <c r="E23" i="32" s="1"/>
  <c r="M689" i="24"/>
  <c r="C119" i="32" s="1"/>
  <c r="M672" i="24"/>
  <c r="G23" i="32" s="1"/>
  <c r="M698" i="24"/>
  <c r="E151" i="32" s="1"/>
  <c r="M704" i="24"/>
  <c r="D183" i="32" s="1"/>
  <c r="M694" i="24"/>
  <c r="H119" i="32" s="1"/>
  <c r="M691" i="24"/>
  <c r="E119" i="32" s="1"/>
  <c r="M700" i="24"/>
  <c r="G151" i="32" s="1"/>
  <c r="M709" i="24"/>
  <c r="I183" i="32" s="1"/>
  <c r="M690" i="24"/>
  <c r="D119" i="32" s="1"/>
  <c r="M680" i="24"/>
  <c r="H55" i="32" s="1"/>
  <c r="M681" i="24"/>
  <c r="I55" i="32" s="1"/>
  <c r="M696" i="24"/>
  <c r="C151" i="32" s="1"/>
  <c r="M703" i="24"/>
  <c r="C183" i="32" s="1"/>
  <c r="M692" i="24"/>
  <c r="F119" i="32" s="1"/>
  <c r="M684" i="24"/>
  <c r="E87" i="32" s="1"/>
  <c r="M687" i="24"/>
  <c r="H87" i="32" s="1"/>
  <c r="M686" i="24"/>
  <c r="G87" i="32" s="1"/>
  <c r="M711" i="24"/>
  <c r="D215" i="32" s="1"/>
  <c r="M706" i="24"/>
  <c r="F183" i="32" s="1"/>
  <c r="M688" i="24"/>
  <c r="I87" i="32" s="1"/>
  <c r="M671" i="24"/>
  <c r="F23" i="32" s="1"/>
  <c r="M674" i="24"/>
  <c r="I23" i="32" s="1"/>
  <c r="M705" i="24"/>
  <c r="E183" i="32" s="1"/>
  <c r="M669" i="24"/>
  <c r="D23" i="32" s="1"/>
  <c r="M683" i="24"/>
  <c r="D87" i="32" s="1"/>
  <c r="M673" i="24"/>
  <c r="H23" i="32" s="1"/>
  <c r="M676" i="24"/>
  <c r="D55" i="32" s="1"/>
  <c r="L715" i="24"/>
  <c r="M677" i="24"/>
  <c r="E55" i="32" s="1"/>
  <c r="M678" i="24"/>
  <c r="F55" i="32" s="1"/>
  <c r="M693" i="24"/>
  <c r="G119" i="32" s="1"/>
  <c r="M707" i="24"/>
  <c r="G183" i="32" s="1"/>
  <c r="M710" i="24"/>
  <c r="C215" i="32" s="1"/>
  <c r="M716" i="25"/>
  <c r="K715" i="24"/>
  <c r="M715" i="24" l="1"/>
</calcChain>
</file>

<file path=xl/sharedStrings.xml><?xml version="1.0" encoding="utf-8"?>
<sst xmlns="http://schemas.openxmlformats.org/spreadsheetml/2006/main" count="5767" uniqueCount="1388">
  <si>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</si>
  <si>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</si>
  <si>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</si>
  <si>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</si>
  <si>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</si>
  <si>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</si>
  <si>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</si>
  <si>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</si>
  <si>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</si>
  <si>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</si>
  <si>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</si>
  <si>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</si>
  <si>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</si>
  <si>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</si>
  <si>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</si>
  <si>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</si>
  <si>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</si>
  <si>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</si>
  <si>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</si>
  <si>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</si>
  <si>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</si>
  <si>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</si>
  <si>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</si>
  <si>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</si>
  <si>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</si>
  <si>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</si>
  <si>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</si>
  <si>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</si>
  <si>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</si>
  <si>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</si>
  <si>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</si>
  <si>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</si>
  <si>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</si>
  <si>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</si>
  <si>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</si>
  <si>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</si>
  <si>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</si>
  <si>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</si>
  <si>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</si>
  <si>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</si>
  <si>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</si>
  <si>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</si>
  <si>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</si>
  <si>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</si>
  <si>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</si>
  <si>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</si>
  <si>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</si>
  <si>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</si>
  <si>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</si>
  <si>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</si>
  <si>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</si>
  <si>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</si>
  <si>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</si>
  <si>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</si>
  <si>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</si>
  <si>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</si>
  <si>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</si>
  <si>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</si>
  <si>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</si>
  <si>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</si>
  <si>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</si>
  <si>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</si>
  <si>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</si>
  <si>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</si>
  <si>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</si>
  <si>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</si>
  <si>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</si>
  <si>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</si>
  <si>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</si>
  <si>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</si>
  <si>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</si>
  <si>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</si>
  <si>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</si>
  <si>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</si>
  <si>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</si>
  <si>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</si>
  <si>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</si>
  <si>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</si>
  <si>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</si>
  <si>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</si>
  <si>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</si>
  <si>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</si>
  <si>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</si>
  <si>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</si>
  <si>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</si>
  <si>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</si>
  <si>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</si>
  <si>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</si>
  <si>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</si>
  <si>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</si>
  <si>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</si>
  <si>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</si>
  <si>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</si>
  <si>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</si>
  <si>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</si>
  <si>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</si>
  <si>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</si>
  <si>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</si>
  <si>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</si>
  <si>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</si>
  <si>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</si>
  <si>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</si>
  <si>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</si>
  <si>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</si>
  <si>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</si>
  <si>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</si>
  <si>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</si>
  <si>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</si>
  <si>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</si>
  <si>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</si>
  <si>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</si>
  <si>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</si>
  <si>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</si>
  <si>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</si>
  <si>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</si>
  <si>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</si>
  <si>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</si>
  <si>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</si>
  <si>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</si>
  <si>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</si>
  <si>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</si>
  <si>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</si>
  <si>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</si>
  <si>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</si>
  <si>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</si>
  <si>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</si>
  <si>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</si>
  <si>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</si>
  <si>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</si>
  <si>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</si>
  <si>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</si>
  <si>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</si>
  <si>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</si>
  <si>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</si>
  <si>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</si>
  <si>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</si>
  <si>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</si>
  <si>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</si>
  <si>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</si>
  <si>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</si>
  <si>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</si>
  <si>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</si>
  <si>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</si>
  <si>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</si>
  <si>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</si>
  <si>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</si>
  <si>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</si>
  <si>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</si>
  <si>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</si>
  <si>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</si>
  <si>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</si>
  <si>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</si>
  <si>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</si>
  <si>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</si>
  <si>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</si>
  <si>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</si>
  <si>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</si>
  <si>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</si>
  <si>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</si>
  <si>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</si>
  <si>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</si>
  <si>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</si>
  <si>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</si>
  <si>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</si>
  <si>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</si>
  <si>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</si>
  <si>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</si>
  <si>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</si>
  <si>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</si>
  <si>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</si>
  <si>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</si>
  <si>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</si>
  <si>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</si>
  <si>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</si>
  <si>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</si>
  <si>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</si>
  <si>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</si>
  <si>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</si>
  <si>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</si>
  <si>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</si>
  <si>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</si>
  <si>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</si>
  <si>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</si>
  <si>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</si>
  <si>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</si>
  <si>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</si>
  <si>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</si>
  <si>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</si>
  <si>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</si>
  <si>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</si>
  <si>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</si>
  <si>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</si>
  <si>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</si>
  <si>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</si>
  <si>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</si>
  <si>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</si>
  <si>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</si>
  <si>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</si>
  <si>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</si>
  <si>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</si>
  <si>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</si>
  <si>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</si>
  <si>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</si>
  <si>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</si>
  <si>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</si>
  <si>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</si>
  <si>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</si>
  <si>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</si>
  <si>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</si>
  <si>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</si>
  <si>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</si>
  <si>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</si>
  <si>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</si>
  <si>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</si>
  <si>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</si>
  <si>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</si>
  <si>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</si>
  <si>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</si>
  <si>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</si>
  <si>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</si>
  <si>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</si>
  <si>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</si>
  <si>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</si>
  <si>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</si>
  <si>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</si>
  <si>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</si>
  <si>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</si>
  <si>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</si>
  <si>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</si>
  <si>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</si>
  <si>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</si>
  <si>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</si>
  <si>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</si>
  <si>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</si>
  <si>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</si>
  <si>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</si>
  <si>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</si>
  <si>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</si>
  <si>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</si>
  <si>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</si>
  <si>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</si>
  <si>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</si>
  <si>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</si>
  <si>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</si>
  <si>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</si>
  <si>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</si>
  <si>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</si>
  <si>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</si>
  <si>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</si>
  <si>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</si>
  <si>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</si>
  <si>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</si>
  <si>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</si>
  <si>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</si>
  <si>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</si>
  <si>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</si>
  <si>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</si>
  <si>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</si>
  <si>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</si>
  <si>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</si>
  <si>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</si>
  <si>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</si>
  <si>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</si>
  <si>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</si>
  <si>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</si>
  <si>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</si>
  <si>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</si>
  <si>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</si>
  <si>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</si>
  <si>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</si>
  <si>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</si>
  <si>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</si>
  <si>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</si>
  <si>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</si>
  <si>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</si>
  <si>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</si>
  <si>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</si>
  <si>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</si>
  <si>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</si>
  <si>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</si>
  <si>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</si>
  <si>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</si>
  <si>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</si>
  <si>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</si>
  <si>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</si>
  <si>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</si>
  <si>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</si>
  <si>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</si>
  <si>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</si>
  <si>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</si>
  <si>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</si>
  <si>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</si>
  <si>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</si>
  <si>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</si>
  <si>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</si>
  <si>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</si>
  <si>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</si>
  <si>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</si>
  <si>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</si>
  <si>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</si>
  <si>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</si>
  <si>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</si>
  <si>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</si>
  <si>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</si>
  <si>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</si>
  <si>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</si>
  <si>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</si>
  <si>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</si>
  <si>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</si>
  <si>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</si>
  <si>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</si>
  <si>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</si>
  <si>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</si>
  <si>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</si>
  <si>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</si>
  <si>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</si>
  <si>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</si>
  <si>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</si>
  <si>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</si>
  <si>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</si>
  <si>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</si>
  <si>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</si>
  <si>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</si>
  <si>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</si>
  <si>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</si>
  <si>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</si>
  <si>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</si>
  <si>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</si>
  <si>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</si>
  <si>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</si>
  <si>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</si>
  <si>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</si>
  <si>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</si>
  <si>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</si>
  <si>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</si>
  <si>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</si>
  <si>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</si>
  <si>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</si>
  <si>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</si>
  <si>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</si>
  <si>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</si>
  <si>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</si>
  <si>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</si>
  <si>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</si>
  <si>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</si>
  <si>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</si>
  <si>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</si>
  <si>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</si>
  <si>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</si>
  <si>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</si>
  <si>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</si>
  <si>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</si>
  <si>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</si>
  <si>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</si>
  <si>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</si>
  <si>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</si>
  <si>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</si>
  <si>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</si>
  <si>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</si>
  <si>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</si>
  <si>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</si>
  <si>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</si>
  <si>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</si>
  <si>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</si>
  <si>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</si>
  <si>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</si>
  <si>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</si>
  <si>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</si>
  <si>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</si>
  <si>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</si>
  <si>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</si>
  <si>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</si>
  <si>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</si>
  <si>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</si>
  <si>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</si>
  <si>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</si>
  <si>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</si>
  <si>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</si>
  <si>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</si>
  <si>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</si>
  <si>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</si>
  <si>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</si>
  <si>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</si>
  <si>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</si>
  <si>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</si>
  <si>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</si>
  <si>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</si>
  <si>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</si>
  <si>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</si>
  <si>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</si>
  <si>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</si>
  <si>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</si>
  <si>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</si>
  <si>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</si>
  <si>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</si>
  <si>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</si>
  <si>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</si>
  <si>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</si>
  <si>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</si>
  <si>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</si>
  <si>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</si>
  <si>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</si>
  <si>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</si>
  <si>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</si>
  <si>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</si>
  <si>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</si>
  <si>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</si>
  <si>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</si>
  <si>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</si>
  <si>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</si>
  <si>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</si>
  <si>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</si>
  <si>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</si>
  <si>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</si>
  <si>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</si>
  <si>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</si>
  <si>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</si>
  <si>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</si>
  <si>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</si>
  <si>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</si>
  <si>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</si>
  <si>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</si>
  <si>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</si>
  <si>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</si>
  <si>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</si>
  <si>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</si>
  <si>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</si>
  <si>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</si>
  <si>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</si>
  <si>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</si>
  <si>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</si>
  <si>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</si>
  <si>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</si>
  <si>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</si>
  <si>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</si>
  <si>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</si>
  <si>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</si>
  <si>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</si>
  <si>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</si>
  <si>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</si>
  <si>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</si>
  <si>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</si>
  <si>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</si>
  <si>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</si>
  <si>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</si>
  <si>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</si>
  <si>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</si>
  <si>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</si>
  <si>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</si>
  <si>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</si>
  <si>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</si>
  <si>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</si>
  <si>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</si>
  <si>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</si>
  <si>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</si>
  <si>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</si>
  <si>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</si>
  <si>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</si>
  <si>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</si>
  <si>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</si>
  <si>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</si>
  <si>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</si>
  <si>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</si>
  <si>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</si>
  <si>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</si>
  <si>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</si>
  <si>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</si>
  <si>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</si>
  <si>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</si>
  <si>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</si>
  <si>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</si>
  <si>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</si>
  <si>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</si>
  <si>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</si>
  <si>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</si>
  <si>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</si>
  <si>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</si>
  <si>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</si>
  <si>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</si>
  <si>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</si>
  <si>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</si>
  <si>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</si>
  <si>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</si>
  <si>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</si>
  <si>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</si>
  <si>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</si>
  <si>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</si>
  <si>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</si>
  <si>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</si>
  <si>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</si>
  <si>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</si>
  <si>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</si>
  <si>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</si>
  <si>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</si>
  <si>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</si>
  <si>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</si>
  <si>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</si>
  <si>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</si>
  <si>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</si>
  <si>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</si>
  <si>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</si>
  <si>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</si>
  <si>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</si>
  <si>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</si>
  <si>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</si>
  <si>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</si>
  <si>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</si>
  <si>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</si>
  <si>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</si>
  <si>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</si>
  <si>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</si>
  <si>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</si>
  <si>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</si>
  <si>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</si>
  <si>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</si>
  <si>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</si>
  <si>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</si>
  <si>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</si>
  <si>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</si>
  <si>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</si>
  <si>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</si>
  <si>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</si>
  <si>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</si>
  <si>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</si>
  <si>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</si>
  <si>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</si>
  <si>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</si>
  <si>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</si>
  <si>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</si>
  <si>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</si>
  <si>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</si>
  <si>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</si>
  <si>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</si>
  <si>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</si>
  <si>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</si>
  <si>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</si>
  <si>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</si>
  <si>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</si>
  <si>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</si>
  <si>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</si>
  <si>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</si>
  <si>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</si>
  <si>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</si>
  <si>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</si>
  <si>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</si>
  <si>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</si>
  <si>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</si>
  <si>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</si>
  <si>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</si>
  <si>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</si>
  <si>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</si>
  <si>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</si>
  <si>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</si>
  <si>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</si>
  <si>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</si>
  <si>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</si>
  <si>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</si>
  <si>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</si>
  <si>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</si>
  <si>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</si>
  <si>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</si>
  <si>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</si>
  <si>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</si>
  <si>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</si>
  <si>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</si>
  <si>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</si>
  <si>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</si>
  <si>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</si>
  <si>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</si>
  <si>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</si>
  <si>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</si>
  <si>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</si>
  <si>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</si>
  <si>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</si>
  <si>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</si>
  <si>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</si>
  <si>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</si>
  <si>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</si>
  <si>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</si>
  <si>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</si>
  <si>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</si>
  <si>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</si>
  <si>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</si>
  <si>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</si>
  <si>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</si>
  <si>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</si>
  <si>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</si>
  <si>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</si>
  <si>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</si>
  <si>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</si>
  <si>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</si>
  <si>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</si>
  <si>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</si>
  <si>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</si>
  <si>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</si>
  <si>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</si>
  <si>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</si>
  <si>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</si>
  <si>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</si>
  <si>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</si>
  <si>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</si>
  <si>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</si>
  <si>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</si>
  <si>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</si>
  <si>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</si>
  <si>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</si>
  <si>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</si>
  <si>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</si>
  <si>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</si>
  <si>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</si>
  <si>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</si>
  <si>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</si>
  <si>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</si>
  <si>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</si>
  <si>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</si>
  <si>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</si>
  <si>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</si>
  <si>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</si>
  <si>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</si>
  <si>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</si>
  <si>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</si>
  <si>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</si>
  <si>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</si>
  <si>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</si>
  <si>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</si>
  <si>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</si>
  <si>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</si>
  <si>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</si>
  <si>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</si>
  <si>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</si>
  <si>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</si>
  <si>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</si>
  <si>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</si>
  <si>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</si>
  <si>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</si>
  <si>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</si>
  <si>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</si>
  <si>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</si>
  <si>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</si>
  <si>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</si>
  <si>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</si>
  <si>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</si>
  <si>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</si>
  <si>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</si>
  <si>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</si>
  <si>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</si>
  <si>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</si>
  <si>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</si>
  <si>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</si>
  <si>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</si>
  <si>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</si>
  <si>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</si>
  <si>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</si>
  <si>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</si>
  <si>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</si>
  <si>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</si>
  <si>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</si>
  <si>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</si>
  <si>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</si>
  <si>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</si>
  <si>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</si>
  <si>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</si>
  <si>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</si>
  <si>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</si>
  <si>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</si>
  <si>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</si>
  <si>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</si>
  <si>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</si>
  <si>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</si>
  <si>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</si>
  <si>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</si>
  <si>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</si>
  <si>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</si>
  <si>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</si>
  <si>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</si>
  <si>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</si>
  <si>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</si>
  <si>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</si>
  <si>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</si>
  <si>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</si>
  <si>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</si>
  <si>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</si>
  <si>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</si>
  <si>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</si>
  <si>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</si>
  <si>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</si>
  <si>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</si>
  <si>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</si>
  <si>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</si>
  <si>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</si>
  <si>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</si>
  <si>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</si>
  <si>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</si>
  <si>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</si>
  <si>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</si>
  <si>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</si>
  <si>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</si>
  <si>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</si>
  <si>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</si>
  <si>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</si>
  <si>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</si>
  <si>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</si>
  <si>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</si>
  <si>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</si>
  <si>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</si>
  <si>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</si>
  <si>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</si>
  <si>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</si>
  <si>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</si>
  <si>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</si>
  <si>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</si>
  <si>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</si>
  <si>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</si>
  <si>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</si>
  <si>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</si>
  <si>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</si>
  <si>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</si>
  <si>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</si>
  <si>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</si>
  <si>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</si>
  <si>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</si>
  <si>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</si>
  <si>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</si>
  <si>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</si>
  <si>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</si>
  <si>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</si>
  <si>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</si>
  <si>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</si>
  <si>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</si>
  <si>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</si>
  <si>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</si>
  <si>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</si>
  <si>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</si>
  <si>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</si>
  <si>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</si>
  <si>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</si>
  <si>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</si>
  <si>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</si>
  <si>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</si>
  <si>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</si>
  <si>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</si>
  <si>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</si>
  <si>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</si>
  <si>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</si>
  <si>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</si>
  <si>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</si>
  <si>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</si>
  <si>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</si>
  <si>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</si>
  <si>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</si>
  <si>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</si>
  <si>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</si>
  <si>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</si>
  <si>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</si>
  <si>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</si>
  <si>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</si>
  <si>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</si>
  <si>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</si>
  <si>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</si>
  <si>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</si>
  <si>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</si>
  <si>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</si>
  <si>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</si>
  <si>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</si>
  <si>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</si>
  <si>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</si>
  <si>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</si>
  <si>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</si>
  <si>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</si>
  <si>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</si>
  <si>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</si>
  <si>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</si>
  <si>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</si>
  <si>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</si>
  <si>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</si>
  <si>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</si>
  <si>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</si>
  <si>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</si>
  <si>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</si>
  <si>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</si>
  <si>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</si>
  <si>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</si>
  <si>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</si>
  <si>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</si>
  <si>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</si>
  <si>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</si>
  <si>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</si>
  <si>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</si>
  <si>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</si>
  <si>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</si>
  <si>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</si>
  <si>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</si>
  <si>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</si>
  <si>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</si>
  <si>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</si>
  <si>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</si>
  <si>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</si>
  <si>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</si>
  <si>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</si>
  <si>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</si>
  <si>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</si>
  <si>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</si>
  <si>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</si>
  <si>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</si>
  <si>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</si>
  <si>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</si>
  <si>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</si>
  <si>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</si>
  <si>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</si>
  <si>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</si>
  <si>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</si>
  <si>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</si>
  <si>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</si>
  <si>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</si>
  <si>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</si>
  <si>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</si>
  <si>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</si>
  <si>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</si>
  <si>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</si>
  <si>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</si>
  <si>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</si>
  <si>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</si>
  <si>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</si>
  <si>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</si>
  <si>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</si>
  <si>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</si>
  <si>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</si>
  <si>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</si>
  <si>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</si>
  <si>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</si>
  <si>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</si>
  <si>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</si>
  <si>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</si>
  <si>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</si>
  <si>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</si>
  <si>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</si>
  <si>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</si>
  <si>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</si>
  <si>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</si>
  <si>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</si>
  <si>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</si>
  <si>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</si>
  <si>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</si>
  <si>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</si>
  <si>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</si>
  <si>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</si>
  <si>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</si>
  <si>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</si>
  <si>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</si>
  <si>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</si>
  <si>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</si>
  <si>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</si>
  <si>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</si>
  <si>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</si>
  <si>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</si>
  <si>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</si>
  <si>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</si>
  <si>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</si>
  <si>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</si>
  <si>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</si>
  <si>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</si>
  <si>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</si>
  <si>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</si>
  <si>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</si>
  <si>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</si>
  <si>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</si>
  <si>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</si>
  <si>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</si>
  <si>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</si>
  <si>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</si>
  <si>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</si>
  <si>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</si>
  <si>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</si>
  <si>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</si>
  <si>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</si>
  <si>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</si>
  <si>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</si>
  <si>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</si>
  <si>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</si>
  <si>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</si>
  <si>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</si>
  <si>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</si>
  <si>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</si>
  <si>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</si>
  <si>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</si>
  <si>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</si>
  <si>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</si>
  <si>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</si>
  <si>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</si>
  <si>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</si>
  <si>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</si>
  <si>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</si>
  <si>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</si>
  <si>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</si>
  <si>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</si>
  <si>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</si>
  <si>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</si>
  <si>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</si>
  <si>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</si>
  <si>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</si>
  <si>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</si>
  <si>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</si>
  <si>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</si>
  <si>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</si>
  <si>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</si>
  <si>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</si>
  <si>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</si>
  <si>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</si>
  <si>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</si>
  <si>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</si>
  <si>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</si>
  <si>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</si>
  <si>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</si>
  <si>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</si>
  <si>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</si>
  <si>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</si>
  <si>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</si>
  <si>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</si>
  <si>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</si>
  <si>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</si>
  <si>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</si>
  <si>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</si>
  <si>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</si>
  <si>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</si>
  <si>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</si>
  <si>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</si>
  <si>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</si>
  <si>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</si>
  <si>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</si>
  <si>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</si>
  <si>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</si>
  <si>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</si>
  <si>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</si>
  <si>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</si>
  <si>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</si>
  <si>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</si>
  <si>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</si>
  <si>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</si>
  <si>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</si>
  <si>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</si>
  <si>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</si>
  <si>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</si>
  <si>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</si>
  <si>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</si>
  <si>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</si>
  <si>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</si>
  <si>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</si>
  <si>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</si>
  <si>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</si>
  <si>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</si>
  <si>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</si>
  <si>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</si>
  <si>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</si>
  <si>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</si>
  <si>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</si>
  <si>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</si>
  <si>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</si>
  <si>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</si>
  <si>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</si>
  <si>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</si>
  <si>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</si>
  <si>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</si>
  <si>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</si>
  <si>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</si>
  <si>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</si>
  <si>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</si>
  <si>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</si>
  <si>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</si>
  <si>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</si>
  <si>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</si>
  <si>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</si>
  <si>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</si>
  <si>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</si>
  <si>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</si>
  <si>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</si>
  <si>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</si>
  <si>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</si>
  <si>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</si>
  <si>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</si>
  <si>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</si>
  <si>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</si>
  <si>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</si>
  <si>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</si>
  <si>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</si>
  <si>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</si>
  <si>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</si>
  <si>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</si>
  <si>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</si>
  <si>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</si>
  <si>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</si>
  <si>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</si>
  <si>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</si>
  <si>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</si>
  <si>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</si>
  <si>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</si>
  <si>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</si>
  <si>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</si>
  <si>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</si>
  <si>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</si>
  <si>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</si>
  <si>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</si>
  <si>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</si>
  <si>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</si>
  <si>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</si>
  <si>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</si>
  <si>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</si>
  <si>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</si>
  <si>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</si>
  <si>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</si>
  <si>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</si>
  <si>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</si>
  <si>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</si>
  <si>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</si>
  <si>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</si>
  <si>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</si>
  <si>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</si>
  <si>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</si>
  <si>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</si>
  <si>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</si>
  <si>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</si>
  <si>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</si>
  <si>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</si>
  <si>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</si>
  <si>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</si>
  <si>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</si>
  <si>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</si>
  <si>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</si>
  <si>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</si>
  <si>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</si>
  <si>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</si>
  <si>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</si>
  <si>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</si>
  <si>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</si>
  <si>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</si>
  <si>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</si>
  <si>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</si>
  <si>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</si>
  <si>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</si>
  <si>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</si>
  <si>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</si>
  <si>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</si>
  <si>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</si>
  <si>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</si>
  <si>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</si>
  <si>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</si>
  <si>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</si>
  <si>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</si>
  <si>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</si>
  <si>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</si>
  <si>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</si>
  <si>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</si>
  <si>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</si>
  <si>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</si>
  <si>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</si>
  <si>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</si>
  <si>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</si>
  <si>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</si>
  <si>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</si>
  <si>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</si>
  <si>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</si>
  <si>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</si>
  <si>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</si>
  <si>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</si>
  <si>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</si>
  <si>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</si>
  <si>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</si>
  <si>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</si>
  <si>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</si>
  <si>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</si>
  <si>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</si>
  <si>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</si>
  <si>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</si>
  <si>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</si>
  <si>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</si>
  <si>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</si>
  <si>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</si>
  <si>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</si>
  <si>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</si>
  <si>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</si>
  <si>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</si>
  <si>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</si>
  <si>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</si>
  <si>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</si>
  <si>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</si>
  <si>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</si>
  <si>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</si>
  <si>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</si>
  <si>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</si>
  <si>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</si>
  <si>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</si>
  <si>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</si>
  <si>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</si>
  <si>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</si>
  <si>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</si>
  <si>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</si>
  <si>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</si>
  <si>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</si>
  <si>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</si>
  <si>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</si>
  <si>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</si>
  <si>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</si>
  <si>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</si>
  <si>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</si>
  <si>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</si>
  <si>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</si>
  <si>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</si>
  <si>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</si>
  <si>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</si>
  <si>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</si>
  <si>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</si>
  <si>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</si>
  <si>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</si>
  <si>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</si>
  <si>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</si>
  <si>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</si>
  <si>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</si>
  <si>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</si>
  <si>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</si>
  <si>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</si>
  <si>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</si>
  <si>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</si>
  <si>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</si>
  <si>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</si>
  <si>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</si>
  <si>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</si>
  <si>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</si>
  <si>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</si>
  <si>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</si>
  <si>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</si>
  <si>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</si>
  <si>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</si>
  <si>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</si>
  <si>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</si>
  <si>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</si>
  <si>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</si>
  <si>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</si>
  <si>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</si>
  <si>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</si>
  <si>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</si>
  <si>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</si>
  <si>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</si>
  <si>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</si>
  <si>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</si>
  <si>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</si>
  <si>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</si>
  <si>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</si>
  <si>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</si>
  <si>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</si>
  <si>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</si>
  <si>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</si>
  <si>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</si>
  <si>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</si>
  <si>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</si>
  <si>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</si>
  <si>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</si>
  <si>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</si>
  <si>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</si>
  <si>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</si>
  <si>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</si>
  <si>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</si>
  <si>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</si>
  <si>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</si>
  <si>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</si>
  <si>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</si>
  <si>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</si>
  <si>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</si>
  <si>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</si>
  <si>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</si>
  <si>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</si>
  <si>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</si>
  <si>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</si>
  <si>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</si>
  <si>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</si>
  <si>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</si>
  <si>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</si>
  <si>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</si>
  <si>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</si>
  <si>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</si>
  <si>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</si>
  <si>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</si>
  <si>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</si>
  <si>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</si>
  <si>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</si>
  <si>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</si>
  <si>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</si>
  <si>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</si>
  <si>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</si>
  <si>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</si>
  <si>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</si>
  <si>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</si>
  <si>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</si>
  <si>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</si>
  <si>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</si>
  <si>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</si>
  <si>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</si>
  <si>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</si>
  <si>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</si>
  <si>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</si>
  <si>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</si>
  <si>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</si>
  <si>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</si>
  <si>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</si>
  <si>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</si>
  <si>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</si>
  <si>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</si>
  <si>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</si>
  <si>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</si>
  <si>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</si>
  <si>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</si>
  <si>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</si>
  <si>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</si>
  <si>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</si>
  <si>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</si>
  <si>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</si>
  <si>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</si>
  <si>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</si>
  <si>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</si>
  <si>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</si>
  <si>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</si>
  <si>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</si>
  <si>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</si>
  <si>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</si>
  <si>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</si>
  <si>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</si>
  <si>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</si>
  <si>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</si>
  <si>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</si>
  <si>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</si>
  <si>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</si>
  <si>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</si>
  <si>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</si>
  <si>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</si>
  <si>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</si>
  <si>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</si>
  <si>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</si>
  <si>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</si>
  <si>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</si>
  <si>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</si>
  <si>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</si>
  <si>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</si>
  <si>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</si>
  <si>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</si>
  <si>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</si>
  <si>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</si>
  <si>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</si>
  <si>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</si>
  <si>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</si>
  <si>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</si>
  <si>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</si>
  <si>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</si>
  <si>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</si>
  <si>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</si>
  <si>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</si>
  <si>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</si>
  <si>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</si>
  <si>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</si>
  <si>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</si>
  <si>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</si>
  <si>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</si>
  <si>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</si>
  <si>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</si>
  <si>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</si>
  <si>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</si>
  <si>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</si>
  <si>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</si>
  <si>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</si>
  <si>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</si>
  <si>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</si>
  <si>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</si>
  <si>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</si>
  <si>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</si>
  <si>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</si>
  <si>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</si>
  <si>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</si>
  <si>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</si>
  <si>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</si>
  <si>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</si>
  <si>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</si>
  <si>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</si>
  <si>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</si>
  <si>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</si>
  <si>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</si>
  <si>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</si>
  <si>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</si>
  <si>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</si>
  <si>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</si>
  <si>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</si>
  <si>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</si>
  <si>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</si>
  <si>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</si>
  <si>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</si>
  <si>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</si>
  <si>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</si>
  <si>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</si>
  <si>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</si>
  <si>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</si>
  <si>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</si>
  <si>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</si>
  <si>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</si>
  <si>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</si>
  <si>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</si>
  <si>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</si>
  <si>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</si>
  <si>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</si>
  <si>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</si>
  <si>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</si>
  <si>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</si>
  <si>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</si>
  <si>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</si>
  <si>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</si>
  <si>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</si>
  <si>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</si>
  <si>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</si>
  <si>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</si>
  <si>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</si>
  <si>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</si>
  <si>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</si>
  <si>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</si>
  <si>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</si>
  <si>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</si>
  <si>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</si>
  <si>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</si>
  <si>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</si>
  <si>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</si>
  <si>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</si>
  <si>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</si>
  <si>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</si>
  <si>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</si>
  <si>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</si>
  <si>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</si>
  <si>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</si>
  <si>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</si>
  <si>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</si>
  <si>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</si>
  <si>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</si>
  <si>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</si>
  <si>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</si>
  <si>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</si>
  <si>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</si>
  <si>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</si>
  <si>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</si>
  <si>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</si>
  <si>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</si>
  <si>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</si>
  <si>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</si>
  <si>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</si>
  <si>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</si>
  <si>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</si>
  <si>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</si>
  <si>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</si>
  <si>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</si>
  <si>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</si>
  <si>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</si>
  <si>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</si>
  <si>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</si>
  <si>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</si>
  <si>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</si>
  <si>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</si>
  <si>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</si>
  <si>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</si>
  <si>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</si>
  <si>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</si>
  <si>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</si>
  <si>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</si>
  <si>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152</t>
  </si>
  <si>
    <t>Public Hospital District No 1 of Mason County, WA, DBA Mason Health</t>
  </si>
  <si>
    <t>901 Mountain View Drive, PO Box 1668</t>
  </si>
  <si>
    <t>Shelton</t>
  </si>
  <si>
    <t>WA</t>
  </si>
  <si>
    <t>Mason</t>
  </si>
  <si>
    <t>Eric Moll</t>
  </si>
  <si>
    <t>Rick Smith, CFO</t>
  </si>
  <si>
    <t>Darrin Moody</t>
  </si>
  <si>
    <t>360-432-7721</t>
  </si>
  <si>
    <t>360-427-1921</t>
  </si>
  <si>
    <t>12/31/2022</t>
  </si>
  <si>
    <t>Steve Leslie</t>
  </si>
  <si>
    <t>Darren Moody</t>
  </si>
  <si>
    <t>Kristi Bratton</t>
  </si>
  <si>
    <t>kbratton@masongeneral.com</t>
  </si>
  <si>
    <t xml:space="preserve">Less covid inpatients resulting in lower length of stay in ICU. </t>
  </si>
  <si>
    <t>Nuclear medicine department in 2022 was not staffed for a majority of the year.</t>
  </si>
  <si>
    <t>Less intensive respiratory cases coupled with hard to fill staffing vacancies resulting in increased contract labor.</t>
  </si>
  <si>
    <t xml:space="preserve"> 6/30/2023</t>
  </si>
  <si>
    <t>Eric Moll - CEO</t>
  </si>
  <si>
    <t>Darrin Moody - Board Chair</t>
  </si>
  <si>
    <t>901 Mountain View Drive</t>
  </si>
  <si>
    <t>Shelton, WA  98584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</si>
</sst>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_(* #,##0_);_(* \(#,##0\);_(* &quot;-&quot;??_);_(@_)"/>
  </numFmts>
  <fonts count="5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</font>
  </fonts>
  <fills count="4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7">
    <xf numFmtId="37" fontId="0" fillId="0" borderId="0"/>
    <xf numFmtId="43" fontId="7" fillId="0" borderId="0"/>
    <xf numFmtId="0" fontId="8" fillId="0" borderId="0">
      <alignment vertical="top"/>
      <protection locked="0"/>
    </xf>
    <xf numFmtId="0" fontId="10" fillId="0" borderId="0"/>
    <xf numFmtId="9" fontId="7" fillId="0" borderId="0"/>
    <xf numFmtId="0" fontId="35" fillId="0" borderId="0" applyNumberFormat="0" applyFill="0" applyBorder="0" applyAlignment="0" applyProtection="0"/>
    <xf numFmtId="0" fontId="36" fillId="0" borderId="33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5" borderId="36" applyNumberFormat="0" applyAlignment="0" applyProtection="0"/>
    <xf numFmtId="0" fontId="43" fillId="16" borderId="37" applyNumberFormat="0" applyAlignment="0" applyProtection="0"/>
    <xf numFmtId="0" fontId="44" fillId="16" borderId="36" applyNumberFormat="0" applyAlignment="0" applyProtection="0"/>
    <xf numFmtId="0" fontId="45" fillId="0" borderId="38" applyNumberFormat="0" applyFill="0" applyAlignment="0" applyProtection="0"/>
    <xf numFmtId="0" fontId="46" fillId="17" borderId="39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0" borderId="41" applyNumberFormat="0" applyFill="0" applyAlignment="0" applyProtection="0"/>
    <xf numFmtId="0" fontId="49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9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9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9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9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49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37" fontId="50" fillId="43" borderId="0">
      <alignment horizontal="left" vertical="center"/>
    </xf>
    <xf numFmtId="43" fontId="3" fillId="0" borderId="0" applyFont="0" applyFill="0" applyBorder="0" applyAlignment="0" applyProtection="0"/>
    <xf numFmtId="0" fontId="51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18" borderId="4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</cellStyleXfs>
  <cellXfs count="348">
    <xf numFmtId="37" fontId="0" fillId="0" borderId="0" xfId="0"/>
    <xf numFmtId="37" fontId="9" fillId="0" borderId="0" xfId="0" applyFont="1"/>
    <xf numFmtId="37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37" fontId="9" fillId="0" borderId="0" xfId="0" applyFont="1" applyAlignment="1">
      <alignment horizontal="center"/>
    </xf>
    <xf numFmtId="37" fontId="9" fillId="0" borderId="0" xfId="0" quotePrefix="1" applyFont="1" applyAlignment="1">
      <alignment horizontal="center"/>
    </xf>
    <xf numFmtId="10" fontId="9" fillId="0" borderId="0" xfId="0" applyNumberFormat="1" applyFont="1"/>
    <xf numFmtId="49" fontId="9" fillId="0" borderId="0" xfId="0" quotePrefix="1" applyNumberFormat="1" applyFont="1"/>
    <xf numFmtId="37" fontId="11" fillId="0" borderId="0" xfId="0" applyFont="1" applyAlignment="1" applyProtection="1">
      <alignment horizontal="center"/>
      <protection locked="0"/>
    </xf>
    <xf numFmtId="37" fontId="12" fillId="0" borderId="0" xfId="0" applyFont="1"/>
    <xf numFmtId="37" fontId="13" fillId="0" borderId="0" xfId="0" applyFont="1" applyAlignment="1">
      <alignment horizontal="center"/>
    </xf>
    <xf numFmtId="37" fontId="14" fillId="0" borderId="0" xfId="0" applyFont="1"/>
    <xf numFmtId="37" fontId="13" fillId="0" borderId="0" xfId="0" applyFont="1"/>
    <xf numFmtId="37" fontId="15" fillId="0" borderId="0" xfId="0" applyFont="1"/>
    <xf numFmtId="37" fontId="15" fillId="0" borderId="0" xfId="0" applyFont="1" applyAlignment="1">
      <alignment horizontal="center"/>
    </xf>
    <xf numFmtId="41" fontId="13" fillId="0" borderId="0" xfId="1" applyNumberFormat="1" applyFont="1"/>
    <xf numFmtId="37" fontId="13" fillId="0" borderId="0" xfId="0" applyFont="1" applyAlignment="1">
      <alignment horizontal="left"/>
    </xf>
    <xf numFmtId="38" fontId="13" fillId="0" borderId="0" xfId="0" applyNumberFormat="1" applyFont="1"/>
    <xf numFmtId="37" fontId="13" fillId="0" borderId="0" xfId="0" quotePrefix="1" applyFont="1" applyAlignment="1">
      <alignment horizontal="left"/>
    </xf>
    <xf numFmtId="37" fontId="16" fillId="0" borderId="0" xfId="2" applyNumberFormat="1" applyFont="1" applyAlignment="1" applyProtection="1"/>
    <xf numFmtId="37" fontId="13" fillId="3" borderId="0" xfId="0" applyFont="1" applyFill="1"/>
    <xf numFmtId="38" fontId="13" fillId="3" borderId="0" xfId="0" applyNumberFormat="1" applyFont="1" applyFill="1" applyAlignment="1">
      <alignment horizontal="center"/>
    </xf>
    <xf numFmtId="37" fontId="13" fillId="3" borderId="0" xfId="0" applyFont="1" applyFill="1" applyAlignment="1">
      <alignment horizontal="center"/>
    </xf>
    <xf numFmtId="37" fontId="13" fillId="3" borderId="0" xfId="0" quotePrefix="1" applyFont="1" applyFill="1" applyAlignment="1">
      <alignment horizontal="center"/>
    </xf>
    <xf numFmtId="37" fontId="17" fillId="0" borderId="1" xfId="0" quotePrefix="1" applyFont="1" applyBorder="1" applyProtection="1">
      <protection locked="0"/>
    </xf>
    <xf numFmtId="37" fontId="13" fillId="3" borderId="0" xfId="0" quotePrefix="1" applyFont="1" applyFill="1"/>
    <xf numFmtId="37" fontId="13" fillId="3" borderId="0" xfId="0" quotePrefix="1" applyFont="1" applyFill="1" applyAlignment="1">
      <alignment horizontal="left"/>
    </xf>
    <xf numFmtId="38" fontId="13" fillId="3" borderId="0" xfId="0" applyNumberFormat="1" applyFont="1" applyFill="1"/>
    <xf numFmtId="165" fontId="13" fillId="3" borderId="0" xfId="0" applyNumberFormat="1" applyFont="1" applyFill="1" applyAlignment="1">
      <alignment horizontal="center"/>
    </xf>
    <xf numFmtId="37" fontId="13" fillId="3" borderId="0" xfId="0" quotePrefix="1" applyFont="1" applyFill="1" applyAlignment="1">
      <alignment horizontal="fill"/>
    </xf>
    <xf numFmtId="37" fontId="17" fillId="0" borderId="1" xfId="1" quotePrefix="1" applyNumberFormat="1" applyFont="1" applyBorder="1" applyProtection="1">
      <protection locked="0"/>
    </xf>
    <xf numFmtId="37" fontId="17" fillId="0" borderId="1" xfId="1" applyNumberFormat="1" applyFont="1" applyBorder="1" applyProtection="1">
      <protection locked="0"/>
    </xf>
    <xf numFmtId="37" fontId="13" fillId="7" borderId="0" xfId="0" applyFont="1" applyFill="1"/>
    <xf numFmtId="37" fontId="13" fillId="7" borderId="0" xfId="0" quotePrefix="1" applyFont="1" applyFill="1" applyAlignment="1">
      <alignment horizontal="left" indent="1"/>
    </xf>
    <xf numFmtId="43" fontId="13" fillId="3" borderId="0" xfId="1" applyFont="1" applyFill="1"/>
    <xf numFmtId="37" fontId="17" fillId="4" borderId="1" xfId="0" quotePrefix="1" applyFont="1" applyFill="1" applyBorder="1" applyProtection="1">
      <protection locked="0"/>
    </xf>
    <xf numFmtId="37" fontId="13" fillId="3" borderId="0" xfId="1" quotePrefix="1" applyNumberFormat="1" applyFont="1" applyFill="1" applyAlignment="1">
      <alignment horizontal="fill"/>
    </xf>
    <xf numFmtId="39" fontId="13" fillId="3" borderId="0" xfId="0" applyNumberFormat="1" applyFont="1" applyFill="1"/>
    <xf numFmtId="37" fontId="13" fillId="3" borderId="0" xfId="0" applyFont="1" applyFill="1" applyAlignment="1">
      <alignment horizontal="centerContinuous"/>
    </xf>
    <xf numFmtId="37" fontId="13" fillId="7" borderId="0" xfId="0" quotePrefix="1" applyFont="1" applyFill="1" applyAlignment="1">
      <alignment horizontal="left"/>
    </xf>
    <xf numFmtId="37" fontId="13" fillId="7" borderId="0" xfId="0" applyFont="1" applyFill="1" applyAlignment="1">
      <alignment horizontal="right"/>
    </xf>
    <xf numFmtId="38" fontId="17" fillId="4" borderId="14" xfId="0" applyNumberFormat="1" applyFont="1" applyFill="1" applyBorder="1" applyProtection="1">
      <protection locked="0"/>
    </xf>
    <xf numFmtId="38" fontId="17" fillId="4" borderId="8" xfId="0" applyNumberFormat="1" applyFont="1" applyFill="1" applyBorder="1" applyProtection="1">
      <protection locked="0"/>
    </xf>
    <xf numFmtId="38" fontId="17" fillId="4" borderId="2" xfId="0" applyNumberFormat="1" applyFont="1" applyFill="1" applyBorder="1" applyProtection="1">
      <protection locked="0"/>
    </xf>
    <xf numFmtId="37" fontId="13" fillId="7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3" fillId="3" borderId="0" xfId="0" applyFont="1" applyFill="1" applyAlignment="1">
      <alignment horizontal="right"/>
    </xf>
    <xf numFmtId="38" fontId="17" fillId="4" borderId="1" xfId="0" applyNumberFormat="1" applyFont="1" applyFill="1" applyBorder="1" applyProtection="1">
      <protection locked="0"/>
    </xf>
    <xf numFmtId="38" fontId="13" fillId="3" borderId="0" xfId="0" applyNumberFormat="1" applyFont="1" applyFill="1" applyAlignment="1">
      <alignment horizontal="right"/>
    </xf>
    <xf numFmtId="37" fontId="13" fillId="3" borderId="0" xfId="0" quotePrefix="1" applyFont="1" applyFill="1" applyAlignment="1">
      <alignment horizontal="centerContinuous"/>
    </xf>
    <xf numFmtId="37" fontId="17" fillId="4" borderId="1" xfId="0" applyFont="1" applyFill="1" applyBorder="1" applyProtection="1">
      <protection locked="0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3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7" borderId="0" xfId="0" applyFont="1" applyFill="1" applyAlignment="1">
      <alignment horizontal="centerContinuous"/>
    </xf>
    <xf numFmtId="37" fontId="13" fillId="7" borderId="0" xfId="0" applyFont="1" applyFill="1" applyAlignment="1">
      <alignment horizontal="left" indent="1"/>
    </xf>
    <xf numFmtId="10" fontId="13" fillId="0" borderId="0" xfId="4" applyNumberFormat="1" applyFont="1"/>
    <xf numFmtId="37" fontId="13" fillId="7" borderId="0" xfId="0" applyFont="1" applyFill="1" applyAlignment="1">
      <alignment horizontal="left" indent="2"/>
    </xf>
    <xf numFmtId="37" fontId="13" fillId="7" borderId="0" xfId="0" quotePrefix="1" applyFont="1" applyFill="1" applyAlignment="1">
      <alignment horizontal="left" indent="2"/>
    </xf>
    <xf numFmtId="39" fontId="13" fillId="0" borderId="0" xfId="0" applyNumberFormat="1" applyFont="1"/>
    <xf numFmtId="10" fontId="13" fillId="0" borderId="0" xfId="0" applyNumberFormat="1" applyFont="1"/>
    <xf numFmtId="1" fontId="13" fillId="0" borderId="0" xfId="0" applyNumberFormat="1" applyFont="1" applyAlignment="1">
      <alignment horizontal="center"/>
    </xf>
    <xf numFmtId="37" fontId="13" fillId="0" borderId="0" xfId="0" applyFont="1" applyAlignment="1">
      <alignment horizontal="right"/>
    </xf>
    <xf numFmtId="37" fontId="18" fillId="0" borderId="0" xfId="0" applyFont="1"/>
    <xf numFmtId="37" fontId="11" fillId="0" borderId="0" xfId="0" applyFont="1" applyAlignment="1">
      <alignment horizontal="center"/>
    </xf>
    <xf numFmtId="37" fontId="13" fillId="0" borderId="0" xfId="0" quotePrefix="1" applyFont="1"/>
    <xf numFmtId="37" fontId="14" fillId="0" borderId="0" xfId="0" quotePrefix="1" applyFont="1" applyAlignment="1">
      <alignment horizontal="left"/>
    </xf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9" fillId="0" borderId="0" xfId="0" quotePrefix="1" applyFont="1" applyAlignment="1">
      <alignment horizontal="right"/>
    </xf>
    <xf numFmtId="37" fontId="9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9" fillId="0" borderId="6" xfId="0" applyFont="1" applyBorder="1"/>
    <xf numFmtId="37" fontId="9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9" fillId="0" borderId="13" xfId="0" applyFont="1" applyBorder="1"/>
    <xf numFmtId="37" fontId="9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9" fillId="0" borderId="4" xfId="0" applyFont="1" applyBorder="1"/>
    <xf numFmtId="37" fontId="23" fillId="0" borderId="8" xfId="0" quotePrefix="1" applyFont="1" applyBorder="1" applyAlignment="1">
      <alignment horizontal="left"/>
    </xf>
    <xf numFmtId="37" fontId="9" fillId="0" borderId="2" xfId="0" applyFont="1" applyBorder="1"/>
    <xf numFmtId="37" fontId="9" fillId="0" borderId="3" xfId="0" applyFont="1" applyBorder="1"/>
    <xf numFmtId="37" fontId="23" fillId="0" borderId="0" xfId="0" applyFont="1" applyAlignment="1">
      <alignment horizontal="left"/>
    </xf>
    <xf numFmtId="37" fontId="9" fillId="2" borderId="0" xfId="0" applyFont="1" applyFill="1"/>
    <xf numFmtId="37" fontId="9" fillId="2" borderId="4" xfId="0" applyFont="1" applyFill="1" applyBorder="1"/>
    <xf numFmtId="37" fontId="9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9" fillId="2" borderId="12" xfId="0" applyFont="1" applyFill="1" applyBorder="1"/>
    <xf numFmtId="37" fontId="9" fillId="2" borderId="10" xfId="0" applyFont="1" applyFill="1" applyBorder="1"/>
    <xf numFmtId="37" fontId="13" fillId="0" borderId="0" xfId="0" quotePrefix="1" applyFont="1" applyAlignment="1">
      <alignment horizontal="right"/>
    </xf>
    <xf numFmtId="37" fontId="13" fillId="0" borderId="16" xfId="0" applyFont="1" applyBorder="1"/>
    <xf numFmtId="37" fontId="13" fillId="0" borderId="17" xfId="0" applyFont="1" applyBorder="1"/>
    <xf numFmtId="37" fontId="13" fillId="0" borderId="18" xfId="0" applyFont="1" applyBorder="1"/>
    <xf numFmtId="37" fontId="13" fillId="0" borderId="19" xfId="0" applyFont="1" applyBorder="1"/>
    <xf numFmtId="37" fontId="13" fillId="0" borderId="20" xfId="0" applyFont="1" applyBorder="1"/>
    <xf numFmtId="37" fontId="13" fillId="0" borderId="21" xfId="0" applyFont="1" applyBorder="1"/>
    <xf numFmtId="37" fontId="13" fillId="0" borderId="22" xfId="0" applyFont="1" applyBorder="1"/>
    <xf numFmtId="37" fontId="13" fillId="0" borderId="23" xfId="0" applyFont="1" applyBorder="1"/>
    <xf numFmtId="37" fontId="13" fillId="0" borderId="17" xfId="0" applyFont="1" applyBorder="1" applyAlignment="1">
      <alignment horizontal="center"/>
    </xf>
    <xf numFmtId="37" fontId="13" fillId="0" borderId="17" xfId="0" applyFont="1" applyBorder="1" applyAlignment="1">
      <alignment horizontal="right"/>
    </xf>
    <xf numFmtId="37" fontId="13" fillId="0" borderId="24" xfId="0" applyFont="1" applyBorder="1"/>
    <xf numFmtId="37" fontId="13" fillId="0" borderId="8" xfId="0" applyFont="1" applyBorder="1"/>
    <xf numFmtId="37" fontId="13" fillId="0" borderId="8" xfId="0" applyFont="1" applyBorder="1" applyAlignment="1">
      <alignment horizontal="center"/>
    </xf>
    <xf numFmtId="37" fontId="13" fillId="0" borderId="25" xfId="0" applyFont="1" applyBorder="1"/>
    <xf numFmtId="37" fontId="13" fillId="0" borderId="26" xfId="0" applyFont="1" applyBorder="1"/>
    <xf numFmtId="37" fontId="13" fillId="0" borderId="6" xfId="0" applyFont="1" applyBorder="1"/>
    <xf numFmtId="37" fontId="13" fillId="0" borderId="27" xfId="0" applyFont="1" applyBorder="1"/>
    <xf numFmtId="37" fontId="13" fillId="0" borderId="28" xfId="0" quotePrefix="1" applyFont="1" applyBorder="1" applyAlignment="1">
      <alignment horizontal="left"/>
    </xf>
    <xf numFmtId="37" fontId="13" fillId="0" borderId="12" xfId="0" applyFont="1" applyBorder="1"/>
    <xf numFmtId="37" fontId="13" fillId="0" borderId="29" xfId="0" applyFont="1" applyBorder="1"/>
    <xf numFmtId="37" fontId="13" fillId="0" borderId="28" xfId="0" applyFont="1" applyBorder="1" applyAlignment="1">
      <alignment horizontal="center"/>
    </xf>
    <xf numFmtId="37" fontId="13" fillId="0" borderId="30" xfId="0" applyFont="1" applyBorder="1"/>
    <xf numFmtId="37" fontId="13" fillId="0" borderId="31" xfId="0" applyFont="1" applyBorder="1"/>
    <xf numFmtId="37" fontId="13" fillId="0" borderId="31" xfId="0" applyFont="1" applyBorder="1" applyAlignment="1">
      <alignment horizontal="center"/>
    </xf>
    <xf numFmtId="37" fontId="13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9" fillId="0" borderId="6" xfId="0" applyFont="1" applyBorder="1" applyAlignment="1">
      <alignment horizontal="centerContinuous"/>
    </xf>
    <xf numFmtId="37" fontId="9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9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9" fillId="0" borderId="12" xfId="0" applyFont="1" applyBorder="1"/>
    <xf numFmtId="37" fontId="9" fillId="0" borderId="7" xfId="0" applyFont="1" applyBorder="1"/>
    <xf numFmtId="37" fontId="9" fillId="0" borderId="15" xfId="0" applyFont="1" applyBorder="1"/>
    <xf numFmtId="37" fontId="23" fillId="0" borderId="12" xfId="0" quotePrefix="1" applyFont="1" applyBorder="1" applyAlignment="1">
      <alignment horizontal="left"/>
    </xf>
    <xf numFmtId="37" fontId="9" fillId="0" borderId="12" xfId="0" quotePrefix="1" applyFont="1" applyBorder="1"/>
    <xf numFmtId="37" fontId="9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9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9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9" fillId="0" borderId="14" xfId="0" applyFont="1" applyBorder="1"/>
    <xf numFmtId="37" fontId="24" fillId="0" borderId="0" xfId="0" applyFont="1" applyAlignment="1">
      <alignment horizontal="centerContinuous"/>
    </xf>
    <xf numFmtId="37" fontId="13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6" fillId="0" borderId="2" xfId="0" applyFont="1" applyBorder="1"/>
    <xf numFmtId="37" fontId="6" fillId="0" borderId="2" xfId="0" quotePrefix="1" applyFont="1" applyBorder="1"/>
    <xf numFmtId="37" fontId="6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3" fillId="0" borderId="14" xfId="0" applyFont="1" applyBorder="1"/>
    <xf numFmtId="37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right"/>
    </xf>
    <xf numFmtId="37" fontId="25" fillId="0" borderId="1" xfId="0" quotePrefix="1" applyFont="1" applyBorder="1" applyProtection="1">
      <protection locked="0"/>
    </xf>
    <xf numFmtId="37" fontId="25" fillId="0" borderId="1" xfId="1" quotePrefix="1" applyNumberFormat="1" applyFont="1" applyBorder="1" applyProtection="1">
      <protection locked="0"/>
    </xf>
    <xf numFmtId="37" fontId="25" fillId="0" borderId="1" xfId="0" applyFont="1" applyBorder="1" applyProtection="1">
      <protection locked="0"/>
    </xf>
    <xf numFmtId="38" fontId="25" fillId="4" borderId="1" xfId="0" applyNumberFormat="1" applyFont="1" applyFill="1" applyBorder="1" applyProtection="1">
      <protection locked="0"/>
    </xf>
    <xf numFmtId="49" fontId="25" fillId="4" borderId="1" xfId="0" quotePrefix="1" applyNumberFormat="1" applyFont="1" applyFill="1" applyBorder="1" applyProtection="1">
      <protection locked="0"/>
    </xf>
    <xf numFmtId="38" fontId="25" fillId="4" borderId="1" xfId="0" quotePrefix="1" applyNumberFormat="1" applyFont="1" applyFill="1" applyBorder="1" applyProtection="1">
      <protection locked="0"/>
    </xf>
    <xf numFmtId="38" fontId="25" fillId="4" borderId="14" xfId="0" applyNumberFormat="1" applyFont="1" applyFill="1" applyBorder="1" applyProtection="1">
      <protection locked="0"/>
    </xf>
    <xf numFmtId="37" fontId="25" fillId="4" borderId="1" xfId="0" applyFont="1" applyFill="1" applyBorder="1" applyProtection="1">
      <protection locked="0"/>
    </xf>
    <xf numFmtId="38" fontId="25" fillId="4" borderId="1" xfId="0" applyNumberFormat="1" applyFont="1" applyFill="1" applyBorder="1" applyAlignment="1" applyProtection="1">
      <alignment horizontal="center"/>
      <protection locked="0"/>
    </xf>
    <xf numFmtId="1" fontId="13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2" fontId="13" fillId="0" borderId="0" xfId="0" applyNumberFormat="1" applyFont="1"/>
    <xf numFmtId="37" fontId="26" fillId="3" borderId="0" xfId="0" applyFont="1" applyFill="1"/>
    <xf numFmtId="37" fontId="25" fillId="0" borderId="1" xfId="1" applyNumberFormat="1" applyFont="1" applyBorder="1" applyProtection="1">
      <protection locked="0"/>
    </xf>
    <xf numFmtId="37" fontId="25" fillId="0" borderId="1" xfId="4" quotePrefix="1" applyNumberFormat="1" applyFont="1" applyBorder="1" applyProtection="1">
      <protection locked="0"/>
    </xf>
    <xf numFmtId="37" fontId="26" fillId="3" borderId="0" xfId="0" quotePrefix="1" applyFont="1" applyFill="1" applyAlignment="1">
      <alignment horizontal="fill"/>
    </xf>
    <xf numFmtId="39" fontId="26" fillId="3" borderId="0" xfId="0" quotePrefix="1" applyNumberFormat="1" applyFont="1" applyFill="1" applyAlignment="1">
      <alignment horizontal="fill"/>
    </xf>
    <xf numFmtId="37" fontId="26" fillId="0" borderId="0" xfId="0" applyFont="1"/>
    <xf numFmtId="43" fontId="13" fillId="7" borderId="0" xfId="1" applyFont="1" applyFill="1"/>
    <xf numFmtId="37" fontId="26" fillId="7" borderId="0" xfId="0" quotePrefix="1" applyFont="1" applyFill="1" applyAlignment="1">
      <alignment horizontal="fill"/>
    </xf>
    <xf numFmtId="38" fontId="17" fillId="4" borderId="1" xfId="0" applyNumberFormat="1" applyFont="1" applyFill="1" applyBorder="1" applyAlignment="1" applyProtection="1">
      <alignment horizontal="right"/>
      <protection locked="0"/>
    </xf>
    <xf numFmtId="38" fontId="25" fillId="4" borderId="1" xfId="0" applyNumberFormat="1" applyFont="1" applyFill="1" applyBorder="1" applyAlignment="1" applyProtection="1">
      <alignment horizontal="right"/>
      <protection locked="0"/>
    </xf>
    <xf numFmtId="38" fontId="17" fillId="0" borderId="1" xfId="0" applyNumberFormat="1" applyFont="1" applyBorder="1" applyProtection="1">
      <protection locked="0"/>
    </xf>
    <xf numFmtId="37" fontId="20" fillId="7" borderId="0" xfId="0" applyFont="1" applyFill="1"/>
    <xf numFmtId="2" fontId="9" fillId="0" borderId="0" xfId="0" applyNumberFormat="1" applyFont="1"/>
    <xf numFmtId="1" fontId="25" fillId="0" borderId="1" xfId="0" quotePrefix="1" applyNumberFormat="1" applyFont="1" applyBorder="1" applyProtection="1">
      <protection locked="0"/>
    </xf>
    <xf numFmtId="2" fontId="13" fillId="3" borderId="0" xfId="0" quotePrefix="1" applyNumberFormat="1" applyFont="1" applyFill="1" applyAlignment="1">
      <alignment horizontal="left"/>
    </xf>
    <xf numFmtId="2" fontId="13" fillId="3" borderId="0" xfId="0" applyNumberFormat="1" applyFont="1" applyFill="1"/>
    <xf numFmtId="2" fontId="25" fillId="0" borderId="1" xfId="0" quotePrefix="1" applyNumberFormat="1" applyFont="1" applyBorder="1" applyProtection="1">
      <protection locked="0"/>
    </xf>
    <xf numFmtId="2" fontId="25" fillId="0" borderId="1" xfId="1" quotePrefix="1" applyNumberFormat="1" applyFont="1" applyBorder="1" applyProtection="1">
      <protection locked="0"/>
    </xf>
    <xf numFmtId="2" fontId="25" fillId="0" borderId="1" xfId="4" quotePrefix="1" applyNumberFormat="1" applyFont="1" applyBorder="1" applyProtection="1">
      <protection locked="0"/>
    </xf>
    <xf numFmtId="2" fontId="25" fillId="0" borderId="1" xfId="1" applyNumberFormat="1" applyFont="1" applyBorder="1" applyProtection="1">
      <protection locked="0"/>
    </xf>
    <xf numFmtId="2" fontId="13" fillId="3" borderId="0" xfId="0" quotePrefix="1" applyNumberFormat="1" applyFont="1" applyFill="1" applyAlignment="1">
      <alignment horizontal="fill"/>
    </xf>
    <xf numFmtId="166" fontId="25" fillId="4" borderId="14" xfId="0" applyNumberFormat="1" applyFont="1" applyFill="1" applyBorder="1" applyAlignment="1" applyProtection="1">
      <alignment horizontal="left"/>
      <protection locked="0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8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9" borderId="0" xfId="0" applyFont="1" applyFill="1"/>
    <xf numFmtId="37" fontId="26" fillId="9" borderId="0" xfId="0" applyFont="1" applyFill="1" applyAlignment="1">
      <alignment horizontal="center"/>
    </xf>
    <xf numFmtId="37" fontId="26" fillId="10" borderId="0" xfId="0" applyFont="1" applyFill="1"/>
    <xf numFmtId="37" fontId="26" fillId="10" borderId="0" xfId="0" applyFont="1" applyFill="1" applyAlignment="1">
      <alignment horizontal="left"/>
    </xf>
    <xf numFmtId="37" fontId="26" fillId="10" borderId="0" xfId="0" applyFont="1" applyFill="1" applyAlignment="1">
      <alignment horizontal="center"/>
    </xf>
    <xf numFmtId="39" fontId="26" fillId="10" borderId="0" xfId="0" applyNumberFormat="1" applyFont="1" applyFill="1"/>
    <xf numFmtId="39" fontId="26" fillId="9" borderId="0" xfId="0" applyNumberFormat="1" applyFont="1" applyFill="1"/>
    <xf numFmtId="37" fontId="26" fillId="7" borderId="0" xfId="1" applyNumberFormat="1" applyFont="1" applyFill="1"/>
    <xf numFmtId="37" fontId="13" fillId="7" borderId="0" xfId="0" quotePrefix="1" applyFont="1" applyFill="1" applyAlignment="1">
      <alignment horizontal="fill"/>
    </xf>
    <xf numFmtId="0" fontId="26" fillId="3" borderId="0" xfId="0" quotePrefix="1" applyNumberFormat="1" applyFont="1" applyFill="1" applyAlignment="1">
      <alignment horizontal="fill"/>
    </xf>
    <xf numFmtId="38" fontId="13" fillId="7" borderId="0" xfId="0" applyNumberFormat="1" applyFont="1" applyFill="1"/>
    <xf numFmtId="39" fontId="13" fillId="7" borderId="0" xfId="0" applyNumberFormat="1" applyFont="1" applyFill="1"/>
    <xf numFmtId="2" fontId="13" fillId="7" borderId="0" xfId="0" applyNumberFormat="1" applyFont="1" applyFill="1"/>
    <xf numFmtId="37" fontId="26" fillId="7" borderId="0" xfId="0" applyFont="1" applyFill="1"/>
    <xf numFmtId="37" fontId="9" fillId="7" borderId="0" xfId="0" applyFont="1" applyFill="1"/>
    <xf numFmtId="37" fontId="26" fillId="0" borderId="1" xfId="0" applyFont="1" applyBorder="1" applyProtection="1">
      <protection locked="0"/>
    </xf>
    <xf numFmtId="37" fontId="13" fillId="11" borderId="0" xfId="0" applyFont="1" applyFill="1"/>
    <xf numFmtId="38" fontId="17" fillId="11" borderId="1" xfId="0" applyNumberFormat="1" applyFont="1" applyFill="1" applyBorder="1" applyProtection="1">
      <protection locked="0"/>
    </xf>
    <xf numFmtId="37" fontId="17" fillId="11" borderId="1" xfId="0" quotePrefix="1" applyFont="1" applyFill="1" applyBorder="1" applyProtection="1">
      <protection locked="0"/>
    </xf>
    <xf numFmtId="37" fontId="9" fillId="0" borderId="0" xfId="0" applyFont="1" applyAlignment="1">
      <alignment vertical="center"/>
    </xf>
    <xf numFmtId="37" fontId="13" fillId="0" borderId="0" xfId="0" applyFont="1" applyAlignment="1">
      <alignment horizontal="right" vertical="center"/>
    </xf>
    <xf numFmtId="37" fontId="13" fillId="0" borderId="0" xfId="0" applyFont="1" applyAlignment="1">
      <alignment horizontal="right" vertical="center" wrapText="1"/>
    </xf>
    <xf numFmtId="37" fontId="9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5" borderId="2" xfId="0" applyFont="1" applyFill="1" applyBorder="1"/>
    <xf numFmtId="37" fontId="27" fillId="6" borderId="2" xfId="0" applyFont="1" applyFill="1" applyBorder="1"/>
    <xf numFmtId="37" fontId="30" fillId="0" borderId="0" xfId="0" applyFont="1"/>
    <xf numFmtId="37" fontId="27" fillId="6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6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6" borderId="2" xfId="0" quotePrefix="1" applyFont="1" applyFill="1" applyBorder="1"/>
    <xf numFmtId="39" fontId="27" fillId="6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6" borderId="2" xfId="0" applyNumberFormat="1" applyFont="1" applyFill="1" applyBorder="1"/>
    <xf numFmtId="2" fontId="27" fillId="0" borderId="2" xfId="0" applyNumberFormat="1" applyFont="1" applyBorder="1"/>
    <xf numFmtId="3" fontId="27" fillId="6" borderId="2" xfId="0" applyNumberFormat="1" applyFont="1" applyFill="1" applyBorder="1"/>
    <xf numFmtId="37" fontId="17" fillId="0" borderId="1" xfId="0" applyFont="1" applyBorder="1" applyProtection="1">
      <protection locked="0"/>
    </xf>
    <xf numFmtId="37" fontId="13" fillId="7" borderId="0" xfId="1" applyNumberFormat="1" applyFont="1" applyFill="1"/>
    <xf numFmtId="2" fontId="17" fillId="0" borderId="1" xfId="0" quotePrefix="1" applyNumberFormat="1" applyFont="1" applyBorder="1" applyProtection="1">
      <protection locked="0"/>
    </xf>
    <xf numFmtId="2" fontId="17" fillId="0" borderId="1" xfId="1" quotePrefix="1" applyNumberFormat="1" applyFont="1" applyBorder="1" applyProtection="1">
      <protection locked="0"/>
    </xf>
    <xf numFmtId="2" fontId="17" fillId="0" borderId="1" xfId="4" quotePrefix="1" applyNumberFormat="1" applyFont="1" applyBorder="1" applyProtection="1">
      <protection locked="0"/>
    </xf>
    <xf numFmtId="2" fontId="17" fillId="0" borderId="1" xfId="1" applyNumberFormat="1" applyFont="1" applyBorder="1" applyProtection="1">
      <protection locked="0"/>
    </xf>
    <xf numFmtId="37" fontId="17" fillId="0" borderId="1" xfId="4" quotePrefix="1" applyNumberFormat="1" applyFont="1" applyBorder="1" applyProtection="1">
      <protection locked="0"/>
    </xf>
    <xf numFmtId="1" fontId="17" fillId="0" borderId="1" xfId="0" quotePrefix="1" applyNumberFormat="1" applyFont="1" applyBorder="1" applyProtection="1">
      <protection locked="0"/>
    </xf>
    <xf numFmtId="0" fontId="13" fillId="3" borderId="0" xfId="0" quotePrefix="1" applyNumberFormat="1" applyFont="1" applyFill="1" applyAlignment="1">
      <alignment horizontal="fill"/>
    </xf>
    <xf numFmtId="39" fontId="13" fillId="3" borderId="0" xfId="0" quotePrefix="1" applyNumberFormat="1" applyFont="1" applyFill="1" applyAlignment="1">
      <alignment horizontal="fill"/>
    </xf>
    <xf numFmtId="167" fontId="17" fillId="4" borderId="1" xfId="0" quotePrefix="1" applyNumberFormat="1" applyFont="1" applyFill="1" applyBorder="1" applyProtection="1">
      <protection locked="0"/>
    </xf>
    <xf numFmtId="38" fontId="17" fillId="4" borderId="1" xfId="0" quotePrefix="1" applyNumberFormat="1" applyFont="1" applyFill="1" applyBorder="1" applyAlignment="1" applyProtection="1">
      <alignment horizontal="left"/>
      <protection locked="0"/>
    </xf>
    <xf numFmtId="166" fontId="17" fillId="4" borderId="14" xfId="0" applyNumberFormat="1" applyFont="1" applyFill="1" applyBorder="1" applyAlignment="1" applyProtection="1">
      <alignment horizontal="left"/>
      <protection locked="0"/>
    </xf>
    <xf numFmtId="49" fontId="17" fillId="4" borderId="1" xfId="0" quotePrefix="1" applyNumberFormat="1" applyFont="1" applyFill="1" applyBorder="1" applyProtection="1">
      <protection locked="0"/>
    </xf>
    <xf numFmtId="38" fontId="17" fillId="4" borderId="1" xfId="0" applyNumberFormat="1" applyFont="1" applyFill="1" applyBorder="1" applyAlignment="1" applyProtection="1">
      <alignment horizontal="center"/>
      <protection locked="0"/>
    </xf>
    <xf numFmtId="0" fontId="8" fillId="0" borderId="14" xfId="2" applyBorder="1">
      <alignment vertical="top"/>
      <protection locked="0"/>
    </xf>
    <xf numFmtId="37" fontId="5" fillId="0" borderId="0" xfId="0" applyFont="1"/>
    <xf numFmtId="37" fontId="5" fillId="0" borderId="0" xfId="0" quotePrefix="1" applyFont="1" applyAlignment="1">
      <alignment vertical="center" readingOrder="1"/>
    </xf>
    <xf numFmtId="37" fontId="5" fillId="0" borderId="0" xfId="0" quotePrefix="1" applyFont="1"/>
    <xf numFmtId="37" fontId="20" fillId="0" borderId="0" xfId="0" applyFont="1"/>
    <xf numFmtId="0" fontId="16" fillId="0" borderId="0" xfId="2" applyFont="1">
      <alignment vertical="top"/>
      <protection locked="0"/>
    </xf>
    <xf numFmtId="37" fontId="33" fillId="11" borderId="0" xfId="0" quotePrefix="1" applyFont="1" applyFill="1" applyAlignment="1">
      <alignment horizontal="left"/>
    </xf>
    <xf numFmtId="37" fontId="5" fillId="11" borderId="0" xfId="0" applyFont="1" applyFill="1"/>
    <xf numFmtId="38" fontId="5" fillId="11" borderId="0" xfId="0" applyNumberFormat="1" applyFont="1" applyFill="1"/>
    <xf numFmtId="37" fontId="5" fillId="11" borderId="0" xfId="0" quotePrefix="1" applyFont="1" applyFill="1" applyAlignment="1">
      <alignment vertical="center" readingOrder="1"/>
    </xf>
    <xf numFmtId="37" fontId="5" fillId="11" borderId="0" xfId="0" quotePrefix="1" applyFont="1" applyFill="1" applyAlignment="1">
      <alignment horizontal="left"/>
    </xf>
    <xf numFmtId="37" fontId="5" fillId="11" borderId="0" xfId="0" quotePrefix="1" applyFont="1" applyFill="1"/>
    <xf numFmtId="37" fontId="5" fillId="11" borderId="0" xfId="0" applyFont="1" applyFill="1" applyAlignment="1">
      <alignment vertical="center" readingOrder="1"/>
    </xf>
    <xf numFmtId="37" fontId="4" fillId="11" borderId="0" xfId="0" quotePrefix="1" applyFont="1" applyFill="1"/>
    <xf numFmtId="168" fontId="25" fillId="4" borderId="1" xfId="0" quotePrefix="1" applyNumberFormat="1" applyFont="1" applyFill="1" applyBorder="1" applyAlignment="1" applyProtection="1">
      <alignment horizontal="left"/>
      <protection locked="0"/>
    </xf>
    <xf numFmtId="168" fontId="17" fillId="4" borderId="1" xfId="0" quotePrefix="1" applyNumberFormat="1" applyFont="1" applyFill="1" applyBorder="1" applyAlignment="1" applyProtection="1">
      <alignment horizontal="left"/>
      <protection locked="0"/>
    </xf>
    <xf numFmtId="0" fontId="8" fillId="0" borderId="0" xfId="2">
      <alignment vertical="top"/>
      <protection locked="0"/>
    </xf>
    <xf numFmtId="37" fontId="47" fillId="0" borderId="0" xfId="0" applyFont="1"/>
    <xf numFmtId="37" fontId="32" fillId="0" borderId="1" xfId="0" applyFont="1" applyBorder="1" applyProtection="1">
      <protection locked="0"/>
    </xf>
    <xf numFmtId="169" fontId="2" fillId="0" borderId="42" xfId="57" applyNumberFormat="1" applyFont="1" applyBorder="1"/>
    <xf numFmtId="38" fontId="17" fillId="4" borderId="14" xfId="0" quotePrefix="1" applyNumberFormat="1" applyFont="1" applyFill="1" applyBorder="1" applyProtection="1">
      <protection locked="0"/>
    </xf>
    <xf numFmtId="37" fontId="17" fillId="3" borderId="0" xfId="0" applyFont="1" applyFill="1" applyAlignment="1">
      <alignment horizontal="center" vertical="center"/>
    </xf>
  </cellXfs>
  <cellStyles count="77">
    <cellStyle name="20% - Accent1" xfId="22" builtinId="30" customBuiltin="1"/>
    <cellStyle name="20% - Accent1 2" xfId="59" xr:uid="{29FB9D61-7D60-4FD3-82F3-5801CE7783AC}"/>
    <cellStyle name="20% - Accent2" xfId="26" builtinId="34" customBuiltin="1"/>
    <cellStyle name="20% - Accent2 2" xfId="62" xr:uid="{2CA3C5B2-C60C-4B16-A9E7-051E95EE5B47}"/>
    <cellStyle name="20% - Accent3" xfId="30" builtinId="38" customBuiltin="1"/>
    <cellStyle name="20% - Accent3 2" xfId="65" xr:uid="{03AD2783-4632-443D-AC49-32989B7635A1}"/>
    <cellStyle name="20% - Accent4" xfId="34" builtinId="42" customBuiltin="1"/>
    <cellStyle name="20% - Accent4 2" xfId="68" xr:uid="{EC6569B3-1D4F-4E90-BC17-071688F265EF}"/>
    <cellStyle name="20% - Accent5" xfId="38" builtinId="46" customBuiltin="1"/>
    <cellStyle name="20% - Accent5 2" xfId="71" xr:uid="{AA7BD992-594D-4F83-A009-D7EB8F359622}"/>
    <cellStyle name="20% - Accent6" xfId="42" builtinId="50" customBuiltin="1"/>
    <cellStyle name="20% - Accent6 2" xfId="74" xr:uid="{5E832461-71C4-499C-BD6A-63DF1F19408D}"/>
    <cellStyle name="40% - Accent1" xfId="23" builtinId="31" customBuiltin="1"/>
    <cellStyle name="40% - Accent1 2" xfId="60" xr:uid="{97864992-90E6-4301-826F-567B2D939720}"/>
    <cellStyle name="40% - Accent2" xfId="27" builtinId="35" customBuiltin="1"/>
    <cellStyle name="40% - Accent2 2" xfId="63" xr:uid="{9AE7D1EF-01F6-420E-BB07-998F132DEC86}"/>
    <cellStyle name="40% - Accent3" xfId="31" builtinId="39" customBuiltin="1"/>
    <cellStyle name="40% - Accent3 2" xfId="66" xr:uid="{DEADE0FC-09DB-43AB-874C-D6BB7F40D521}"/>
    <cellStyle name="40% - Accent4" xfId="35" builtinId="43" customBuiltin="1"/>
    <cellStyle name="40% - Accent4 2" xfId="69" xr:uid="{249398DD-D5DD-4DB1-B70E-CB98ECD3A575}"/>
    <cellStyle name="40% - Accent5" xfId="39" builtinId="47" customBuiltin="1"/>
    <cellStyle name="40% - Accent5 2" xfId="72" xr:uid="{372DBB9A-1965-48C0-9E87-BCA11CFAB984}"/>
    <cellStyle name="40% - Accent6" xfId="43" builtinId="51" customBuiltin="1"/>
    <cellStyle name="40% - Accent6 2" xfId="75" xr:uid="{6D680E62-23D4-4C31-AE73-8E362403FDCF}"/>
    <cellStyle name="60% - Accent1" xfId="24" builtinId="32" customBuiltin="1"/>
    <cellStyle name="60% - Accent1 2" xfId="61" xr:uid="{09734FFF-7DC7-47C4-9461-AB4193089C01}"/>
    <cellStyle name="60% - Accent2" xfId="28" builtinId="36" customBuiltin="1"/>
    <cellStyle name="60% - Accent2 2" xfId="64" xr:uid="{EA3D1B8F-7A8E-41DF-B553-C052E8D874AC}"/>
    <cellStyle name="60% - Accent3" xfId="32" builtinId="40" customBuiltin="1"/>
    <cellStyle name="60% - Accent3 2" xfId="67" xr:uid="{4FBD509B-85CC-46FA-947E-795C95925FA4}"/>
    <cellStyle name="60% - Accent4" xfId="36" builtinId="44" customBuiltin="1"/>
    <cellStyle name="60% - Accent4 2" xfId="70" xr:uid="{EC811F6F-52A4-41D1-9176-576B84AE7FEE}"/>
    <cellStyle name="60% - Accent5" xfId="40" builtinId="48" customBuiltin="1"/>
    <cellStyle name="60% - Accent5 2" xfId="73" xr:uid="{13333C25-7129-4889-9BBD-EE89E455DAE0}"/>
    <cellStyle name="60% - Accent6" xfId="44" builtinId="52" customBuiltin="1"/>
    <cellStyle name="60% - Accent6 2" xfId="76" xr:uid="{21131E2F-F42A-43F1-BF01-FD89ACAF2F34}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omma 2" xfId="50" xr:uid="{DCD4FC7F-EA24-4DE0-867F-6C8CC7325EA9}"/>
    <cellStyle name="Comma 3" xfId="53" xr:uid="{82567527-EB35-4FF5-8E27-59116895E324}"/>
    <cellStyle name="Comma 4" xfId="47" xr:uid="{D36A5560-3C51-4BF3-BE21-9AA6C6C4C941}"/>
    <cellStyle name="Comma 5" xfId="57" xr:uid="{8681F30B-090E-41AD-8730-3277ADEA2EF9}"/>
    <cellStyle name="Currency 2" xfId="51" xr:uid="{A9D75D19-7B07-40C0-AF64-D07250217FF1}"/>
    <cellStyle name="Currency 3" xfId="54" xr:uid="{12E5C6C1-8474-49AF-9453-9A4F14C2A1CE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2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B190D761-ADDB-4CFB-8149-54EEFCE0B1C0}"/>
    <cellStyle name="Normal 2 2" xfId="48" xr:uid="{58E319F7-AE85-44FA-A549-6CE01C4D8830}"/>
    <cellStyle name="Normal 3" xfId="49" xr:uid="{AF34E870-8623-4650-95F9-6EDBC09E1788}"/>
    <cellStyle name="Normal 4" xfId="52" xr:uid="{52C0CEA4-17BB-4EAF-8941-C7812597041F}"/>
    <cellStyle name="Normal 5" xfId="45" xr:uid="{E29E70DA-5607-4AC5-9D28-901BDFD98997}"/>
    <cellStyle name="Normal 6" xfId="56" xr:uid="{8A31B281-94F7-45C4-996A-DB241DD84DA4}"/>
    <cellStyle name="Note 2" xfId="55" xr:uid="{39819128-7F77-4926-8686-DF6B7BBA0AA0}"/>
    <cellStyle name="Note 3" xfId="58" xr:uid="{4A88220F-88E5-42F7-9054-CF45EDC95130}"/>
    <cellStyle name="Output" xfId="14" builtinId="21" customBuiltin="1"/>
    <cellStyle name="Percent" xfId="4" builtinId="5"/>
    <cellStyle name="Sub-Section Header" xfId="46" xr:uid="{A77C3AEB-1D4D-4BC7-8FC4-165A6C386AD2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bratton@masongenera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87" transitionEvaluation="1" transitionEntry="1" codeName="Sheet1">
    <tabColor rgb="FF92D050"/>
    <pageSetUpPr autoPageBreaks="0" fitToPage="1"/>
  </sheetPr>
  <dimension ref="A1:CG716"/>
  <sheetViews>
    <sheetView tabSelected="1" topLeftCell="A87" zoomScaleNormal="100" workbookViewId="0"/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1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2" t="s">
        <v>18</v>
      </c>
      <c r="B36" s="333"/>
      <c r="C36" s="334"/>
      <c r="D36" s="333"/>
      <c r="E36" s="333"/>
      <c r="F36" s="333"/>
      <c r="G36" s="333"/>
    </row>
    <row r="37" spans="1:83" x14ac:dyDescent="0.35">
      <c r="A37" s="335" t="s">
        <v>1342</v>
      </c>
      <c r="B37" s="336"/>
      <c r="C37" s="334"/>
      <c r="D37" s="333"/>
      <c r="E37" s="333"/>
      <c r="F37" s="333"/>
      <c r="G37" s="333"/>
    </row>
    <row r="38" spans="1:83" x14ac:dyDescent="0.35">
      <c r="A38" s="339" t="s">
        <v>1361</v>
      </c>
      <c r="B38" s="336"/>
      <c r="C38" s="334"/>
      <c r="D38" s="333"/>
      <c r="E38" s="333"/>
      <c r="F38" s="333"/>
      <c r="G38" s="333"/>
    </row>
    <row r="39" spans="1:83" x14ac:dyDescent="0.35">
      <c r="A39" s="338" t="s">
        <v>1343</v>
      </c>
      <c r="B39" s="333"/>
      <c r="C39" s="334"/>
      <c r="D39" s="333"/>
      <c r="E39" s="333"/>
      <c r="F39" s="333"/>
      <c r="G39" s="333"/>
    </row>
    <row r="40" spans="1:83" x14ac:dyDescent="0.35">
      <c r="A40" s="339" t="s">
        <v>1362</v>
      </c>
      <c r="B40" s="333"/>
      <c r="C40" s="334"/>
      <c r="D40" s="333"/>
      <c r="E40" s="333"/>
      <c r="F40" s="333"/>
      <c r="G40" s="333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1">
        <v>19086136</v>
      </c>
      <c r="C47" s="24">
        <v>679255.11999999988</v>
      </c>
      <c r="D47" s="24"/>
      <c r="E47" s="24">
        <v>1596232.56</v>
      </c>
      <c r="F47" s="24"/>
      <c r="G47" s="24"/>
      <c r="H47" s="24"/>
      <c r="I47" s="24"/>
      <c r="J47" s="24">
        <v>0</v>
      </c>
      <c r="K47" s="24"/>
      <c r="L47" s="24"/>
      <c r="M47" s="24"/>
      <c r="N47" s="24"/>
      <c r="O47" s="24">
        <v>0</v>
      </c>
      <c r="P47" s="24">
        <v>496868.9</v>
      </c>
      <c r="Q47" s="24">
        <v>490945.55000000005</v>
      </c>
      <c r="R47" s="24">
        <v>216933.34999999998</v>
      </c>
      <c r="S47" s="24">
        <v>0</v>
      </c>
      <c r="T47" s="24"/>
      <c r="U47" s="24">
        <v>684701.4800000001</v>
      </c>
      <c r="V47" s="24"/>
      <c r="W47" s="24">
        <v>88057.88</v>
      </c>
      <c r="X47" s="24">
        <v>155907.66</v>
      </c>
      <c r="Y47" s="24">
        <v>724792.06</v>
      </c>
      <c r="Z47" s="24"/>
      <c r="AA47" s="24">
        <v>6097.58</v>
      </c>
      <c r="AB47" s="24">
        <v>577102.37000000011</v>
      </c>
      <c r="AC47" s="24">
        <v>267991.62</v>
      </c>
      <c r="AD47" s="24"/>
      <c r="AE47" s="24">
        <v>642315.15</v>
      </c>
      <c r="AF47" s="24"/>
      <c r="AG47" s="24">
        <v>1019974.9199999999</v>
      </c>
      <c r="AH47" s="24"/>
      <c r="AI47" s="24"/>
      <c r="AJ47" s="24"/>
      <c r="AK47" s="24"/>
      <c r="AL47" s="24"/>
      <c r="AM47" s="24"/>
      <c r="AN47" s="24"/>
      <c r="AO47" s="24"/>
      <c r="AP47" s="24">
        <v>5458445.3799999999</v>
      </c>
      <c r="AQ47" s="24"/>
      <c r="AR47" s="24"/>
      <c r="AS47" s="24"/>
      <c r="AT47" s="24"/>
      <c r="AU47" s="24"/>
      <c r="AV47" s="24">
        <v>156462.87</v>
      </c>
      <c r="AW47" s="24"/>
      <c r="AX47" s="24"/>
      <c r="AY47" s="24">
        <v>384768.51</v>
      </c>
      <c r="AZ47" s="24"/>
      <c r="BA47" s="24">
        <v>48915.470000000008</v>
      </c>
      <c r="BB47" s="24"/>
      <c r="BC47" s="24"/>
      <c r="BD47" s="24">
        <v>172238.07999999999</v>
      </c>
      <c r="BE47" s="24">
        <v>335073.45999999996</v>
      </c>
      <c r="BF47" s="24">
        <v>646748.86</v>
      </c>
      <c r="BG47" s="24"/>
      <c r="BH47" s="24">
        <v>0</v>
      </c>
      <c r="BI47" s="24"/>
      <c r="BJ47" s="24">
        <v>216120.16999999998</v>
      </c>
      <c r="BK47" s="24">
        <v>625647.17999999993</v>
      </c>
      <c r="BL47" s="24">
        <v>527097.48</v>
      </c>
      <c r="BM47" s="24"/>
      <c r="BN47" s="24">
        <v>599700.4</v>
      </c>
      <c r="BO47" s="24">
        <v>49675.850000000006</v>
      </c>
      <c r="BP47" s="24">
        <v>0</v>
      </c>
      <c r="BQ47" s="24"/>
      <c r="BR47" s="24">
        <v>213162.50999999998</v>
      </c>
      <c r="BS47" s="24"/>
      <c r="BT47" s="24"/>
      <c r="BU47" s="24"/>
      <c r="BV47" s="24">
        <v>641982.30999999994</v>
      </c>
      <c r="BW47" s="24">
        <v>66030.570000000007</v>
      </c>
      <c r="BX47" s="24"/>
      <c r="BY47" s="24">
        <v>746917.26000000013</v>
      </c>
      <c r="BZ47" s="24"/>
      <c r="CA47" s="24">
        <v>28999.230000000003</v>
      </c>
      <c r="CB47" s="24"/>
      <c r="CC47" s="24">
        <v>520974.55</v>
      </c>
      <c r="CD47" s="20"/>
      <c r="CE47" s="32">
        <f>SUM(C47:CC47)</f>
        <v>19086136.340000007</v>
      </c>
    </row>
    <row r="48" spans="1:83" x14ac:dyDescent="0.35">
      <c r="A48" s="32" t="s">
        <v>217</v>
      </c>
      <c r="B48" s="311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3" x14ac:dyDescent="0.35">
      <c r="A49" s="20" t="s">
        <v>218</v>
      </c>
      <c r="B49" s="32">
        <f>B47+B48</f>
        <v>19086136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219</v>
      </c>
      <c r="B51" s="24">
        <v>8067631.9899999993</v>
      </c>
      <c r="C51" s="24">
        <v>216446.8442753063</v>
      </c>
      <c r="D51" s="24"/>
      <c r="E51" s="24">
        <v>639357.87670736306</v>
      </c>
      <c r="F51" s="24"/>
      <c r="G51" s="24"/>
      <c r="H51" s="24"/>
      <c r="I51" s="24"/>
      <c r="J51" s="24">
        <v>16006.718544433124</v>
      </c>
      <c r="K51" s="24"/>
      <c r="L51" s="24"/>
      <c r="M51" s="24"/>
      <c r="N51" s="24"/>
      <c r="O51" s="24">
        <v>32373.399806999263</v>
      </c>
      <c r="P51" s="24">
        <v>218019.85478803329</v>
      </c>
      <c r="Q51" s="24">
        <v>240658.98603474561</v>
      </c>
      <c r="R51" s="24">
        <v>10347.599870611386</v>
      </c>
      <c r="S51" s="24">
        <v>98637.754422720915</v>
      </c>
      <c r="T51" s="24"/>
      <c r="U51" s="24">
        <v>145876.55186804337</v>
      </c>
      <c r="V51" s="24"/>
      <c r="W51" s="24">
        <v>70978.737188908301</v>
      </c>
      <c r="X51" s="24">
        <v>26288.900836195615</v>
      </c>
      <c r="Y51" s="24">
        <v>232188.239746134</v>
      </c>
      <c r="Z51" s="24"/>
      <c r="AA51" s="24">
        <v>22918.06914637256</v>
      </c>
      <c r="AB51" s="24">
        <v>63835.934544036485</v>
      </c>
      <c r="AC51" s="24">
        <v>26748.152163850555</v>
      </c>
      <c r="AD51" s="24"/>
      <c r="AE51" s="24">
        <v>119684</v>
      </c>
      <c r="AF51" s="24"/>
      <c r="AG51" s="24">
        <v>316895.03849439358</v>
      </c>
      <c r="AH51" s="24"/>
      <c r="AI51" s="24"/>
      <c r="AJ51" s="24"/>
      <c r="AK51" s="24"/>
      <c r="AL51" s="24"/>
      <c r="AM51" s="24"/>
      <c r="AN51" s="24"/>
      <c r="AO51" s="24"/>
      <c r="AP51" s="24">
        <v>2920238.84</v>
      </c>
      <c r="AQ51" s="24"/>
      <c r="AR51" s="24"/>
      <c r="AS51" s="24"/>
      <c r="AT51" s="24"/>
      <c r="AU51" s="24"/>
      <c r="AV51" s="24">
        <v>8897.454861306167</v>
      </c>
      <c r="AW51" s="24"/>
      <c r="AX51" s="24"/>
      <c r="AY51" s="24">
        <v>167360.08324473456</v>
      </c>
      <c r="AZ51" s="24"/>
      <c r="BA51" s="24">
        <v>48508.961095561179</v>
      </c>
      <c r="BB51" s="24"/>
      <c r="BC51" s="24"/>
      <c r="BD51" s="24">
        <v>112980.47556810928</v>
      </c>
      <c r="BE51" s="24">
        <v>671271</v>
      </c>
      <c r="BF51" s="24">
        <v>76209.819014322813</v>
      </c>
      <c r="BG51" s="24"/>
      <c r="BH51" s="24">
        <v>108029.32784913953</v>
      </c>
      <c r="BI51" s="24"/>
      <c r="BJ51" s="24">
        <v>65799.45811628786</v>
      </c>
      <c r="BK51" s="24">
        <v>90804.248407261752</v>
      </c>
      <c r="BL51" s="24">
        <v>63822.65178690981</v>
      </c>
      <c r="BM51" s="24"/>
      <c r="BN51" s="24">
        <v>178736.10058587909</v>
      </c>
      <c r="BO51" s="24">
        <v>9273.688956919359</v>
      </c>
      <c r="BP51" s="24">
        <v>94578.211775879536</v>
      </c>
      <c r="BQ51" s="24"/>
      <c r="BR51" s="24">
        <v>70700.463427104391</v>
      </c>
      <c r="BS51" s="24"/>
      <c r="BT51" s="24"/>
      <c r="BU51" s="24"/>
      <c r="BV51" s="24">
        <v>150947.57647008137</v>
      </c>
      <c r="BW51" s="24">
        <v>33932.131355815087</v>
      </c>
      <c r="BX51" s="24"/>
      <c r="BY51" s="24">
        <v>57467.516639650064</v>
      </c>
      <c r="BZ51" s="24"/>
      <c r="CA51" s="24">
        <v>34734.40988626652</v>
      </c>
      <c r="CB51" s="24"/>
      <c r="CC51" s="24">
        <v>606076.93251968338</v>
      </c>
      <c r="CD51" s="20"/>
      <c r="CE51" s="32">
        <f>SUM(C51:CD51)</f>
        <v>8067632.0099990582</v>
      </c>
    </row>
    <row r="52" spans="1:83" x14ac:dyDescent="0.35">
      <c r="A52" s="39" t="s">
        <v>220</v>
      </c>
      <c r="B52" s="344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3" x14ac:dyDescent="0.35">
      <c r="A53" s="20" t="s">
        <v>218</v>
      </c>
      <c r="B53" s="32">
        <f>B51+B52</f>
        <v>8067631.9899999993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ht="15" thickBot="1" x14ac:dyDescent="0.4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728</v>
      </c>
      <c r="D59" s="24"/>
      <c r="E59" s="24">
        <v>4340</v>
      </c>
      <c r="F59" s="24"/>
      <c r="G59" s="24"/>
      <c r="H59" s="24"/>
      <c r="I59" s="24"/>
      <c r="J59" s="24">
        <v>624</v>
      </c>
      <c r="K59" s="24"/>
      <c r="L59" s="24"/>
      <c r="M59" s="24"/>
      <c r="N59" s="24"/>
      <c r="O59" s="24">
        <v>1126</v>
      </c>
      <c r="P59" s="345">
        <v>143380</v>
      </c>
      <c r="Q59" s="30">
        <v>111131</v>
      </c>
      <c r="R59" s="345">
        <v>143380</v>
      </c>
      <c r="S59" s="312"/>
      <c r="T59" s="312"/>
      <c r="U59" s="31">
        <v>306871.00000000006</v>
      </c>
      <c r="V59" s="30"/>
      <c r="W59" s="30">
        <v>1945</v>
      </c>
      <c r="X59" s="30">
        <v>36639</v>
      </c>
      <c r="Y59" s="345">
        <v>26121</v>
      </c>
      <c r="Z59" s="30"/>
      <c r="AA59" s="30">
        <v>62</v>
      </c>
      <c r="AB59" s="312"/>
      <c r="AC59" s="30">
        <v>4269</v>
      </c>
      <c r="AD59" s="30"/>
      <c r="AE59" s="30">
        <v>19464</v>
      </c>
      <c r="AF59" s="30"/>
      <c r="AG59" s="30">
        <v>17670</v>
      </c>
      <c r="AH59" s="30"/>
      <c r="AI59" s="30"/>
      <c r="AJ59" s="30"/>
      <c r="AK59" s="30"/>
      <c r="AL59" s="30"/>
      <c r="AM59" s="30"/>
      <c r="AN59" s="30"/>
      <c r="AO59" s="30"/>
      <c r="AP59" s="30">
        <v>90556</v>
      </c>
      <c r="AQ59" s="30"/>
      <c r="AR59" s="30"/>
      <c r="AS59" s="30"/>
      <c r="AT59" s="30"/>
      <c r="AU59" s="30"/>
      <c r="AV59" s="312"/>
      <c r="AW59" s="312"/>
      <c r="AX59" s="312"/>
      <c r="AY59" s="30">
        <v>33431.114391143914</v>
      </c>
      <c r="AZ59" s="30"/>
      <c r="BA59" s="312"/>
      <c r="BB59" s="312"/>
      <c r="BC59" s="312"/>
      <c r="BD59" s="312"/>
      <c r="BE59" s="30">
        <v>241487</v>
      </c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  <c r="BS59" s="312"/>
      <c r="BT59" s="312"/>
      <c r="BU59" s="312"/>
      <c r="BV59" s="312"/>
      <c r="BW59" s="312"/>
      <c r="BX59" s="312"/>
      <c r="BY59" s="312"/>
      <c r="BZ59" s="312"/>
      <c r="CA59" s="312"/>
      <c r="CB59" s="312"/>
      <c r="CC59" s="312"/>
      <c r="CD59" s="263"/>
      <c r="CE59" s="32"/>
    </row>
    <row r="60" spans="1:83" s="225" customFormat="1" x14ac:dyDescent="0.35">
      <c r="A60" s="240" t="s">
        <v>247</v>
      </c>
      <c r="B60" s="241"/>
      <c r="C60" s="313">
        <v>19.023759490384617</v>
      </c>
      <c r="D60" s="313"/>
      <c r="E60" s="313">
        <v>46.190289563379118</v>
      </c>
      <c r="F60" s="313"/>
      <c r="G60" s="313"/>
      <c r="H60" s="313"/>
      <c r="I60" s="313"/>
      <c r="J60" s="313">
        <v>0</v>
      </c>
      <c r="K60" s="313"/>
      <c r="L60" s="313"/>
      <c r="M60" s="313"/>
      <c r="N60" s="313"/>
      <c r="O60" s="313">
        <v>0</v>
      </c>
      <c r="P60" s="314">
        <v>15.346290783406591</v>
      </c>
      <c r="Q60" s="314">
        <v>13.75642740521978</v>
      </c>
      <c r="R60" s="314">
        <v>4.200418241758241</v>
      </c>
      <c r="S60" s="315">
        <v>0</v>
      </c>
      <c r="T60" s="315"/>
      <c r="U60" s="316">
        <v>25.229263267170332</v>
      </c>
      <c r="V60" s="314"/>
      <c r="W60" s="314">
        <v>2.0531624271978024</v>
      </c>
      <c r="X60" s="314">
        <v>3.6339177005494507</v>
      </c>
      <c r="Y60" s="314">
        <v>22.359999361263732</v>
      </c>
      <c r="Z60" s="314"/>
      <c r="AA60" s="314">
        <v>0.13052091002747251</v>
      </c>
      <c r="AB60" s="315">
        <v>13.888524671016484</v>
      </c>
      <c r="AC60" s="314">
        <v>7.3841693976648344</v>
      </c>
      <c r="AD60" s="314"/>
      <c r="AE60" s="314">
        <v>20.92620639282967</v>
      </c>
      <c r="AF60" s="314"/>
      <c r="AG60" s="314">
        <v>31.635080711126374</v>
      </c>
      <c r="AH60" s="314"/>
      <c r="AI60" s="314"/>
      <c r="AJ60" s="314"/>
      <c r="AK60" s="314"/>
      <c r="AL60" s="314"/>
      <c r="AM60" s="314"/>
      <c r="AN60" s="314"/>
      <c r="AO60" s="314"/>
      <c r="AP60" s="314">
        <v>159.31309956728023</v>
      </c>
      <c r="AQ60" s="314"/>
      <c r="AR60" s="314"/>
      <c r="AS60" s="314"/>
      <c r="AT60" s="314"/>
      <c r="AU60" s="314"/>
      <c r="AV60" s="315">
        <v>4.5009676057692305</v>
      </c>
      <c r="AW60" s="315"/>
      <c r="AX60" s="315"/>
      <c r="AY60" s="314">
        <v>17.090655161456045</v>
      </c>
      <c r="AZ60" s="314"/>
      <c r="BA60" s="315">
        <v>1.0247097870879123</v>
      </c>
      <c r="BB60" s="315"/>
      <c r="BC60" s="315"/>
      <c r="BD60" s="315">
        <v>7.2392514958791221</v>
      </c>
      <c r="BE60" s="314">
        <v>11.77357475</v>
      </c>
      <c r="BF60" s="315">
        <v>29.672183696428572</v>
      </c>
      <c r="BG60" s="315"/>
      <c r="BH60" s="315">
        <v>0</v>
      </c>
      <c r="BI60" s="315"/>
      <c r="BJ60" s="315">
        <v>6.3559991222527481</v>
      </c>
      <c r="BK60" s="315">
        <v>22.425194930631868</v>
      </c>
      <c r="BL60" s="315">
        <v>23.205958408653846</v>
      </c>
      <c r="BM60" s="315"/>
      <c r="BN60" s="315">
        <v>11.219139061126373</v>
      </c>
      <c r="BO60" s="315">
        <v>1.9649964434065932</v>
      </c>
      <c r="BP60" s="315">
        <v>0</v>
      </c>
      <c r="BQ60" s="315"/>
      <c r="BR60" s="315">
        <v>6.7729531826923086</v>
      </c>
      <c r="BS60" s="315"/>
      <c r="BT60" s="315"/>
      <c r="BU60" s="315"/>
      <c r="BV60" s="315">
        <v>22.169668415137366</v>
      </c>
      <c r="BW60" s="315">
        <v>2.0256898997252746</v>
      </c>
      <c r="BX60" s="315"/>
      <c r="BY60" s="315">
        <v>21.815177200549446</v>
      </c>
      <c r="BZ60" s="315"/>
      <c r="CA60" s="315">
        <v>1.2126852657967035</v>
      </c>
      <c r="CB60" s="315"/>
      <c r="CC60" s="315">
        <v>17.111894063186813</v>
      </c>
      <c r="CD60" s="246" t="s">
        <v>233</v>
      </c>
      <c r="CE60" s="32">
        <f t="shared" ref="CE60:CE68" si="4">SUM(C60:CD60)</f>
        <v>592.65182838005489</v>
      </c>
    </row>
    <row r="61" spans="1:83" x14ac:dyDescent="0.35">
      <c r="A61" s="39" t="s">
        <v>248</v>
      </c>
      <c r="B61" s="20"/>
      <c r="C61" s="24">
        <v>2063318.3</v>
      </c>
      <c r="D61" s="24"/>
      <c r="E61" s="24">
        <v>4912186.1900000004</v>
      </c>
      <c r="F61" s="24"/>
      <c r="G61" s="24"/>
      <c r="H61" s="24"/>
      <c r="I61" s="24"/>
      <c r="J61" s="24">
        <v>0</v>
      </c>
      <c r="K61" s="24"/>
      <c r="L61" s="24"/>
      <c r="M61" s="24"/>
      <c r="N61" s="24"/>
      <c r="O61" s="24">
        <v>0</v>
      </c>
      <c r="P61" s="30">
        <v>1435145.13</v>
      </c>
      <c r="Q61" s="30">
        <v>1499385.61</v>
      </c>
      <c r="R61" s="30">
        <v>922623.09999999986</v>
      </c>
      <c r="S61" s="317">
        <v>0</v>
      </c>
      <c r="T61" s="317"/>
      <c r="U61" s="31">
        <v>1800483.22</v>
      </c>
      <c r="V61" s="30"/>
      <c r="W61" s="30">
        <v>208163.07999999996</v>
      </c>
      <c r="X61" s="30">
        <v>423130.06000000006</v>
      </c>
      <c r="Y61" s="30">
        <v>1913289.4400000002</v>
      </c>
      <c r="Z61" s="30"/>
      <c r="AA61" s="30">
        <v>16480.009999999998</v>
      </c>
      <c r="AB61" s="318">
        <v>1608147.9999999998</v>
      </c>
      <c r="AC61" s="30">
        <v>715439.17999999993</v>
      </c>
      <c r="AD61" s="30"/>
      <c r="AE61" s="30">
        <v>1731002.1</v>
      </c>
      <c r="AF61" s="30"/>
      <c r="AG61" s="30">
        <v>4105518.49</v>
      </c>
      <c r="AH61" s="30"/>
      <c r="AI61" s="30"/>
      <c r="AJ61" s="30"/>
      <c r="AK61" s="30"/>
      <c r="AL61" s="30"/>
      <c r="AM61" s="30"/>
      <c r="AN61" s="30"/>
      <c r="AO61" s="30"/>
      <c r="AP61" s="30">
        <v>17655396.73</v>
      </c>
      <c r="AQ61" s="30"/>
      <c r="AR61" s="30"/>
      <c r="AS61" s="30"/>
      <c r="AT61" s="30"/>
      <c r="AU61" s="30"/>
      <c r="AV61" s="317">
        <v>372072.87000000005</v>
      </c>
      <c r="AW61" s="317"/>
      <c r="AX61" s="317"/>
      <c r="AY61" s="30">
        <v>854813.09</v>
      </c>
      <c r="AZ61" s="30"/>
      <c r="BA61" s="317">
        <v>51483.609999999993</v>
      </c>
      <c r="BB61" s="317"/>
      <c r="BC61" s="317"/>
      <c r="BD61" s="317">
        <v>495027.31999999995</v>
      </c>
      <c r="BE61" s="30">
        <v>862430.63</v>
      </c>
      <c r="BF61" s="317">
        <v>1447512.07</v>
      </c>
      <c r="BG61" s="317"/>
      <c r="BH61" s="317">
        <v>0</v>
      </c>
      <c r="BI61" s="317"/>
      <c r="BJ61" s="317">
        <v>531935.87999999989</v>
      </c>
      <c r="BK61" s="317">
        <v>1344505.7799999998</v>
      </c>
      <c r="BL61" s="317">
        <v>1170967.01</v>
      </c>
      <c r="BM61" s="317"/>
      <c r="BN61" s="317">
        <v>2230097.59</v>
      </c>
      <c r="BO61" s="317">
        <v>175349.36</v>
      </c>
      <c r="BP61" s="317">
        <v>0</v>
      </c>
      <c r="BQ61" s="317"/>
      <c r="BR61" s="317">
        <v>679043.17</v>
      </c>
      <c r="BS61" s="317"/>
      <c r="BT61" s="317"/>
      <c r="BU61" s="317"/>
      <c r="BV61" s="317">
        <v>1315662.3500000001</v>
      </c>
      <c r="BW61" s="317">
        <v>211391.13</v>
      </c>
      <c r="BX61" s="317"/>
      <c r="BY61" s="317">
        <v>2379239.6100000003</v>
      </c>
      <c r="BZ61" s="317"/>
      <c r="CA61" s="317">
        <v>91627.450000000012</v>
      </c>
      <c r="CB61" s="317"/>
      <c r="CC61" s="317">
        <v>1554031.8699999999</v>
      </c>
      <c r="CD61" s="29" t="s">
        <v>233</v>
      </c>
      <c r="CE61" s="32">
        <f t="shared" si="4"/>
        <v>56776899.430000015</v>
      </c>
    </row>
    <row r="62" spans="1:83" x14ac:dyDescent="0.35">
      <c r="A62" s="39" t="s">
        <v>9</v>
      </c>
      <c r="B62" s="20"/>
      <c r="C62" s="32">
        <f>ROUND(C47+C48,0)</f>
        <v>679255</v>
      </c>
      <c r="D62" s="32">
        <f t="shared" ref="D62:BO62" si="5">ROUND(D47+D48,0)</f>
        <v>0</v>
      </c>
      <c r="E62" s="32">
        <f t="shared" si="5"/>
        <v>1596233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496869</v>
      </c>
      <c r="Q62" s="32">
        <f t="shared" si="5"/>
        <v>490946</v>
      </c>
      <c r="R62" s="32">
        <f t="shared" si="5"/>
        <v>216933</v>
      </c>
      <c r="S62" s="32">
        <f t="shared" si="5"/>
        <v>0</v>
      </c>
      <c r="T62" s="32">
        <f t="shared" si="5"/>
        <v>0</v>
      </c>
      <c r="U62" s="32">
        <f t="shared" si="5"/>
        <v>684701</v>
      </c>
      <c r="V62" s="32">
        <f t="shared" si="5"/>
        <v>0</v>
      </c>
      <c r="W62" s="32">
        <f t="shared" si="5"/>
        <v>88058</v>
      </c>
      <c r="X62" s="32">
        <f t="shared" si="5"/>
        <v>155908</v>
      </c>
      <c r="Y62" s="32">
        <f t="shared" si="5"/>
        <v>724792</v>
      </c>
      <c r="Z62" s="32">
        <f t="shared" si="5"/>
        <v>0</v>
      </c>
      <c r="AA62" s="32">
        <f t="shared" si="5"/>
        <v>6098</v>
      </c>
      <c r="AB62" s="32">
        <f t="shared" si="5"/>
        <v>577102</v>
      </c>
      <c r="AC62" s="32">
        <f t="shared" si="5"/>
        <v>267992</v>
      </c>
      <c r="AD62" s="32">
        <f t="shared" si="5"/>
        <v>0</v>
      </c>
      <c r="AE62" s="32">
        <f t="shared" si="5"/>
        <v>642315</v>
      </c>
      <c r="AF62" s="32">
        <f t="shared" si="5"/>
        <v>0</v>
      </c>
      <c r="AG62" s="32">
        <f t="shared" si="5"/>
        <v>1019975</v>
      </c>
      <c r="AH62" s="32">
        <f t="shared" si="5"/>
        <v>0</v>
      </c>
      <c r="AI62" s="32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5458445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156463</v>
      </c>
      <c r="AW62" s="32">
        <f t="shared" si="5"/>
        <v>0</v>
      </c>
      <c r="AX62" s="32">
        <f t="shared" si="5"/>
        <v>0</v>
      </c>
      <c r="AY62" s="32">
        <f t="shared" si="5"/>
        <v>384769</v>
      </c>
      <c r="AZ62" s="32">
        <f t="shared" si="5"/>
        <v>0</v>
      </c>
      <c r="BA62" s="32">
        <f t="shared" si="5"/>
        <v>48915</v>
      </c>
      <c r="BB62" s="32">
        <f t="shared" si="5"/>
        <v>0</v>
      </c>
      <c r="BC62" s="32">
        <f t="shared" si="5"/>
        <v>0</v>
      </c>
      <c r="BD62" s="32">
        <f t="shared" si="5"/>
        <v>172238</v>
      </c>
      <c r="BE62" s="32">
        <f t="shared" si="5"/>
        <v>335073</v>
      </c>
      <c r="BF62" s="32">
        <f t="shared" si="5"/>
        <v>646749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216120</v>
      </c>
      <c r="BK62" s="32">
        <f t="shared" si="5"/>
        <v>625647</v>
      </c>
      <c r="BL62" s="32">
        <f t="shared" si="5"/>
        <v>527097</v>
      </c>
      <c r="BM62" s="32">
        <f t="shared" si="5"/>
        <v>0</v>
      </c>
      <c r="BN62" s="32">
        <f t="shared" si="5"/>
        <v>599700</v>
      </c>
      <c r="BO62" s="32">
        <f t="shared" si="5"/>
        <v>49676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213163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641982</v>
      </c>
      <c r="BW62" s="32">
        <f t="shared" si="6"/>
        <v>66031</v>
      </c>
      <c r="BX62" s="32">
        <f t="shared" si="6"/>
        <v>0</v>
      </c>
      <c r="BY62" s="32">
        <f t="shared" si="6"/>
        <v>746917</v>
      </c>
      <c r="BZ62" s="32">
        <f t="shared" si="6"/>
        <v>0</v>
      </c>
      <c r="CA62" s="32">
        <f t="shared" si="6"/>
        <v>28999</v>
      </c>
      <c r="CB62" s="32">
        <f t="shared" si="6"/>
        <v>0</v>
      </c>
      <c r="CC62" s="32">
        <f t="shared" si="6"/>
        <v>520975</v>
      </c>
      <c r="CD62" s="29" t="s">
        <v>233</v>
      </c>
      <c r="CE62" s="32">
        <f t="shared" si="4"/>
        <v>19086136</v>
      </c>
    </row>
    <row r="63" spans="1:83" x14ac:dyDescent="0.35">
      <c r="A63" s="39" t="s">
        <v>249</v>
      </c>
      <c r="B63" s="20"/>
      <c r="C63" s="24">
        <v>443080</v>
      </c>
      <c r="D63" s="24"/>
      <c r="E63" s="24">
        <v>1428584</v>
      </c>
      <c r="F63" s="24"/>
      <c r="G63" s="24"/>
      <c r="H63" s="24"/>
      <c r="I63" s="24"/>
      <c r="J63" s="24">
        <v>0</v>
      </c>
      <c r="K63" s="24"/>
      <c r="L63" s="24"/>
      <c r="M63" s="24"/>
      <c r="N63" s="24"/>
      <c r="O63" s="24">
        <v>7500</v>
      </c>
      <c r="P63" s="30">
        <v>397584.49000000005</v>
      </c>
      <c r="Q63" s="30">
        <v>0</v>
      </c>
      <c r="R63" s="30">
        <v>75712</v>
      </c>
      <c r="S63" s="317">
        <v>0</v>
      </c>
      <c r="T63" s="317"/>
      <c r="U63" s="31">
        <v>541250.82999999996</v>
      </c>
      <c r="V63" s="30"/>
      <c r="W63" s="30">
        <v>0</v>
      </c>
      <c r="X63" s="30">
        <v>0</v>
      </c>
      <c r="Y63" s="30">
        <v>1530</v>
      </c>
      <c r="Z63" s="30"/>
      <c r="AA63" s="30">
        <v>0</v>
      </c>
      <c r="AB63" s="318">
        <v>0</v>
      </c>
      <c r="AC63" s="30">
        <v>294852.5</v>
      </c>
      <c r="AD63" s="30"/>
      <c r="AE63" s="30">
        <v>170574.64</v>
      </c>
      <c r="AF63" s="30"/>
      <c r="AG63" s="30">
        <v>2988005.5399999996</v>
      </c>
      <c r="AH63" s="30"/>
      <c r="AI63" s="30"/>
      <c r="AJ63" s="30"/>
      <c r="AK63" s="30"/>
      <c r="AL63" s="30"/>
      <c r="AM63" s="30"/>
      <c r="AN63" s="30"/>
      <c r="AO63" s="30"/>
      <c r="AP63" s="30">
        <v>1587673.0699999998</v>
      </c>
      <c r="AQ63" s="30"/>
      <c r="AR63" s="30"/>
      <c r="AS63" s="30"/>
      <c r="AT63" s="30"/>
      <c r="AU63" s="30"/>
      <c r="AV63" s="317">
        <v>0</v>
      </c>
      <c r="AW63" s="317"/>
      <c r="AX63" s="317"/>
      <c r="AY63" s="30">
        <v>0</v>
      </c>
      <c r="AZ63" s="30"/>
      <c r="BA63" s="317">
        <v>0</v>
      </c>
      <c r="BB63" s="317"/>
      <c r="BC63" s="317"/>
      <c r="BD63" s="317">
        <v>2545.4299999999998</v>
      </c>
      <c r="BE63" s="30">
        <v>0</v>
      </c>
      <c r="BF63" s="317">
        <v>0</v>
      </c>
      <c r="BG63" s="317"/>
      <c r="BH63" s="317">
        <v>0</v>
      </c>
      <c r="BI63" s="317"/>
      <c r="BJ63" s="317">
        <v>0</v>
      </c>
      <c r="BK63" s="317">
        <v>102504.24999999999</v>
      </c>
      <c r="BL63" s="317">
        <v>0</v>
      </c>
      <c r="BM63" s="317"/>
      <c r="BN63" s="317">
        <v>219301.95</v>
      </c>
      <c r="BO63" s="317">
        <v>0</v>
      </c>
      <c r="BP63" s="317">
        <v>0</v>
      </c>
      <c r="BQ63" s="317"/>
      <c r="BR63" s="317">
        <v>0</v>
      </c>
      <c r="BS63" s="317"/>
      <c r="BT63" s="317"/>
      <c r="BU63" s="317"/>
      <c r="BV63" s="317">
        <f>354625.5-21448</f>
        <v>333177.5</v>
      </c>
      <c r="BW63" s="317">
        <v>0</v>
      </c>
      <c r="BX63" s="317"/>
      <c r="BY63" s="317">
        <v>0</v>
      </c>
      <c r="BZ63" s="317"/>
      <c r="CA63" s="317">
        <v>0</v>
      </c>
      <c r="CB63" s="317"/>
      <c r="CC63" s="317">
        <v>1136567.5900000001</v>
      </c>
      <c r="CD63" s="29" t="s">
        <v>233</v>
      </c>
      <c r="CE63" s="32">
        <f t="shared" si="4"/>
        <v>9730443.7899999991</v>
      </c>
    </row>
    <row r="64" spans="1:83" x14ac:dyDescent="0.35">
      <c r="A64" s="39" t="s">
        <v>250</v>
      </c>
      <c r="B64" s="20"/>
      <c r="C64" s="24">
        <v>228962.95000000004</v>
      </c>
      <c r="D64" s="24"/>
      <c r="E64" s="24">
        <v>332274.61999999994</v>
      </c>
      <c r="F64" s="24"/>
      <c r="G64" s="24"/>
      <c r="H64" s="24"/>
      <c r="I64" s="24"/>
      <c r="J64" s="24">
        <v>43635.28</v>
      </c>
      <c r="K64" s="24"/>
      <c r="L64" s="24"/>
      <c r="M64" s="24"/>
      <c r="N64" s="24"/>
      <c r="O64" s="24">
        <v>108309.39999999998</v>
      </c>
      <c r="P64" s="30">
        <v>887096.88000000012</v>
      </c>
      <c r="Q64" s="30">
        <v>110592</v>
      </c>
      <c r="R64" s="30">
        <v>80247.349999999991</v>
      </c>
      <c r="S64" s="317">
        <v>6022554.129999999</v>
      </c>
      <c r="T64" s="317"/>
      <c r="U64" s="31">
        <v>2059322.1700000002</v>
      </c>
      <c r="V64" s="30"/>
      <c r="W64" s="30">
        <v>22243.599999999999</v>
      </c>
      <c r="X64" s="30">
        <v>171812.88999999998</v>
      </c>
      <c r="Y64" s="30">
        <v>197966.52</v>
      </c>
      <c r="Z64" s="30"/>
      <c r="AA64" s="30">
        <v>10299.879999999999</v>
      </c>
      <c r="AB64" s="318">
        <v>2399391.94</v>
      </c>
      <c r="AC64" s="30">
        <v>104563.24</v>
      </c>
      <c r="AD64" s="30"/>
      <c r="AE64" s="30">
        <v>46843.630000000005</v>
      </c>
      <c r="AF64" s="30"/>
      <c r="AG64" s="30">
        <v>353423.28000000009</v>
      </c>
      <c r="AH64" s="30"/>
      <c r="AI64" s="30"/>
      <c r="AJ64" s="30"/>
      <c r="AK64" s="30"/>
      <c r="AL64" s="30"/>
      <c r="AM64" s="30"/>
      <c r="AN64" s="30"/>
      <c r="AO64" s="30"/>
      <c r="AP64" s="30">
        <v>1128107.4000000001</v>
      </c>
      <c r="AQ64" s="30"/>
      <c r="AR64" s="30"/>
      <c r="AS64" s="30"/>
      <c r="AT64" s="30"/>
      <c r="AU64" s="30"/>
      <c r="AV64" s="317">
        <v>8538.0499999999975</v>
      </c>
      <c r="AW64" s="317"/>
      <c r="AX64" s="317"/>
      <c r="AY64" s="30">
        <v>777344.77999999991</v>
      </c>
      <c r="AZ64" s="30"/>
      <c r="BA64" s="317">
        <v>24905.52</v>
      </c>
      <c r="BB64" s="317"/>
      <c r="BC64" s="317"/>
      <c r="BD64" s="317">
        <v>106892.28</v>
      </c>
      <c r="BE64" s="30">
        <v>80818.13</v>
      </c>
      <c r="BF64" s="317">
        <v>217290.98</v>
      </c>
      <c r="BG64" s="317"/>
      <c r="BH64" s="317">
        <v>376927.79000000004</v>
      </c>
      <c r="BI64" s="317"/>
      <c r="BJ64" s="317">
        <v>4467.55</v>
      </c>
      <c r="BK64" s="317">
        <v>18315.079999999998</v>
      </c>
      <c r="BL64" s="317">
        <v>20616.47</v>
      </c>
      <c r="BM64" s="317"/>
      <c r="BN64" s="317">
        <v>38971.589999999997</v>
      </c>
      <c r="BO64" s="317">
        <v>12493.18</v>
      </c>
      <c r="BP64" s="317">
        <v>3336.17</v>
      </c>
      <c r="BQ64" s="317"/>
      <c r="BR64" s="317">
        <v>21679.93</v>
      </c>
      <c r="BS64" s="317"/>
      <c r="BT64" s="317"/>
      <c r="BU64" s="317"/>
      <c r="BV64" s="317">
        <v>667.07999999999959</v>
      </c>
      <c r="BW64" s="317">
        <v>3294.75</v>
      </c>
      <c r="BX64" s="317"/>
      <c r="BY64" s="317">
        <v>6888.38</v>
      </c>
      <c r="BZ64" s="317"/>
      <c r="CA64" s="317">
        <v>8032.0200000000013</v>
      </c>
      <c r="CB64" s="317"/>
      <c r="CC64" s="317">
        <f>182101.2+36</f>
        <v>182137.2</v>
      </c>
      <c r="CD64" s="29" t="s">
        <v>233</v>
      </c>
      <c r="CE64" s="32">
        <f t="shared" si="4"/>
        <v>16221264.090000002</v>
      </c>
    </row>
    <row r="65" spans="1:84" x14ac:dyDescent="0.35">
      <c r="A65" s="39" t="s">
        <v>251</v>
      </c>
      <c r="B65" s="20"/>
      <c r="C65" s="24">
        <v>615.67999999999995</v>
      </c>
      <c r="D65" s="24"/>
      <c r="E65" s="24">
        <v>1396.6399999999996</v>
      </c>
      <c r="F65" s="24"/>
      <c r="G65" s="24"/>
      <c r="H65" s="24"/>
      <c r="I65" s="24"/>
      <c r="J65" s="24">
        <v>0</v>
      </c>
      <c r="K65" s="24"/>
      <c r="L65" s="24"/>
      <c r="M65" s="24"/>
      <c r="N65" s="24"/>
      <c r="O65" s="24">
        <v>564.36</v>
      </c>
      <c r="P65" s="30">
        <v>630.6</v>
      </c>
      <c r="Q65" s="30">
        <v>0</v>
      </c>
      <c r="R65" s="30">
        <v>102.69</v>
      </c>
      <c r="S65" s="317">
        <v>0</v>
      </c>
      <c r="T65" s="317"/>
      <c r="U65" s="31">
        <v>125.83</v>
      </c>
      <c r="V65" s="30"/>
      <c r="W65" s="30">
        <v>0</v>
      </c>
      <c r="X65" s="30">
        <v>0</v>
      </c>
      <c r="Y65" s="30">
        <v>256.45000000000005</v>
      </c>
      <c r="Z65" s="30"/>
      <c r="AA65" s="30">
        <v>0</v>
      </c>
      <c r="AB65" s="318">
        <v>0</v>
      </c>
      <c r="AC65" s="30">
        <v>0</v>
      </c>
      <c r="AD65" s="30"/>
      <c r="AE65" s="30">
        <v>0</v>
      </c>
      <c r="AF65" s="30"/>
      <c r="AG65" s="30">
        <v>480.11999999999995</v>
      </c>
      <c r="AH65" s="30"/>
      <c r="AI65" s="30"/>
      <c r="AJ65" s="30"/>
      <c r="AK65" s="30"/>
      <c r="AL65" s="30"/>
      <c r="AM65" s="30"/>
      <c r="AN65" s="30"/>
      <c r="AO65" s="30"/>
      <c r="AP65" s="30">
        <v>21424.32</v>
      </c>
      <c r="AQ65" s="30"/>
      <c r="AR65" s="30"/>
      <c r="AS65" s="30"/>
      <c r="AT65" s="30"/>
      <c r="AU65" s="30"/>
      <c r="AV65" s="317">
        <v>0</v>
      </c>
      <c r="AW65" s="317"/>
      <c r="AX65" s="317"/>
      <c r="AY65" s="30">
        <v>0</v>
      </c>
      <c r="AZ65" s="30"/>
      <c r="BA65" s="317">
        <v>0</v>
      </c>
      <c r="BB65" s="317"/>
      <c r="BC65" s="317"/>
      <c r="BD65" s="317">
        <v>3062.8800000000006</v>
      </c>
      <c r="BE65" s="30">
        <v>771044.92999999993</v>
      </c>
      <c r="BF65" s="317">
        <v>179680.90000000002</v>
      </c>
      <c r="BG65" s="317"/>
      <c r="BH65" s="317">
        <v>239032.47000000003</v>
      </c>
      <c r="BI65" s="317"/>
      <c r="BJ65" s="317">
        <v>1056.01</v>
      </c>
      <c r="BK65" s="317">
        <v>670.24</v>
      </c>
      <c r="BL65" s="317">
        <v>0</v>
      </c>
      <c r="BM65" s="317"/>
      <c r="BN65" s="317">
        <v>1079.29</v>
      </c>
      <c r="BO65" s="317">
        <v>1048.5</v>
      </c>
      <c r="BP65" s="317">
        <v>0</v>
      </c>
      <c r="BQ65" s="317"/>
      <c r="BR65" s="317">
        <v>1052.08</v>
      </c>
      <c r="BS65" s="317"/>
      <c r="BT65" s="317"/>
      <c r="BU65" s="317"/>
      <c r="BV65" s="317">
        <v>386.39999999999992</v>
      </c>
      <c r="BW65" s="317">
        <v>0</v>
      </c>
      <c r="BX65" s="317"/>
      <c r="BY65" s="317">
        <v>4702.72</v>
      </c>
      <c r="BZ65" s="317"/>
      <c r="CA65" s="317">
        <v>0</v>
      </c>
      <c r="CB65" s="317"/>
      <c r="CC65" s="317">
        <v>3965.5199999999995</v>
      </c>
      <c r="CD65" s="29" t="s">
        <v>233</v>
      </c>
      <c r="CE65" s="32">
        <f t="shared" si="4"/>
        <v>1232378.6299999999</v>
      </c>
    </row>
    <row r="66" spans="1:84" x14ac:dyDescent="0.35">
      <c r="A66" s="39" t="s">
        <v>252</v>
      </c>
      <c r="B66" s="20"/>
      <c r="C66" s="24">
        <v>23413.86</v>
      </c>
      <c r="D66" s="24"/>
      <c r="E66" s="24">
        <v>15435.75</v>
      </c>
      <c r="F66" s="24"/>
      <c r="G66" s="24"/>
      <c r="H66" s="24"/>
      <c r="I66" s="24"/>
      <c r="J66" s="24">
        <v>721.91000000000008</v>
      </c>
      <c r="K66" s="24"/>
      <c r="L66" s="24"/>
      <c r="M66" s="24"/>
      <c r="N66" s="24"/>
      <c r="O66" s="24">
        <v>8095.170000000001</v>
      </c>
      <c r="P66" s="30">
        <v>329908.09999999992</v>
      </c>
      <c r="Q66" s="30">
        <v>1550.07</v>
      </c>
      <c r="R66" s="30">
        <v>53194.36</v>
      </c>
      <c r="S66" s="317">
        <v>51.44</v>
      </c>
      <c r="T66" s="317"/>
      <c r="U66" s="31">
        <v>1386259.23</v>
      </c>
      <c r="V66" s="30"/>
      <c r="W66" s="30">
        <v>11270.28</v>
      </c>
      <c r="X66" s="30">
        <v>138544.92999999996</v>
      </c>
      <c r="Y66" s="30">
        <v>841366.05999999994</v>
      </c>
      <c r="Z66" s="30"/>
      <c r="AA66" s="30">
        <v>57524.969999999994</v>
      </c>
      <c r="AB66" s="318">
        <v>346920.72000000009</v>
      </c>
      <c r="AC66" s="30">
        <v>62882.7</v>
      </c>
      <c r="AD66" s="30"/>
      <c r="AE66" s="30">
        <v>9393.43</v>
      </c>
      <c r="AF66" s="30"/>
      <c r="AG66" s="30">
        <v>453937.41000000003</v>
      </c>
      <c r="AH66" s="30"/>
      <c r="AI66" s="30"/>
      <c r="AJ66" s="30"/>
      <c r="AK66" s="30"/>
      <c r="AL66" s="30"/>
      <c r="AM66" s="30"/>
      <c r="AN66" s="30"/>
      <c r="AO66" s="30"/>
      <c r="AP66" s="30">
        <v>281662.35000000003</v>
      </c>
      <c r="AQ66" s="30"/>
      <c r="AR66" s="30"/>
      <c r="AS66" s="30"/>
      <c r="AT66" s="30"/>
      <c r="AU66" s="30"/>
      <c r="AV66" s="317">
        <v>3066</v>
      </c>
      <c r="AW66" s="317"/>
      <c r="AX66" s="317"/>
      <c r="AY66" s="30">
        <v>47904.91</v>
      </c>
      <c r="AZ66" s="30"/>
      <c r="BA66" s="317">
        <v>165180.48000000001</v>
      </c>
      <c r="BB66" s="317"/>
      <c r="BC66" s="317"/>
      <c r="BD66" s="317">
        <v>40173.99</v>
      </c>
      <c r="BE66" s="30">
        <v>837186.82</v>
      </c>
      <c r="BF66" s="317">
        <v>151888.18</v>
      </c>
      <c r="BG66" s="317"/>
      <c r="BH66" s="317">
        <v>8402745.8399999999</v>
      </c>
      <c r="BI66" s="317"/>
      <c r="BJ66" s="317">
        <v>5217.0599999999977</v>
      </c>
      <c r="BK66" s="317">
        <v>408345.52999999997</v>
      </c>
      <c r="BL66" s="317">
        <v>15877.990000000002</v>
      </c>
      <c r="BM66" s="317"/>
      <c r="BN66" s="317">
        <v>729209.49999999988</v>
      </c>
      <c r="BO66" s="317">
        <v>22856.2</v>
      </c>
      <c r="BP66" s="317">
        <v>246991.35</v>
      </c>
      <c r="BQ66" s="317"/>
      <c r="BR66" s="317">
        <v>116035.51</v>
      </c>
      <c r="BS66" s="317"/>
      <c r="BT66" s="317"/>
      <c r="BU66" s="317"/>
      <c r="BV66" s="317">
        <v>0</v>
      </c>
      <c r="BW66" s="317">
        <v>31896.18</v>
      </c>
      <c r="BX66" s="317"/>
      <c r="BY66" s="317">
        <v>363659.02</v>
      </c>
      <c r="BZ66" s="317"/>
      <c r="CA66" s="317">
        <v>53933.99</v>
      </c>
      <c r="CB66" s="317"/>
      <c r="CC66" s="317">
        <v>1045653.53</v>
      </c>
      <c r="CD66" s="29" t="s">
        <v>233</v>
      </c>
      <c r="CE66" s="32">
        <f t="shared" si="4"/>
        <v>16709954.819999998</v>
      </c>
    </row>
    <row r="67" spans="1:84" x14ac:dyDescent="0.35">
      <c r="A67" s="39" t="s">
        <v>11</v>
      </c>
      <c r="B67" s="20"/>
      <c r="C67" s="32">
        <f>ROUND(C51+C52,0)</f>
        <v>216447</v>
      </c>
      <c r="D67" s="32">
        <f t="shared" ref="D67:BN67" si="7">ROUND(D51+D52,0)</f>
        <v>0</v>
      </c>
      <c r="E67" s="32">
        <f t="shared" si="7"/>
        <v>639358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16007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32373</v>
      </c>
      <c r="P67" s="32">
        <f t="shared" si="7"/>
        <v>218020</v>
      </c>
      <c r="Q67" s="32">
        <f t="shared" si="7"/>
        <v>240659</v>
      </c>
      <c r="R67" s="32">
        <f t="shared" si="7"/>
        <v>10348</v>
      </c>
      <c r="S67" s="32">
        <f t="shared" si="7"/>
        <v>98638</v>
      </c>
      <c r="T67" s="32">
        <f t="shared" si="7"/>
        <v>0</v>
      </c>
      <c r="U67" s="32">
        <f t="shared" si="7"/>
        <v>145877</v>
      </c>
      <c r="V67" s="32">
        <f t="shared" si="7"/>
        <v>0</v>
      </c>
      <c r="W67" s="32">
        <f t="shared" si="7"/>
        <v>70979</v>
      </c>
      <c r="X67" s="32">
        <f t="shared" si="7"/>
        <v>26289</v>
      </c>
      <c r="Y67" s="32">
        <f t="shared" si="7"/>
        <v>232188</v>
      </c>
      <c r="Z67" s="32">
        <f t="shared" si="7"/>
        <v>0</v>
      </c>
      <c r="AA67" s="32">
        <f t="shared" si="7"/>
        <v>22918</v>
      </c>
      <c r="AB67" s="32">
        <f t="shared" si="7"/>
        <v>63836</v>
      </c>
      <c r="AC67" s="32">
        <f t="shared" si="7"/>
        <v>26748</v>
      </c>
      <c r="AD67" s="32">
        <f t="shared" si="7"/>
        <v>0</v>
      </c>
      <c r="AE67" s="32">
        <f t="shared" si="7"/>
        <v>119684</v>
      </c>
      <c r="AF67" s="32">
        <f t="shared" si="7"/>
        <v>0</v>
      </c>
      <c r="AG67" s="32">
        <f t="shared" si="7"/>
        <v>316895</v>
      </c>
      <c r="AH67" s="32">
        <f t="shared" si="7"/>
        <v>0</v>
      </c>
      <c r="AI67" s="32">
        <f t="shared" si="7"/>
        <v>0</v>
      </c>
      <c r="AJ67" s="32">
        <f t="shared" si="7"/>
        <v>0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2920239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8897</v>
      </c>
      <c r="AW67" s="32">
        <f t="shared" si="7"/>
        <v>0</v>
      </c>
      <c r="AX67" s="32">
        <f t="shared" si="7"/>
        <v>0</v>
      </c>
      <c r="AY67" s="32">
        <f t="shared" si="7"/>
        <v>167360</v>
      </c>
      <c r="AZ67" s="32">
        <f t="shared" si="7"/>
        <v>0</v>
      </c>
      <c r="BA67" s="32">
        <f t="shared" si="7"/>
        <v>48509</v>
      </c>
      <c r="BB67" s="32">
        <f t="shared" si="7"/>
        <v>0</v>
      </c>
      <c r="BC67" s="32">
        <f t="shared" si="7"/>
        <v>0</v>
      </c>
      <c r="BD67" s="32">
        <f t="shared" si="7"/>
        <v>112980</v>
      </c>
      <c r="BE67" s="32">
        <f t="shared" si="7"/>
        <v>671271</v>
      </c>
      <c r="BF67" s="32">
        <f t="shared" si="7"/>
        <v>76210</v>
      </c>
      <c r="BG67" s="32">
        <f t="shared" si="7"/>
        <v>0</v>
      </c>
      <c r="BH67" s="32">
        <f t="shared" si="7"/>
        <v>108029</v>
      </c>
      <c r="BI67" s="32">
        <f t="shared" si="7"/>
        <v>0</v>
      </c>
      <c r="BJ67" s="32">
        <f t="shared" si="7"/>
        <v>65799</v>
      </c>
      <c r="BK67" s="32">
        <f t="shared" si="7"/>
        <v>90804</v>
      </c>
      <c r="BL67" s="32">
        <f t="shared" si="7"/>
        <v>63823</v>
      </c>
      <c r="BM67" s="32">
        <f t="shared" si="7"/>
        <v>0</v>
      </c>
      <c r="BN67" s="32">
        <f t="shared" si="7"/>
        <v>178736</v>
      </c>
      <c r="BO67" s="32">
        <f t="shared" ref="BO67:CB67" si="8">ROUND(BO51+BO52,0)</f>
        <v>9274</v>
      </c>
      <c r="BP67" s="32">
        <f t="shared" si="8"/>
        <v>94578</v>
      </c>
      <c r="BQ67" s="32">
        <f t="shared" si="8"/>
        <v>0</v>
      </c>
      <c r="BR67" s="32">
        <f t="shared" si="8"/>
        <v>70700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150948</v>
      </c>
      <c r="BW67" s="32">
        <f t="shared" si="8"/>
        <v>33932</v>
      </c>
      <c r="BX67" s="32">
        <f t="shared" si="8"/>
        <v>0</v>
      </c>
      <c r="BY67" s="32">
        <f t="shared" si="8"/>
        <v>57468</v>
      </c>
      <c r="BZ67" s="32">
        <f t="shared" si="8"/>
        <v>0</v>
      </c>
      <c r="CA67" s="32">
        <f t="shared" si="8"/>
        <v>34734</v>
      </c>
      <c r="CB67" s="32">
        <f t="shared" si="8"/>
        <v>0</v>
      </c>
      <c r="CC67" s="32">
        <f>ROUND(CC51+CC52,0)</f>
        <v>606077</v>
      </c>
      <c r="CD67" s="29" t="s">
        <v>233</v>
      </c>
      <c r="CE67" s="32">
        <f t="shared" si="4"/>
        <v>8067632</v>
      </c>
    </row>
    <row r="68" spans="1:84" x14ac:dyDescent="0.35">
      <c r="A68" s="39" t="s">
        <v>253</v>
      </c>
      <c r="B68" s="32"/>
      <c r="C68" s="24">
        <v>13.6</v>
      </c>
      <c r="D68" s="24"/>
      <c r="E68" s="24">
        <v>950.02</v>
      </c>
      <c r="F68" s="24"/>
      <c r="G68" s="24"/>
      <c r="H68" s="24"/>
      <c r="I68" s="24"/>
      <c r="J68" s="24">
        <v>0</v>
      </c>
      <c r="K68" s="24"/>
      <c r="L68" s="24"/>
      <c r="M68" s="24"/>
      <c r="N68" s="24"/>
      <c r="O68" s="24">
        <v>0</v>
      </c>
      <c r="P68" s="30">
        <v>50618.33</v>
      </c>
      <c r="Q68" s="30">
        <v>100.59</v>
      </c>
      <c r="R68" s="30">
        <v>942.9899999999999</v>
      </c>
      <c r="S68" s="317">
        <v>49197.85</v>
      </c>
      <c r="T68" s="317"/>
      <c r="U68" s="31">
        <v>69.459999999999994</v>
      </c>
      <c r="V68" s="30"/>
      <c r="W68" s="30">
        <v>0</v>
      </c>
      <c r="X68" s="30">
        <v>0</v>
      </c>
      <c r="Y68" s="30">
        <v>621.33000000000004</v>
      </c>
      <c r="Z68" s="30"/>
      <c r="AA68" s="30">
        <v>0</v>
      </c>
      <c r="AB68" s="318">
        <v>0</v>
      </c>
      <c r="AC68" s="30">
        <v>13127.39</v>
      </c>
      <c r="AD68" s="30"/>
      <c r="AE68" s="30">
        <v>36.99</v>
      </c>
      <c r="AF68" s="30"/>
      <c r="AG68" s="30">
        <v>159.77000000000001</v>
      </c>
      <c r="AH68" s="30"/>
      <c r="AI68" s="30"/>
      <c r="AJ68" s="30"/>
      <c r="AK68" s="30"/>
      <c r="AL68" s="30"/>
      <c r="AM68" s="30"/>
      <c r="AN68" s="30"/>
      <c r="AO68" s="30"/>
      <c r="AP68" s="30">
        <v>43293.68</v>
      </c>
      <c r="AQ68" s="30"/>
      <c r="AR68" s="30"/>
      <c r="AS68" s="30"/>
      <c r="AT68" s="30"/>
      <c r="AU68" s="30"/>
      <c r="AV68" s="317">
        <v>0</v>
      </c>
      <c r="AW68" s="317"/>
      <c r="AX68" s="317"/>
      <c r="AY68" s="30">
        <v>0</v>
      </c>
      <c r="AZ68" s="30"/>
      <c r="BA68" s="317">
        <v>0</v>
      </c>
      <c r="BB68" s="317"/>
      <c r="BC68" s="317"/>
      <c r="BD68" s="317">
        <v>25397.74</v>
      </c>
      <c r="BE68" s="30">
        <v>3114.1199999999953</v>
      </c>
      <c r="BF68" s="317">
        <v>0</v>
      </c>
      <c r="BG68" s="317"/>
      <c r="BH68" s="317">
        <v>91911.03</v>
      </c>
      <c r="BI68" s="317"/>
      <c r="BJ68" s="317">
        <v>0</v>
      </c>
      <c r="BK68" s="317">
        <v>0</v>
      </c>
      <c r="BL68" s="317">
        <v>0</v>
      </c>
      <c r="BM68" s="317"/>
      <c r="BN68" s="317">
        <v>0</v>
      </c>
      <c r="BO68" s="317">
        <v>0</v>
      </c>
      <c r="BP68" s="317">
        <v>0</v>
      </c>
      <c r="BQ68" s="317"/>
      <c r="BR68" s="317">
        <v>16310</v>
      </c>
      <c r="BS68" s="317"/>
      <c r="BT68" s="317"/>
      <c r="BU68" s="317"/>
      <c r="BV68" s="317">
        <v>0</v>
      </c>
      <c r="BW68" s="317">
        <v>779.84999999999991</v>
      </c>
      <c r="BX68" s="317"/>
      <c r="BY68" s="317">
        <v>0</v>
      </c>
      <c r="BZ68" s="317"/>
      <c r="CA68" s="317">
        <v>-1.8189999999999998E-12</v>
      </c>
      <c r="CB68" s="317"/>
      <c r="CC68" s="317">
        <v>64213.64</v>
      </c>
      <c r="CD68" s="29" t="s">
        <v>233</v>
      </c>
      <c r="CE68" s="32">
        <f t="shared" si="4"/>
        <v>360858.38</v>
      </c>
    </row>
    <row r="69" spans="1:84" x14ac:dyDescent="0.35">
      <c r="A69" s="39" t="s">
        <v>254</v>
      </c>
      <c r="B69" s="20"/>
      <c r="C69" s="32">
        <f t="shared" ref="C69:BN69" si="9">SUM(C70:C83)</f>
        <v>-78</v>
      </c>
      <c r="D69" s="32">
        <f t="shared" si="9"/>
        <v>0</v>
      </c>
      <c r="E69" s="32">
        <f t="shared" si="9"/>
        <v>1376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1742.73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8441.91</v>
      </c>
      <c r="P69" s="32">
        <f t="shared" si="9"/>
        <v>13148.34</v>
      </c>
      <c r="Q69" s="32">
        <f t="shared" si="9"/>
        <v>0</v>
      </c>
      <c r="R69" s="32">
        <f t="shared" si="9"/>
        <v>17730.04</v>
      </c>
      <c r="S69" s="32">
        <f t="shared" si="9"/>
        <v>3.57</v>
      </c>
      <c r="T69" s="32">
        <f t="shared" si="9"/>
        <v>0</v>
      </c>
      <c r="U69" s="32">
        <f t="shared" si="9"/>
        <v>3034.92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1232.18</v>
      </c>
      <c r="Z69" s="32">
        <f t="shared" si="9"/>
        <v>0</v>
      </c>
      <c r="AA69" s="32">
        <f t="shared" si="9"/>
        <v>0</v>
      </c>
      <c r="AB69" s="32">
        <f t="shared" si="9"/>
        <v>19335.89</v>
      </c>
      <c r="AC69" s="32">
        <f t="shared" si="9"/>
        <v>5043.0200000000004</v>
      </c>
      <c r="AD69" s="32">
        <f t="shared" si="9"/>
        <v>0</v>
      </c>
      <c r="AE69" s="32">
        <f t="shared" si="9"/>
        <v>13788.35</v>
      </c>
      <c r="AF69" s="32">
        <f t="shared" si="9"/>
        <v>0</v>
      </c>
      <c r="AG69" s="32">
        <f t="shared" si="9"/>
        <v>45397.2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461054.57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7868.9799999999987</v>
      </c>
      <c r="AW69" s="32">
        <f t="shared" si="9"/>
        <v>0</v>
      </c>
      <c r="AX69" s="32">
        <f t="shared" si="9"/>
        <v>0</v>
      </c>
      <c r="AY69" s="32">
        <f t="shared" si="9"/>
        <v>13497.19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-64313.790000000008</v>
      </c>
      <c r="BE69" s="32">
        <f t="shared" si="9"/>
        <v>23294.83</v>
      </c>
      <c r="BF69" s="32">
        <f t="shared" si="9"/>
        <v>7762.0400000000009</v>
      </c>
      <c r="BG69" s="32">
        <f t="shared" si="9"/>
        <v>0</v>
      </c>
      <c r="BH69" s="32">
        <f t="shared" si="9"/>
        <v>186243.44</v>
      </c>
      <c r="BI69" s="32">
        <f t="shared" si="9"/>
        <v>0</v>
      </c>
      <c r="BJ69" s="32">
        <f t="shared" si="9"/>
        <v>179594.16000000003</v>
      </c>
      <c r="BK69" s="32">
        <f t="shared" si="9"/>
        <v>2904</v>
      </c>
      <c r="BL69" s="32">
        <f t="shared" si="9"/>
        <v>3400.54</v>
      </c>
      <c r="BM69" s="32">
        <f t="shared" si="9"/>
        <v>0</v>
      </c>
      <c r="BN69" s="32">
        <f t="shared" si="9"/>
        <v>471889.58999999997</v>
      </c>
      <c r="BO69" s="32">
        <f t="shared" ref="BO69:CD69" si="10">SUM(BO70:BO83)</f>
        <v>0</v>
      </c>
      <c r="BP69" s="32">
        <f t="shared" si="10"/>
        <v>77800.41</v>
      </c>
      <c r="BQ69" s="32">
        <f t="shared" si="10"/>
        <v>0</v>
      </c>
      <c r="BR69" s="32">
        <f t="shared" si="10"/>
        <v>295450.65000000002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3954.23</v>
      </c>
      <c r="BW69" s="32">
        <f t="shared" si="10"/>
        <v>45772.12999999999</v>
      </c>
      <c r="BX69" s="32">
        <f t="shared" si="10"/>
        <v>0</v>
      </c>
      <c r="BY69" s="32">
        <f t="shared" si="10"/>
        <v>15509.34</v>
      </c>
      <c r="BZ69" s="32">
        <f t="shared" si="10"/>
        <v>0</v>
      </c>
      <c r="CA69" s="32">
        <f t="shared" si="10"/>
        <v>14946.45</v>
      </c>
      <c r="CB69" s="32">
        <f t="shared" si="10"/>
        <v>0</v>
      </c>
      <c r="CC69" s="32">
        <f t="shared" si="10"/>
        <v>47524.24</v>
      </c>
      <c r="CD69" s="32">
        <f t="shared" si="10"/>
        <v>3790587.9899999998</v>
      </c>
      <c r="CE69" s="32">
        <f>SUM(CE70:CE84)</f>
        <v>16925959.350000001</v>
      </c>
      <c r="CF69" s="343"/>
    </row>
    <row r="70" spans="1:84" x14ac:dyDescent="0.3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4" x14ac:dyDescent="0.35">
      <c r="A71" s="33" t="s">
        <v>256</v>
      </c>
      <c r="B71" s="34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5" si="11">SUM(C71:CD71)</f>
        <v>0</v>
      </c>
    </row>
    <row r="72" spans="1:84" x14ac:dyDescent="0.3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4" x14ac:dyDescent="0.3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0</v>
      </c>
    </row>
    <row r="74" spans="1:84" x14ac:dyDescent="0.3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4" x14ac:dyDescent="0.3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4" x14ac:dyDescent="0.3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4" x14ac:dyDescent="0.3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0</v>
      </c>
    </row>
    <row r="78" spans="1:84" x14ac:dyDescent="0.3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0</v>
      </c>
    </row>
    <row r="79" spans="1:84" x14ac:dyDescent="0.3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0</v>
      </c>
    </row>
    <row r="80" spans="1:84" x14ac:dyDescent="0.3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5" x14ac:dyDescent="0.3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1"/>
        <v>0</v>
      </c>
    </row>
    <row r="82" spans="1:85" x14ac:dyDescent="0.3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0</v>
      </c>
    </row>
    <row r="83" spans="1:85" x14ac:dyDescent="0.35">
      <c r="A83" s="33" t="s">
        <v>268</v>
      </c>
      <c r="B83" s="20"/>
      <c r="C83" s="24">
        <v>-78</v>
      </c>
      <c r="D83" s="24"/>
      <c r="E83" s="30">
        <v>1376</v>
      </c>
      <c r="F83" s="30"/>
      <c r="G83" s="24"/>
      <c r="H83" s="24"/>
      <c r="I83" s="30"/>
      <c r="J83" s="30">
        <v>1742.73</v>
      </c>
      <c r="K83" s="30"/>
      <c r="L83" s="30"/>
      <c r="M83" s="24"/>
      <c r="N83" s="24"/>
      <c r="O83" s="24">
        <v>8441.91</v>
      </c>
      <c r="P83" s="30">
        <v>13148.34</v>
      </c>
      <c r="Q83" s="30">
        <v>0</v>
      </c>
      <c r="R83" s="31">
        <v>17730.04</v>
      </c>
      <c r="S83" s="30">
        <v>3.57</v>
      </c>
      <c r="T83" s="24"/>
      <c r="U83" s="30">
        <v>3034.92</v>
      </c>
      <c r="V83" s="30"/>
      <c r="W83" s="24">
        <v>0</v>
      </c>
      <c r="X83" s="30">
        <v>0</v>
      </c>
      <c r="Y83" s="30">
        <v>1232.18</v>
      </c>
      <c r="Z83" s="30"/>
      <c r="AA83" s="30">
        <v>0</v>
      </c>
      <c r="AB83" s="30">
        <v>19335.89</v>
      </c>
      <c r="AC83" s="30">
        <v>5043.0200000000004</v>
      </c>
      <c r="AD83" s="30"/>
      <c r="AE83" s="30">
        <v>13788.35</v>
      </c>
      <c r="AF83" s="30"/>
      <c r="AG83" s="30">
        <v>45397.2</v>
      </c>
      <c r="AH83" s="30"/>
      <c r="AI83" s="30"/>
      <c r="AJ83" s="30"/>
      <c r="AK83" s="30"/>
      <c r="AL83" s="30"/>
      <c r="AM83" s="30"/>
      <c r="AN83" s="30"/>
      <c r="AO83" s="24"/>
      <c r="AP83" s="30">
        <v>461054.57</v>
      </c>
      <c r="AQ83" s="24"/>
      <c r="AR83" s="24"/>
      <c r="AS83" s="24"/>
      <c r="AT83" s="24"/>
      <c r="AU83" s="30"/>
      <c r="AV83" s="30">
        <v>7868.9799999999987</v>
      </c>
      <c r="AW83" s="30"/>
      <c r="AX83" s="30"/>
      <c r="AY83" s="30">
        <v>13497.19</v>
      </c>
      <c r="AZ83" s="30"/>
      <c r="BA83" s="30">
        <v>0</v>
      </c>
      <c r="BB83" s="30"/>
      <c r="BC83" s="30"/>
      <c r="BD83" s="30">
        <v>-64313.790000000008</v>
      </c>
      <c r="BE83" s="30">
        <v>23294.83</v>
      </c>
      <c r="BF83" s="30">
        <v>7762.0400000000009</v>
      </c>
      <c r="BG83" s="30"/>
      <c r="BH83" s="31">
        <v>186243.44</v>
      </c>
      <c r="BI83" s="30"/>
      <c r="BJ83" s="30">
        <v>179594.16000000003</v>
      </c>
      <c r="BK83" s="30">
        <v>2904</v>
      </c>
      <c r="BL83" s="30">
        <v>3400.54</v>
      </c>
      <c r="BM83" s="30"/>
      <c r="BN83" s="30">
        <v>471889.58999999997</v>
      </c>
      <c r="BO83" s="30">
        <v>0</v>
      </c>
      <c r="BP83" s="30">
        <v>77800.41</v>
      </c>
      <c r="BQ83" s="30"/>
      <c r="BR83" s="30">
        <v>295450.65000000002</v>
      </c>
      <c r="BS83" s="30"/>
      <c r="BT83" s="30"/>
      <c r="BU83" s="30"/>
      <c r="BV83" s="30">
        <v>3954.23</v>
      </c>
      <c r="BW83" s="30">
        <v>45772.12999999999</v>
      </c>
      <c r="BX83" s="30"/>
      <c r="BY83" s="30">
        <v>15509.34</v>
      </c>
      <c r="BZ83" s="30"/>
      <c r="CA83" s="30">
        <v>14946.45</v>
      </c>
      <c r="CB83" s="30"/>
      <c r="CC83" s="30">
        <f>47524.24</f>
        <v>47524.24</v>
      </c>
      <c r="CD83" s="35">
        <v>3790587.9899999998</v>
      </c>
      <c r="CE83" s="32">
        <f t="shared" si="11"/>
        <v>5714937.1399999997</v>
      </c>
    </row>
    <row r="84" spans="1:85" x14ac:dyDescent="0.35">
      <c r="A84" s="39" t="s">
        <v>269</v>
      </c>
      <c r="B84" s="20"/>
      <c r="C84" s="24">
        <v>0</v>
      </c>
      <c r="D84" s="24"/>
      <c r="E84" s="24">
        <v>0</v>
      </c>
      <c r="F84" s="24"/>
      <c r="G84" s="24"/>
      <c r="H84" s="24"/>
      <c r="I84" s="24"/>
      <c r="J84" s="24">
        <v>0</v>
      </c>
      <c r="K84" s="24"/>
      <c r="L84" s="24"/>
      <c r="M84" s="24"/>
      <c r="N84" s="24"/>
      <c r="O84" s="24">
        <v>0</v>
      </c>
      <c r="P84" s="24">
        <v>-1517.76</v>
      </c>
      <c r="Q84" s="24">
        <v>0</v>
      </c>
      <c r="R84" s="24">
        <v>2089224.76</v>
      </c>
      <c r="S84" s="24">
        <v>0</v>
      </c>
      <c r="T84" s="24"/>
      <c r="U84" s="24">
        <v>8.9399999999999409</v>
      </c>
      <c r="V84" s="24"/>
      <c r="W84" s="24">
        <v>0</v>
      </c>
      <c r="X84" s="24">
        <v>0</v>
      </c>
      <c r="Y84" s="24">
        <v>0</v>
      </c>
      <c r="Z84" s="24"/>
      <c r="AA84" s="24">
        <v>0</v>
      </c>
      <c r="AB84" s="24">
        <v>2281079.1300000004</v>
      </c>
      <c r="AC84" s="24">
        <v>-6975.98</v>
      </c>
      <c r="AD84" s="24"/>
      <c r="AE84" s="24">
        <v>0</v>
      </c>
      <c r="AF84" s="24"/>
      <c r="AG84" s="24">
        <v>0</v>
      </c>
      <c r="AH84" s="24"/>
      <c r="AI84" s="24"/>
      <c r="AJ84" s="24"/>
      <c r="AK84" s="24"/>
      <c r="AL84" s="24"/>
      <c r="AM84" s="24"/>
      <c r="AN84" s="24"/>
      <c r="AO84" s="24"/>
      <c r="AP84" s="24">
        <v>71547.48</v>
      </c>
      <c r="AQ84" s="24"/>
      <c r="AR84" s="24"/>
      <c r="AS84" s="24"/>
      <c r="AT84" s="24"/>
      <c r="AU84" s="24"/>
      <c r="AV84" s="24">
        <v>0</v>
      </c>
      <c r="AW84" s="24"/>
      <c r="AX84" s="24"/>
      <c r="AY84" s="24">
        <v>370875.07</v>
      </c>
      <c r="AZ84" s="24"/>
      <c r="BA84" s="24">
        <v>0</v>
      </c>
      <c r="BB84" s="24"/>
      <c r="BC84" s="24"/>
      <c r="BD84" s="24">
        <v>-4.26</v>
      </c>
      <c r="BE84" s="24">
        <v>0</v>
      </c>
      <c r="BF84" s="24">
        <v>0</v>
      </c>
      <c r="BG84" s="24"/>
      <c r="BH84" s="24">
        <v>0</v>
      </c>
      <c r="BI84" s="24"/>
      <c r="BJ84" s="24">
        <v>0</v>
      </c>
      <c r="BK84" s="24">
        <v>11991.97</v>
      </c>
      <c r="BL84" s="24">
        <v>0</v>
      </c>
      <c r="BM84" s="24"/>
      <c r="BN84" s="24">
        <v>0</v>
      </c>
      <c r="BO84" s="24">
        <v>0</v>
      </c>
      <c r="BP84" s="24">
        <v>0</v>
      </c>
      <c r="BQ84" s="24"/>
      <c r="BR84" s="24">
        <v>0</v>
      </c>
      <c r="BS84" s="24"/>
      <c r="BT84" s="24"/>
      <c r="BU84" s="24"/>
      <c r="BV84" s="24">
        <v>21835.32</v>
      </c>
      <c r="BW84" s="24">
        <v>8575</v>
      </c>
      <c r="BX84" s="24"/>
      <c r="BY84" s="24">
        <v>0</v>
      </c>
      <c r="BZ84" s="24"/>
      <c r="CA84" s="24">
        <v>0</v>
      </c>
      <c r="CB84" s="24"/>
      <c r="CC84" s="24"/>
      <c r="CD84" s="35">
        <v>6364382.54</v>
      </c>
      <c r="CE84" s="32">
        <f t="shared" si="11"/>
        <v>11211022.210000001</v>
      </c>
    </row>
    <row r="85" spans="1:85" x14ac:dyDescent="0.35">
      <c r="A85" s="39" t="s">
        <v>270</v>
      </c>
      <c r="B85" s="32"/>
      <c r="C85" s="32">
        <f>SUM(C61:C69)-C84</f>
        <v>3655028.39</v>
      </c>
      <c r="D85" s="32">
        <f t="shared" ref="D85:BO85" si="12">SUM(D61:D69)-D84</f>
        <v>0</v>
      </c>
      <c r="E85" s="32">
        <f t="shared" si="12"/>
        <v>8927794.2199999988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62106.920000000006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165283.84</v>
      </c>
      <c r="P85" s="32">
        <f t="shared" si="12"/>
        <v>3830538.63</v>
      </c>
      <c r="Q85" s="32">
        <f t="shared" si="12"/>
        <v>2343233.27</v>
      </c>
      <c r="R85" s="32">
        <f t="shared" si="12"/>
        <v>-711391.23</v>
      </c>
      <c r="S85" s="32">
        <f t="shared" si="12"/>
        <v>6170444.9899999993</v>
      </c>
      <c r="T85" s="32">
        <f t="shared" si="12"/>
        <v>0</v>
      </c>
      <c r="U85" s="32">
        <f t="shared" si="12"/>
        <v>6621114.7199999988</v>
      </c>
      <c r="V85" s="32">
        <f t="shared" si="12"/>
        <v>0</v>
      </c>
      <c r="W85" s="32">
        <f t="shared" si="12"/>
        <v>400713.95999999996</v>
      </c>
      <c r="X85" s="32">
        <f t="shared" si="12"/>
        <v>915684.88</v>
      </c>
      <c r="Y85" s="32">
        <f t="shared" si="12"/>
        <v>3913241.9800000009</v>
      </c>
      <c r="Z85" s="32">
        <f t="shared" si="12"/>
        <v>0</v>
      </c>
      <c r="AA85" s="32">
        <f t="shared" si="12"/>
        <v>113320.85999999999</v>
      </c>
      <c r="AB85" s="32">
        <f t="shared" si="12"/>
        <v>2733655.4199999985</v>
      </c>
      <c r="AC85" s="32">
        <f t="shared" si="12"/>
        <v>1497624.0099999998</v>
      </c>
      <c r="AD85" s="32">
        <f t="shared" si="12"/>
        <v>0</v>
      </c>
      <c r="AE85" s="32">
        <f t="shared" si="12"/>
        <v>2733638.1400000006</v>
      </c>
      <c r="AF85" s="32">
        <f t="shared" si="12"/>
        <v>0</v>
      </c>
      <c r="AG85" s="32">
        <f t="shared" si="12"/>
        <v>9283791.8099999968</v>
      </c>
      <c r="AH85" s="32">
        <f t="shared" si="12"/>
        <v>0</v>
      </c>
      <c r="AI85" s="32">
        <f t="shared" si="12"/>
        <v>0</v>
      </c>
      <c r="AJ85" s="32">
        <f t="shared" si="12"/>
        <v>0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29485748.640000001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556905.90000000014</v>
      </c>
      <c r="AW85" s="32">
        <f t="shared" si="12"/>
        <v>0</v>
      </c>
      <c r="AX85" s="32">
        <f t="shared" si="12"/>
        <v>0</v>
      </c>
      <c r="AY85" s="32">
        <f t="shared" si="12"/>
        <v>1874813.8999999992</v>
      </c>
      <c r="AZ85" s="32">
        <f t="shared" si="12"/>
        <v>0</v>
      </c>
      <c r="BA85" s="32">
        <f t="shared" si="12"/>
        <v>338993.61</v>
      </c>
      <c r="BB85" s="32">
        <f t="shared" si="12"/>
        <v>0</v>
      </c>
      <c r="BC85" s="32">
        <f t="shared" si="12"/>
        <v>0</v>
      </c>
      <c r="BD85" s="32">
        <f t="shared" si="12"/>
        <v>894008.11</v>
      </c>
      <c r="BE85" s="32">
        <f t="shared" si="12"/>
        <v>3584233.46</v>
      </c>
      <c r="BF85" s="32">
        <f t="shared" si="12"/>
        <v>2727093.1700000004</v>
      </c>
      <c r="BG85" s="32">
        <f t="shared" si="12"/>
        <v>0</v>
      </c>
      <c r="BH85" s="32">
        <f t="shared" si="12"/>
        <v>9404889.5699999984</v>
      </c>
      <c r="BI85" s="32">
        <f t="shared" si="12"/>
        <v>0</v>
      </c>
      <c r="BJ85" s="32">
        <f t="shared" si="12"/>
        <v>1004189.66</v>
      </c>
      <c r="BK85" s="32">
        <f t="shared" si="12"/>
        <v>2581703.9099999997</v>
      </c>
      <c r="BL85" s="32">
        <f t="shared" si="12"/>
        <v>1801782.01</v>
      </c>
      <c r="BM85" s="32">
        <f t="shared" si="12"/>
        <v>0</v>
      </c>
      <c r="BN85" s="32">
        <f t="shared" si="12"/>
        <v>4468985.51</v>
      </c>
      <c r="BO85" s="32">
        <f t="shared" si="12"/>
        <v>270697.24</v>
      </c>
      <c r="BP85" s="32">
        <f t="shared" ref="BP85:CD85" si="13">SUM(BP61:BP69)-BP84</f>
        <v>422705.93000000005</v>
      </c>
      <c r="BQ85" s="32">
        <f t="shared" si="13"/>
        <v>0</v>
      </c>
      <c r="BR85" s="32">
        <f t="shared" si="13"/>
        <v>1413434.3399999999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2424942.2400000002</v>
      </c>
      <c r="BW85" s="32">
        <f t="shared" si="13"/>
        <v>384522.04</v>
      </c>
      <c r="BX85" s="32">
        <f t="shared" si="13"/>
        <v>0</v>
      </c>
      <c r="BY85" s="32">
        <f t="shared" si="13"/>
        <v>3574384.0700000003</v>
      </c>
      <c r="BZ85" s="32">
        <f t="shared" si="13"/>
        <v>0</v>
      </c>
      <c r="CA85" s="32">
        <f t="shared" si="13"/>
        <v>232272.91000000003</v>
      </c>
      <c r="CB85" s="32">
        <f t="shared" si="13"/>
        <v>0</v>
      </c>
      <c r="CC85" s="32">
        <f t="shared" si="13"/>
        <v>5161145.59</v>
      </c>
      <c r="CD85" s="32">
        <f t="shared" si="13"/>
        <v>-2573794.5500000003</v>
      </c>
      <c r="CE85" s="32">
        <f t="shared" si="11"/>
        <v>122689482.07000001</v>
      </c>
    </row>
    <row r="86" spans="1:85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2391215.5600000005</v>
      </c>
    </row>
    <row r="87" spans="1:85" x14ac:dyDescent="0.35">
      <c r="A87" s="26" t="s">
        <v>272</v>
      </c>
      <c r="B87" s="20"/>
      <c r="C87" s="24">
        <v>11528494.739999998</v>
      </c>
      <c r="D87" s="24"/>
      <c r="E87" s="24">
        <v>21121804.979999997</v>
      </c>
      <c r="F87" s="24"/>
      <c r="G87" s="24"/>
      <c r="H87" s="24"/>
      <c r="I87" s="24"/>
      <c r="J87" s="24">
        <v>1240138.7</v>
      </c>
      <c r="K87" s="24"/>
      <c r="L87" s="24"/>
      <c r="M87" s="24"/>
      <c r="N87" s="24"/>
      <c r="O87" s="24">
        <v>2543912.31</v>
      </c>
      <c r="P87" s="24">
        <v>4672822.05</v>
      </c>
      <c r="Q87" s="24">
        <v>363743.76</v>
      </c>
      <c r="R87" s="24">
        <v>166373.72999999998</v>
      </c>
      <c r="S87" s="24">
        <v>3842566.69</v>
      </c>
      <c r="T87" s="24"/>
      <c r="U87" s="24">
        <v>5263414.17</v>
      </c>
      <c r="V87" s="24"/>
      <c r="W87" s="24">
        <v>398665.72000000003</v>
      </c>
      <c r="X87" s="24">
        <v>1081475.5</v>
      </c>
      <c r="Y87" s="24">
        <v>1386373.74</v>
      </c>
      <c r="Z87" s="24"/>
      <c r="AA87" s="24">
        <v>7607.4</v>
      </c>
      <c r="AB87" s="24">
        <v>3707824.8199999994</v>
      </c>
      <c r="AC87" s="24">
        <v>4921762.5</v>
      </c>
      <c r="AD87" s="24"/>
      <c r="AE87" s="24">
        <v>577832.5</v>
      </c>
      <c r="AF87" s="24"/>
      <c r="AG87" s="24">
        <v>2509597.4899999998</v>
      </c>
      <c r="AH87" s="24"/>
      <c r="AI87" s="24"/>
      <c r="AJ87" s="24"/>
      <c r="AK87" s="24"/>
      <c r="AL87" s="24"/>
      <c r="AM87" s="24"/>
      <c r="AN87" s="24"/>
      <c r="AO87" s="24"/>
      <c r="AP87" s="24">
        <v>2995957.52</v>
      </c>
      <c r="AQ87" s="24"/>
      <c r="AR87" s="24"/>
      <c r="AS87" s="24"/>
      <c r="AT87" s="24"/>
      <c r="AU87" s="24"/>
      <c r="AV87" s="24">
        <v>0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68330368.319999993</v>
      </c>
    </row>
    <row r="88" spans="1:85" x14ac:dyDescent="0.35">
      <c r="A88" s="26" t="s">
        <v>273</v>
      </c>
      <c r="B88" s="20"/>
      <c r="C88" s="24">
        <v>2574754.29</v>
      </c>
      <c r="D88" s="24"/>
      <c r="E88" s="24">
        <v>11862444.459999999</v>
      </c>
      <c r="F88" s="24"/>
      <c r="G88" s="24"/>
      <c r="H88" s="24"/>
      <c r="I88" s="24"/>
      <c r="J88" s="24">
        <v>133290.9</v>
      </c>
      <c r="K88" s="24"/>
      <c r="L88" s="24"/>
      <c r="M88" s="24"/>
      <c r="N88" s="24"/>
      <c r="O88" s="24">
        <v>981993.84999999986</v>
      </c>
      <c r="P88" s="24">
        <v>17015448.640000001</v>
      </c>
      <c r="Q88" s="24">
        <v>6158663.0800000001</v>
      </c>
      <c r="R88" s="24">
        <v>1979589.5099999998</v>
      </c>
      <c r="S88" s="24">
        <v>7739968.4399999995</v>
      </c>
      <c r="T88" s="24"/>
      <c r="U88" s="24">
        <v>32078197.630000003</v>
      </c>
      <c r="V88" s="24"/>
      <c r="W88" s="24">
        <v>7720149.0999999996</v>
      </c>
      <c r="X88" s="24">
        <v>25869337.560000002</v>
      </c>
      <c r="Y88" s="24">
        <v>19624363.179999996</v>
      </c>
      <c r="Z88" s="24"/>
      <c r="AA88" s="24">
        <v>21347.69</v>
      </c>
      <c r="AB88" s="24">
        <v>7905514.4900000002</v>
      </c>
      <c r="AC88" s="24">
        <v>3639887.23</v>
      </c>
      <c r="AD88" s="24"/>
      <c r="AE88" s="24">
        <v>6807777.3000000007</v>
      </c>
      <c r="AF88" s="24"/>
      <c r="AG88" s="24">
        <v>51207795.109999999</v>
      </c>
      <c r="AH88" s="24"/>
      <c r="AI88" s="24"/>
      <c r="AJ88" s="24"/>
      <c r="AK88" s="24"/>
      <c r="AL88" s="24"/>
      <c r="AM88" s="24"/>
      <c r="AN88" s="24"/>
      <c r="AO88" s="24"/>
      <c r="AP88" s="24">
        <v>33511910.210000001</v>
      </c>
      <c r="AQ88" s="24"/>
      <c r="AR88" s="24"/>
      <c r="AS88" s="24"/>
      <c r="AT88" s="24"/>
      <c r="AU88" s="24"/>
      <c r="AV88" s="24">
        <f>-49442+463509-72953</f>
        <v>341114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237173546.66999999</v>
      </c>
    </row>
    <row r="89" spans="1:85" x14ac:dyDescent="0.35">
      <c r="A89" s="26" t="s">
        <v>274</v>
      </c>
      <c r="B89" s="20"/>
      <c r="C89" s="32">
        <f>C87+C88</f>
        <v>14103249.029999997</v>
      </c>
      <c r="D89" s="32">
        <f t="shared" ref="D89:AV89" si="15">D87+D88</f>
        <v>0</v>
      </c>
      <c r="E89" s="32">
        <f t="shared" si="15"/>
        <v>32984249.439999998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1373429.5999999999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3525906.16</v>
      </c>
      <c r="P89" s="32">
        <f t="shared" si="15"/>
        <v>21688270.690000001</v>
      </c>
      <c r="Q89" s="32">
        <f t="shared" si="15"/>
        <v>6522406.8399999999</v>
      </c>
      <c r="R89" s="32">
        <f t="shared" si="15"/>
        <v>2145963.2399999998</v>
      </c>
      <c r="S89" s="32">
        <f t="shared" si="15"/>
        <v>11582535.129999999</v>
      </c>
      <c r="T89" s="32">
        <f t="shared" si="15"/>
        <v>0</v>
      </c>
      <c r="U89" s="32">
        <f t="shared" si="15"/>
        <v>37341611.800000004</v>
      </c>
      <c r="V89" s="32">
        <f t="shared" si="15"/>
        <v>0</v>
      </c>
      <c r="W89" s="32">
        <f t="shared" si="15"/>
        <v>8118814.8199999994</v>
      </c>
      <c r="X89" s="32">
        <f t="shared" si="15"/>
        <v>26950813.060000002</v>
      </c>
      <c r="Y89" s="32">
        <f t="shared" si="15"/>
        <v>21010736.919999994</v>
      </c>
      <c r="Z89" s="32">
        <f t="shared" si="15"/>
        <v>0</v>
      </c>
      <c r="AA89" s="32">
        <f t="shared" si="15"/>
        <v>28955.089999999997</v>
      </c>
      <c r="AB89" s="32">
        <f t="shared" si="15"/>
        <v>11613339.309999999</v>
      </c>
      <c r="AC89" s="32">
        <f t="shared" si="15"/>
        <v>8561649.7300000004</v>
      </c>
      <c r="AD89" s="32">
        <f t="shared" si="15"/>
        <v>0</v>
      </c>
      <c r="AE89" s="32">
        <f t="shared" si="15"/>
        <v>7385609.8000000007</v>
      </c>
      <c r="AF89" s="32">
        <f t="shared" si="15"/>
        <v>0</v>
      </c>
      <c r="AG89" s="32">
        <f t="shared" si="15"/>
        <v>53717392.600000001</v>
      </c>
      <c r="AH89" s="32">
        <f t="shared" si="15"/>
        <v>0</v>
      </c>
      <c r="AI89" s="32">
        <f t="shared" si="15"/>
        <v>0</v>
      </c>
      <c r="AJ89" s="32">
        <f t="shared" si="15"/>
        <v>0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36507867.730000004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341114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305503914.99000001</v>
      </c>
    </row>
    <row r="90" spans="1:85" x14ac:dyDescent="0.35">
      <c r="A90" s="26" t="s">
        <v>275</v>
      </c>
      <c r="B90" s="32"/>
      <c r="C90" s="24">
        <v>6518.13</v>
      </c>
      <c r="D90" s="24"/>
      <c r="E90" s="24">
        <v>19253.77</v>
      </c>
      <c r="F90" s="24"/>
      <c r="G90" s="24"/>
      <c r="H90" s="24"/>
      <c r="I90" s="24"/>
      <c r="J90" s="24">
        <v>482.03</v>
      </c>
      <c r="K90" s="24"/>
      <c r="L90" s="24"/>
      <c r="M90" s="24"/>
      <c r="N90" s="24"/>
      <c r="O90" s="24">
        <v>974.9</v>
      </c>
      <c r="P90" s="24">
        <v>6565.4999999999991</v>
      </c>
      <c r="Q90" s="24">
        <v>7247.26</v>
      </c>
      <c r="R90" s="24">
        <v>311.61</v>
      </c>
      <c r="S90" s="24">
        <v>2970.4</v>
      </c>
      <c r="T90" s="24"/>
      <c r="U90" s="24">
        <v>4392.96</v>
      </c>
      <c r="V90" s="24"/>
      <c r="W90" s="24">
        <v>2137.4699999999998</v>
      </c>
      <c r="X90" s="24">
        <v>791.67</v>
      </c>
      <c r="Y90" s="24">
        <v>6992.17</v>
      </c>
      <c r="Z90" s="24"/>
      <c r="AA90" s="24">
        <v>690.16</v>
      </c>
      <c r="AB90" s="24">
        <v>1922.3700000000001</v>
      </c>
      <c r="AC90" s="24">
        <v>805.5</v>
      </c>
      <c r="AD90" s="24"/>
      <c r="AE90" s="24">
        <v>3887</v>
      </c>
      <c r="AF90" s="24"/>
      <c r="AG90" s="24">
        <v>9543.0499999999993</v>
      </c>
      <c r="AH90" s="24"/>
      <c r="AI90" s="24"/>
      <c r="AJ90" s="24"/>
      <c r="AK90" s="24"/>
      <c r="AL90" s="24"/>
      <c r="AM90" s="24"/>
      <c r="AN90" s="24"/>
      <c r="AO90" s="24"/>
      <c r="AP90" s="24">
        <v>78245.09</v>
      </c>
      <c r="AQ90" s="24"/>
      <c r="AR90" s="24"/>
      <c r="AS90" s="24"/>
      <c r="AT90" s="24"/>
      <c r="AU90" s="24"/>
      <c r="AV90" s="24">
        <v>267.94</v>
      </c>
      <c r="AW90" s="24"/>
      <c r="AX90" s="24"/>
      <c r="AY90" s="24">
        <v>5039.92</v>
      </c>
      <c r="AZ90" s="24"/>
      <c r="BA90" s="24">
        <v>1460.81</v>
      </c>
      <c r="BB90" s="24"/>
      <c r="BC90" s="24"/>
      <c r="BD90" s="24">
        <v>3402.32</v>
      </c>
      <c r="BE90" s="24">
        <v>28164</v>
      </c>
      <c r="BF90" s="24">
        <v>2295</v>
      </c>
      <c r="BG90" s="24"/>
      <c r="BH90" s="24">
        <v>3253.2200000000003</v>
      </c>
      <c r="BI90" s="24"/>
      <c r="BJ90" s="24">
        <v>1981.5</v>
      </c>
      <c r="BK90" s="24">
        <v>2734.5</v>
      </c>
      <c r="BL90" s="24">
        <v>1921.97</v>
      </c>
      <c r="BM90" s="24"/>
      <c r="BN90" s="24">
        <v>5382.5</v>
      </c>
      <c r="BO90" s="24">
        <v>279.27</v>
      </c>
      <c r="BP90" s="24">
        <v>2848.15</v>
      </c>
      <c r="BQ90" s="24"/>
      <c r="BR90" s="24">
        <v>2129.09</v>
      </c>
      <c r="BS90" s="24"/>
      <c r="BT90" s="24"/>
      <c r="BU90" s="24"/>
      <c r="BV90" s="24">
        <v>4545.67</v>
      </c>
      <c r="BW90" s="24">
        <v>1021.84</v>
      </c>
      <c r="BX90" s="24"/>
      <c r="BY90" s="24">
        <v>1730.5900000000001</v>
      </c>
      <c r="BZ90" s="24"/>
      <c r="CA90" s="24">
        <v>1046</v>
      </c>
      <c r="CB90" s="24"/>
      <c r="CC90" s="24">
        <v>18251.54</v>
      </c>
      <c r="CD90" s="263" t="s">
        <v>233</v>
      </c>
      <c r="CE90" s="32">
        <f t="shared" si="14"/>
        <v>241486.87000000002</v>
      </c>
      <c r="CF90" s="12">
        <f>BE59-CE90</f>
        <v>0.12999999997555278</v>
      </c>
      <c r="CG90" s="343"/>
    </row>
    <row r="91" spans="1:85" x14ac:dyDescent="0.35">
      <c r="A91" s="26" t="s">
        <v>276</v>
      </c>
      <c r="B91" s="20"/>
      <c r="C91" s="24">
        <v>5444.763328209513</v>
      </c>
      <c r="D91" s="24"/>
      <c r="E91" s="24">
        <v>26616.799107835017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>
        <v>326.08379883318639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>
        <v>1043.4681562661965</v>
      </c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19"/>
      <c r="AY91" s="319"/>
      <c r="AZ91" s="24"/>
      <c r="BA91" s="24"/>
      <c r="BB91" s="24"/>
      <c r="BC91" s="24"/>
      <c r="BD91" s="29"/>
      <c r="BE91" s="29"/>
      <c r="BF91" s="24"/>
      <c r="BG91" s="29"/>
      <c r="BH91" s="24"/>
      <c r="BI91" s="24"/>
      <c r="BJ91" s="29"/>
      <c r="BK91" s="24"/>
      <c r="BL91" s="24"/>
      <c r="BM91" s="24"/>
      <c r="BN91" s="29"/>
      <c r="BO91" s="29"/>
      <c r="BP91" s="29"/>
      <c r="BQ91" s="29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33431.114391143914</v>
      </c>
      <c r="CF91" s="32">
        <f>AY59-CE91</f>
        <v>0</v>
      </c>
    </row>
    <row r="92" spans="1:85" x14ac:dyDescent="0.35">
      <c r="A92" s="26" t="s">
        <v>277</v>
      </c>
      <c r="B92" s="20"/>
      <c r="C92" s="24">
        <v>6518.13</v>
      </c>
      <c r="D92" s="24"/>
      <c r="E92" s="24">
        <v>19253.77</v>
      </c>
      <c r="F92" s="24"/>
      <c r="G92" s="24"/>
      <c r="H92" s="24"/>
      <c r="I92" s="24"/>
      <c r="J92" s="24">
        <v>482.03</v>
      </c>
      <c r="K92" s="24"/>
      <c r="L92" s="24"/>
      <c r="M92" s="24"/>
      <c r="N92" s="24"/>
      <c r="O92" s="24">
        <v>974.9</v>
      </c>
      <c r="P92" s="24">
        <v>6565.4999999999991</v>
      </c>
      <c r="Q92" s="24">
        <v>7247.26</v>
      </c>
      <c r="R92" s="24">
        <v>311.61</v>
      </c>
      <c r="S92" s="24">
        <v>2970.4</v>
      </c>
      <c r="T92" s="24"/>
      <c r="U92" s="24">
        <v>4392.96</v>
      </c>
      <c r="V92" s="24"/>
      <c r="W92" s="24">
        <v>2137.4699999999998</v>
      </c>
      <c r="X92" s="24">
        <v>791.67</v>
      </c>
      <c r="Y92" s="24">
        <v>6992.17</v>
      </c>
      <c r="Z92" s="24"/>
      <c r="AA92" s="24">
        <v>690.16</v>
      </c>
      <c r="AB92" s="24">
        <v>1922.3700000000001</v>
      </c>
      <c r="AC92" s="24">
        <v>805.5</v>
      </c>
      <c r="AD92" s="24"/>
      <c r="AE92" s="24">
        <v>3887</v>
      </c>
      <c r="AF92" s="24"/>
      <c r="AG92" s="24">
        <v>9543.0499999999993</v>
      </c>
      <c r="AH92" s="24"/>
      <c r="AI92" s="24"/>
      <c r="AJ92" s="24"/>
      <c r="AK92" s="24"/>
      <c r="AL92" s="24"/>
      <c r="AM92" s="24"/>
      <c r="AN92" s="24"/>
      <c r="AO92" s="24"/>
      <c r="AP92" s="24">
        <v>78245.09</v>
      </c>
      <c r="AQ92" s="24"/>
      <c r="AR92" s="24"/>
      <c r="AS92" s="24"/>
      <c r="AT92" s="24"/>
      <c r="AU92" s="24"/>
      <c r="AV92" s="24">
        <v>267.94</v>
      </c>
      <c r="AW92" s="24"/>
      <c r="AX92" s="24"/>
      <c r="AY92" s="24">
        <v>5039.92</v>
      </c>
      <c r="AZ92" s="24"/>
      <c r="BA92" s="24">
        <v>1460.81</v>
      </c>
      <c r="BB92" s="24"/>
      <c r="BC92" s="24"/>
      <c r="BD92" s="24">
        <v>3402.32</v>
      </c>
      <c r="BE92" s="24">
        <v>28164</v>
      </c>
      <c r="BF92" s="24">
        <v>2295</v>
      </c>
      <c r="BG92" s="24"/>
      <c r="BH92" s="24">
        <v>3253.2200000000003</v>
      </c>
      <c r="BI92" s="24"/>
      <c r="BJ92" s="24">
        <v>1981.5</v>
      </c>
      <c r="BK92" s="24">
        <v>2734.5</v>
      </c>
      <c r="BL92" s="24">
        <v>1921.97</v>
      </c>
      <c r="BM92" s="24"/>
      <c r="BN92" s="24">
        <v>5382.5</v>
      </c>
      <c r="BO92" s="24">
        <v>279.27</v>
      </c>
      <c r="BP92" s="24">
        <v>2848.15</v>
      </c>
      <c r="BQ92" s="24"/>
      <c r="BR92" s="24">
        <v>2129.09</v>
      </c>
      <c r="BS92" s="24"/>
      <c r="BT92" s="24"/>
      <c r="BU92" s="24"/>
      <c r="BV92" s="24">
        <v>4545.67</v>
      </c>
      <c r="BW92" s="24">
        <v>1021.84</v>
      </c>
      <c r="BX92" s="24"/>
      <c r="BY92" s="24">
        <v>1730.5900000000001</v>
      </c>
      <c r="BZ92" s="24"/>
      <c r="CA92" s="24">
        <v>1046</v>
      </c>
      <c r="CB92" s="24"/>
      <c r="CC92" s="29" t="s">
        <v>233</v>
      </c>
      <c r="CD92" s="29" t="s">
        <v>233</v>
      </c>
      <c r="CE92" s="32">
        <f t="shared" si="14"/>
        <v>223235.33000000002</v>
      </c>
      <c r="CF92" s="20"/>
    </row>
    <row r="93" spans="1:85" x14ac:dyDescent="0.35">
      <c r="A93" s="26" t="s">
        <v>278</v>
      </c>
      <c r="B93" s="20"/>
      <c r="C93" s="24">
        <v>27399</v>
      </c>
      <c r="D93" s="24"/>
      <c r="E93" s="24">
        <v>59322</v>
      </c>
      <c r="F93" s="24"/>
      <c r="G93" s="24"/>
      <c r="H93" s="24"/>
      <c r="I93" s="24"/>
      <c r="J93" s="24"/>
      <c r="K93" s="24"/>
      <c r="L93" s="24"/>
      <c r="M93" s="24"/>
      <c r="N93" s="24"/>
      <c r="O93" s="24">
        <v>29713</v>
      </c>
      <c r="P93" s="24">
        <v>29817</v>
      </c>
      <c r="Q93" s="24">
        <v>24671</v>
      </c>
      <c r="R93" s="24"/>
      <c r="S93" s="24"/>
      <c r="T93" s="24"/>
      <c r="U93" s="24">
        <v>420</v>
      </c>
      <c r="V93" s="24"/>
      <c r="W93" s="24"/>
      <c r="X93" s="24"/>
      <c r="Y93" s="24">
        <v>22696</v>
      </c>
      <c r="Z93" s="24"/>
      <c r="AA93" s="24"/>
      <c r="AB93" s="24"/>
      <c r="AC93" s="24"/>
      <c r="AD93" s="24"/>
      <c r="AE93" s="24">
        <v>3019</v>
      </c>
      <c r="AF93" s="24"/>
      <c r="AG93" s="24">
        <v>60119</v>
      </c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>
        <v>0</v>
      </c>
      <c r="AW93" s="24"/>
      <c r="AX93" s="319" t="s">
        <v>233</v>
      </c>
      <c r="AY93" s="319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257176</v>
      </c>
      <c r="CF93" s="32">
        <f>BA59</f>
        <v>0</v>
      </c>
    </row>
    <row r="94" spans="1:85" x14ac:dyDescent="0.35">
      <c r="A94" s="26" t="s">
        <v>279</v>
      </c>
      <c r="B94" s="20"/>
      <c r="C94" s="313">
        <v>19.023759490384617</v>
      </c>
      <c r="D94" s="313"/>
      <c r="E94" s="313">
        <v>46.190289563379118</v>
      </c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4">
        <v>15.346290783406591</v>
      </c>
      <c r="Q94" s="314">
        <v>13.75642740521978</v>
      </c>
      <c r="R94" s="314">
        <v>4.200418241758241</v>
      </c>
      <c r="S94" s="315"/>
      <c r="T94" s="315"/>
      <c r="U94" s="316"/>
      <c r="V94" s="314"/>
      <c r="W94" s="314"/>
      <c r="X94" s="314"/>
      <c r="Y94" s="314"/>
      <c r="Z94" s="314"/>
      <c r="AA94" s="314"/>
      <c r="AB94" s="315"/>
      <c r="AC94" s="314"/>
      <c r="AD94" s="314"/>
      <c r="AE94" s="314"/>
      <c r="AF94" s="314"/>
      <c r="AG94" s="314">
        <v>31.635080711126374</v>
      </c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5"/>
      <c r="AW94" s="319" t="s">
        <v>233</v>
      </c>
      <c r="AX94" s="319" t="s">
        <v>233</v>
      </c>
      <c r="AY94" s="319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0"/>
      <c r="BV94" s="320"/>
      <c r="BW94" s="320"/>
      <c r="BX94" s="320"/>
      <c r="BY94" s="320"/>
      <c r="BZ94" s="320"/>
      <c r="CA94" s="320"/>
      <c r="CB94" s="320"/>
      <c r="CC94" s="29" t="s">
        <v>233</v>
      </c>
      <c r="CD94" s="29" t="s">
        <v>233</v>
      </c>
      <c r="CE94" s="32">
        <f t="shared" si="14"/>
        <v>130.15226619527471</v>
      </c>
      <c r="CF94" s="37"/>
    </row>
    <row r="95" spans="1:85" x14ac:dyDescent="0.35">
      <c r="A95" s="38" t="s">
        <v>280</v>
      </c>
      <c r="B95" s="38"/>
      <c r="C95" s="38"/>
      <c r="D95" s="38"/>
      <c r="E95" s="38"/>
    </row>
    <row r="96" spans="1:85" x14ac:dyDescent="0.35">
      <c r="A96" s="39" t="s">
        <v>281</v>
      </c>
      <c r="B96" s="40"/>
      <c r="C96" s="321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2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46" t="s">
        <v>1386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3">
        <v>98584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4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4" t="s">
        <v>1376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1377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1">
        <v>3604327721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1">
        <v>3604271921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1378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2" t="s">
        <v>1379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1484</v>
      </c>
      <c r="D127" s="50">
        <v>5068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357</v>
      </c>
      <c r="D130" s="50">
        <v>624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7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16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2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35">
      <c r="A144" s="20" t="s">
        <v>325</v>
      </c>
      <c r="B144" s="46" t="s">
        <v>284</v>
      </c>
      <c r="C144" s="47">
        <v>68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6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784</v>
      </c>
      <c r="C154" s="50">
        <v>410</v>
      </c>
      <c r="D154" s="311">
        <f>1484-784-410</f>
        <v>290</v>
      </c>
      <c r="E154" s="32">
        <f>SUM(B154:D154)</f>
        <v>1484</v>
      </c>
    </row>
    <row r="155" spans="1:6" x14ac:dyDescent="0.35">
      <c r="A155" s="20" t="s">
        <v>227</v>
      </c>
      <c r="B155" s="50">
        <v>3152</v>
      </c>
      <c r="C155" s="50">
        <v>1090</v>
      </c>
      <c r="D155" s="311">
        <f>5068-3152-1090</f>
        <v>826</v>
      </c>
      <c r="E155" s="32">
        <f>SUM(B155:D155)</f>
        <v>5068</v>
      </c>
    </row>
    <row r="156" spans="1:6" x14ac:dyDescent="0.35">
      <c r="A156" s="20" t="s">
        <v>332</v>
      </c>
      <c r="B156" s="50">
        <v>76143</v>
      </c>
      <c r="C156" s="50">
        <v>57589</v>
      </c>
      <c r="D156" s="50">
        <v>58964</v>
      </c>
      <c r="E156" s="32">
        <f>SUM(B156:D156)</f>
        <v>192696</v>
      </c>
    </row>
    <row r="157" spans="1:6" x14ac:dyDescent="0.35">
      <c r="A157" s="20" t="s">
        <v>272</v>
      </c>
      <c r="B157" s="50">
        <v>34844693</v>
      </c>
      <c r="C157" s="50">
        <v>18935668</v>
      </c>
      <c r="D157" s="50">
        <v>14477055</v>
      </c>
      <c r="E157" s="32">
        <f>SUM(B157:D157)</f>
        <v>68257416</v>
      </c>
      <c r="F157" s="18"/>
    </row>
    <row r="158" spans="1:6" x14ac:dyDescent="0.35">
      <c r="A158" s="20" t="s">
        <v>273</v>
      </c>
      <c r="B158" s="50">
        <v>104157939</v>
      </c>
      <c r="C158" s="50">
        <v>69211551</v>
      </c>
      <c r="D158" s="50">
        <v>63877009</v>
      </c>
      <c r="E158" s="32">
        <f>SUM(B158:D158)</f>
        <v>237246499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v>7128462</v>
      </c>
      <c r="C173" s="50">
        <v>2775753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3867142.19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134197.78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121260.48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11688536.43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31031.78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3049813.06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194154.62000000002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19086136.34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16898.459999999995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343959.92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360858.38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554850.7300000001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501261.20999999996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1056111.94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775760.69999999984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775760.69999999984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2138665.59</v>
      </c>
      <c r="D205" s="20"/>
      <c r="E205" s="20"/>
    </row>
    <row r="206" spans="1:5" x14ac:dyDescent="0.35">
      <c r="A206" s="20" t="s">
        <v>215</v>
      </c>
      <c r="B206" s="20"/>
      <c r="C206" s="27"/>
      <c r="D206" s="20">
        <f>SUM(C204:C205)</f>
        <v>2138665.59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2015497.22</v>
      </c>
      <c r="C211" s="47"/>
      <c r="D211" s="50"/>
      <c r="E211" s="32">
        <f t="shared" ref="E211:E219" si="16">SUM(B211:C211)-D211</f>
        <v>2015497.22</v>
      </c>
    </row>
    <row r="212" spans="1:5" x14ac:dyDescent="0.35">
      <c r="A212" s="20" t="s">
        <v>367</v>
      </c>
      <c r="B212" s="50">
        <v>11042985.290000001</v>
      </c>
      <c r="C212" s="47">
        <v>68261</v>
      </c>
      <c r="D212" s="50"/>
      <c r="E212" s="32">
        <f t="shared" si="16"/>
        <v>11111246.290000001</v>
      </c>
    </row>
    <row r="213" spans="1:5" x14ac:dyDescent="0.35">
      <c r="A213" s="20" t="s">
        <v>368</v>
      </c>
      <c r="B213" s="50">
        <v>57364279.190000005</v>
      </c>
      <c r="C213" s="47">
        <f>836429+1742730</f>
        <v>2579159</v>
      </c>
      <c r="D213" s="50"/>
      <c r="E213" s="32">
        <f t="shared" si="16"/>
        <v>59943438.190000005</v>
      </c>
    </row>
    <row r="214" spans="1:5" x14ac:dyDescent="0.35">
      <c r="A214" s="20" t="s">
        <v>369</v>
      </c>
      <c r="B214" s="50">
        <v>32599988.440000001</v>
      </c>
      <c r="C214" s="47">
        <v>811019</v>
      </c>
      <c r="D214" s="50"/>
      <c r="E214" s="32">
        <f t="shared" si="16"/>
        <v>33411007.440000001</v>
      </c>
    </row>
    <row r="215" spans="1:5" x14ac:dyDescent="0.35">
      <c r="A215" s="20" t="s">
        <v>370</v>
      </c>
      <c r="B215" s="50"/>
      <c r="C215" s="47"/>
      <c r="D215" s="50"/>
      <c r="E215" s="32">
        <f t="shared" si="16"/>
        <v>0</v>
      </c>
    </row>
    <row r="216" spans="1:5" x14ac:dyDescent="0.35">
      <c r="A216" s="20" t="s">
        <v>371</v>
      </c>
      <c r="B216" s="50">
        <v>39947733.399999999</v>
      </c>
      <c r="C216" s="47">
        <f>3128196+211849</f>
        <v>3340045</v>
      </c>
      <c r="D216" s="50">
        <f>59782</f>
        <v>59782</v>
      </c>
      <c r="E216" s="32">
        <f t="shared" si="16"/>
        <v>43227996.399999999</v>
      </c>
    </row>
    <row r="217" spans="1:5" x14ac:dyDescent="0.35">
      <c r="A217" s="20" t="s">
        <v>372</v>
      </c>
      <c r="B217" s="50"/>
      <c r="C217" s="47">
        <f>640218</f>
        <v>640218</v>
      </c>
      <c r="D217" s="50"/>
      <c r="E217" s="32">
        <f t="shared" si="16"/>
        <v>640218</v>
      </c>
    </row>
    <row r="218" spans="1:5" x14ac:dyDescent="0.35">
      <c r="A218" s="20" t="s">
        <v>373</v>
      </c>
      <c r="B218" s="50">
        <v>1163193.04</v>
      </c>
      <c r="C218" s="47">
        <v>10859</v>
      </c>
      <c r="D218" s="50"/>
      <c r="E218" s="32">
        <f t="shared" si="16"/>
        <v>1174052.04</v>
      </c>
    </row>
    <row r="219" spans="1:5" x14ac:dyDescent="0.35">
      <c r="A219" s="20" t="s">
        <v>374</v>
      </c>
      <c r="B219" s="50">
        <v>2907121.49</v>
      </c>
      <c r="C219" s="47">
        <f>4884442-620952</f>
        <v>4263490</v>
      </c>
      <c r="D219" s="47">
        <f>4296555</f>
        <v>4296555</v>
      </c>
      <c r="E219" s="32">
        <f t="shared" si="16"/>
        <v>2874056.49</v>
      </c>
    </row>
    <row r="220" spans="1:5" x14ac:dyDescent="0.35">
      <c r="A220" s="20" t="s">
        <v>215</v>
      </c>
      <c r="B220" s="265">
        <f>SUM(B211:B219)</f>
        <v>147040798.06999999</v>
      </c>
      <c r="C220" s="265">
        <f>SUM(C211:C219)</f>
        <v>11713051</v>
      </c>
      <c r="D220" s="32">
        <f>SUM(D211:D219)</f>
        <v>4356337</v>
      </c>
      <c r="E220" s="32">
        <f>SUM(E211:E219)</f>
        <v>154397512.06999999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32"/>
    </row>
    <row r="225" spans="1:8" x14ac:dyDescent="0.35">
      <c r="A225" s="20" t="s">
        <v>367</v>
      </c>
      <c r="B225" s="50">
        <v>3487602.92</v>
      </c>
      <c r="C225" s="47">
        <v>743405</v>
      </c>
      <c r="D225" s="50"/>
      <c r="E225" s="32">
        <f t="shared" ref="E225:E232" si="17">SUM(B225:C225)-D225</f>
        <v>4231007.92</v>
      </c>
    </row>
    <row r="226" spans="1:8" x14ac:dyDescent="0.35">
      <c r="A226" s="20" t="s">
        <v>368</v>
      </c>
      <c r="B226" s="50">
        <v>23783269.239999998</v>
      </c>
      <c r="C226" s="47">
        <f>2514143+695954</f>
        <v>3210097</v>
      </c>
      <c r="D226" s="50"/>
      <c r="E226" s="32">
        <f t="shared" si="17"/>
        <v>26993366.239999998</v>
      </c>
    </row>
    <row r="227" spans="1:8" x14ac:dyDescent="0.35">
      <c r="A227" s="20" t="s">
        <v>369</v>
      </c>
      <c r="B227" s="50">
        <v>14113869.149999999</v>
      </c>
      <c r="C227" s="47">
        <v>1781449</v>
      </c>
      <c r="D227" s="50"/>
      <c r="E227" s="32">
        <f t="shared" si="17"/>
        <v>15895318.149999999</v>
      </c>
      <c r="H227" s="343"/>
    </row>
    <row r="228" spans="1:8" x14ac:dyDescent="0.35">
      <c r="A228" s="20" t="s">
        <v>370</v>
      </c>
      <c r="B228" s="50"/>
      <c r="C228" s="47"/>
      <c r="D228" s="50"/>
      <c r="E228" s="32">
        <f t="shared" si="17"/>
        <v>0</v>
      </c>
    </row>
    <row r="229" spans="1:8" x14ac:dyDescent="0.35">
      <c r="A229" s="20" t="s">
        <v>371</v>
      </c>
      <c r="B229" s="50">
        <v>31788985.379999995</v>
      </c>
      <c r="C229" s="47">
        <f>2186378+273717</f>
        <v>2460095</v>
      </c>
      <c r="D229" s="50">
        <f>59782</f>
        <v>59782</v>
      </c>
      <c r="E229" s="32">
        <f t="shared" si="17"/>
        <v>34189298.379999995</v>
      </c>
      <c r="F229" s="74"/>
    </row>
    <row r="230" spans="1:8" x14ac:dyDescent="0.35">
      <c r="A230" s="20" t="s">
        <v>372</v>
      </c>
      <c r="B230" s="50"/>
      <c r="C230" s="47">
        <f>213406</f>
        <v>213406</v>
      </c>
      <c r="D230" s="50"/>
      <c r="E230" s="32">
        <f t="shared" si="17"/>
        <v>213406</v>
      </c>
    </row>
    <row r="231" spans="1:8" x14ac:dyDescent="0.35">
      <c r="A231" s="20" t="s">
        <v>373</v>
      </c>
      <c r="B231" s="50">
        <v>646333.89</v>
      </c>
      <c r="C231" s="47">
        <v>173955</v>
      </c>
      <c r="D231" s="50"/>
      <c r="E231" s="32">
        <f t="shared" si="17"/>
        <v>820288.89</v>
      </c>
    </row>
    <row r="232" spans="1:8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8" x14ac:dyDescent="0.35">
      <c r="A233" s="20" t="s">
        <v>215</v>
      </c>
      <c r="B233" s="32">
        <f>SUM(B224:B232)</f>
        <v>73820060.579999998</v>
      </c>
      <c r="C233" s="265">
        <f>SUM(C224:C232)</f>
        <v>8582407</v>
      </c>
      <c r="D233" s="32">
        <f>SUM(D224:D232)</f>
        <v>59782</v>
      </c>
      <c r="E233" s="32">
        <f>SUM(E224:E232)</f>
        <v>82342685.579999998</v>
      </c>
    </row>
    <row r="234" spans="1:8" x14ac:dyDescent="0.35">
      <c r="A234" s="20"/>
      <c r="B234" s="20"/>
      <c r="C234" s="27"/>
      <c r="D234" s="20"/>
      <c r="E234" s="20"/>
    </row>
    <row r="235" spans="1:8" x14ac:dyDescent="0.35">
      <c r="A235" s="38" t="s">
        <v>376</v>
      </c>
      <c r="B235" s="38"/>
      <c r="C235" s="38"/>
      <c r="D235" s="38"/>
      <c r="E235" s="38"/>
    </row>
    <row r="236" spans="1:8" x14ac:dyDescent="0.35">
      <c r="A236" s="38"/>
      <c r="B236" s="347" t="s">
        <v>377</v>
      </c>
      <c r="C236" s="347"/>
      <c r="D236" s="38"/>
      <c r="E236" s="38"/>
    </row>
    <row r="237" spans="1:8" x14ac:dyDescent="0.35">
      <c r="A237" s="56" t="s">
        <v>377</v>
      </c>
      <c r="B237" s="38"/>
      <c r="C237" s="47">
        <v>2833307.6500000004</v>
      </c>
      <c r="D237" s="40">
        <f>C237</f>
        <v>2833307.6500000004</v>
      </c>
      <c r="E237" s="38"/>
    </row>
    <row r="238" spans="1:8" x14ac:dyDescent="0.35">
      <c r="A238" s="45" t="s">
        <v>378</v>
      </c>
      <c r="B238" s="45"/>
      <c r="C238" s="45"/>
      <c r="D238" s="45"/>
      <c r="E238" s="45"/>
    </row>
    <row r="239" spans="1:8" x14ac:dyDescent="0.35">
      <c r="A239" s="20" t="s">
        <v>379</v>
      </c>
      <c r="B239" s="46" t="s">
        <v>284</v>
      </c>
      <c r="C239" s="47">
        <v>81114866.900000006</v>
      </c>
      <c r="D239" s="20"/>
      <c r="E239" s="20"/>
    </row>
    <row r="240" spans="1:8" x14ac:dyDescent="0.35">
      <c r="A240" s="20" t="s">
        <v>380</v>
      </c>
      <c r="B240" s="46" t="s">
        <v>284</v>
      </c>
      <c r="C240" s="47">
        <v>53327533.840000004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8595382.379999999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/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24153319.02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/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167191102.14000002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1607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383989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3640128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4024117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4295282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4295282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20">
        <f>D237+D245+D252+D256</f>
        <v>178343808.79000002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90225190.090000004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41267609.359999999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24794509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 t="s">
        <v>282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614363.65999999992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2013740.0000000002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1853653.26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111180047.37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1262906.1499999999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1262906.1499999999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2015497.22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11111246.33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58200708.640000001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33411007.559999999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/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45610943.560000002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1174052.3700000001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2874056.01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154397511.69</v>
      </c>
      <c r="E291" s="20"/>
    </row>
    <row r="292" spans="1:5" x14ac:dyDescent="0.35">
      <c r="A292" s="20" t="s">
        <v>416</v>
      </c>
      <c r="B292" s="46" t="s">
        <v>284</v>
      </c>
      <c r="C292" s="47">
        <v>82342685.849999994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72054825.840000004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20">
        <f>D276+D281+D293+D299+D306</f>
        <v>184497779.36000001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4389373.3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9816868.5699999984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92062.8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1517577.7199999993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175250.77999999991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1926571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17917704.169999994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>
        <v>2160409.7200000002</v>
      </c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2160409.7200000002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1147032.19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59316628.030000001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1"/>
      <c r="D337" s="20"/>
      <c r="E337" s="20"/>
    </row>
    <row r="338" spans="1:5" x14ac:dyDescent="0.35">
      <c r="A338" s="20" t="s">
        <v>456</v>
      </c>
      <c r="B338" s="46" t="s">
        <v>284</v>
      </c>
      <c r="C338" s="47"/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60463660.219999999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1926571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58537089.219999999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5">
        <v>105882576.24999999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184497779.35999995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184497779.36000001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68257415.819999993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237246499.66999999</v>
      </c>
      <c r="D359" s="20"/>
      <c r="E359" s="20"/>
    </row>
    <row r="360" spans="1:5" x14ac:dyDescent="0.35">
      <c r="A360" s="20" t="s">
        <v>471</v>
      </c>
      <c r="B360" s="20"/>
      <c r="C360" s="27"/>
      <c r="D360" s="20">
        <f>SUM(C358:C359)</f>
        <v>305503915.49000001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2833307.6500000004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167191102.14000002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4024117.15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4295281.8299999991</v>
      </c>
      <c r="D365" s="20"/>
      <c r="E365" s="20"/>
    </row>
    <row r="366" spans="1:5" x14ac:dyDescent="0.35">
      <c r="A366" s="20" t="s">
        <v>394</v>
      </c>
      <c r="B366" s="20"/>
      <c r="C366" s="27"/>
      <c r="D366" s="20">
        <f>SUM(C362:C365)</f>
        <v>178343808.77000004</v>
      </c>
      <c r="E366" s="20"/>
    </row>
    <row r="367" spans="1:5" x14ac:dyDescent="0.35">
      <c r="A367" s="20" t="s">
        <v>476</v>
      </c>
      <c r="B367" s="20"/>
      <c r="C367" s="27"/>
      <c r="D367" s="20">
        <f>D360-D366</f>
        <v>127160106.71999997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2"/>
      <c r="D370" s="32"/>
      <c r="E370" s="32"/>
    </row>
    <row r="371" spans="1:6" x14ac:dyDescent="0.35">
      <c r="A371" s="59" t="s">
        <v>480</v>
      </c>
      <c r="B371" s="40" t="s">
        <v>284</v>
      </c>
      <c r="C371" s="272"/>
      <c r="D371" s="32"/>
      <c r="E371" s="32"/>
    </row>
    <row r="372" spans="1:6" x14ac:dyDescent="0.35">
      <c r="A372" s="59" t="s">
        <v>481</v>
      </c>
      <c r="B372" s="40" t="s">
        <v>284</v>
      </c>
      <c r="C372" s="272"/>
      <c r="D372" s="32"/>
      <c r="E372" s="32"/>
    </row>
    <row r="373" spans="1:6" x14ac:dyDescent="0.35">
      <c r="A373" s="59" t="s">
        <v>482</v>
      </c>
      <c r="B373" s="40" t="s">
        <v>284</v>
      </c>
      <c r="C373" s="272"/>
      <c r="D373" s="32"/>
      <c r="E373" s="32"/>
    </row>
    <row r="374" spans="1:6" x14ac:dyDescent="0.35">
      <c r="A374" s="59" t="s">
        <v>483</v>
      </c>
      <c r="B374" s="40" t="s">
        <v>284</v>
      </c>
      <c r="C374" s="272"/>
      <c r="D374" s="32"/>
      <c r="E374" s="32"/>
    </row>
    <row r="375" spans="1:6" x14ac:dyDescent="0.35">
      <c r="A375" s="59" t="s">
        <v>484</v>
      </c>
      <c r="B375" s="40" t="s">
        <v>284</v>
      </c>
      <c r="C375" s="272"/>
      <c r="D375" s="32"/>
      <c r="E375" s="32"/>
    </row>
    <row r="376" spans="1:6" x14ac:dyDescent="0.35">
      <c r="A376" s="59" t="s">
        <v>485</v>
      </c>
      <c r="B376" s="40" t="s">
        <v>284</v>
      </c>
      <c r="C376" s="272"/>
      <c r="D376" s="32"/>
      <c r="E376" s="32"/>
    </row>
    <row r="377" spans="1:6" x14ac:dyDescent="0.35">
      <c r="A377" s="59" t="s">
        <v>486</v>
      </c>
      <c r="B377" s="40" t="s">
        <v>284</v>
      </c>
      <c r="C377" s="272"/>
      <c r="D377" s="32"/>
      <c r="E377" s="32"/>
    </row>
    <row r="378" spans="1:6" x14ac:dyDescent="0.35">
      <c r="A378" s="59" t="s">
        <v>487</v>
      </c>
      <c r="B378" s="40" t="s">
        <v>284</v>
      </c>
      <c r="C378" s="272"/>
      <c r="D378" s="32"/>
      <c r="E378" s="32"/>
    </row>
    <row r="379" spans="1:6" x14ac:dyDescent="0.35">
      <c r="A379" s="59" t="s">
        <v>488</v>
      </c>
      <c r="B379" s="40" t="s">
        <v>284</v>
      </c>
      <c r="C379" s="272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4977258.080000001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4977258.080000001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2391215.5600000005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7368473.6400000015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134528580.35999998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56776899.43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19086136.340000004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9751891.790000001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16221263.960000001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1232378.6300000001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16688506.360000001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8067631.9899999993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360858.38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1056111.94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775760.69999999984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2138665.59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2"/>
      <c r="D401" s="32"/>
      <c r="E401" s="32"/>
    </row>
    <row r="402" spans="1:9" x14ac:dyDescent="0.35">
      <c r="A402" s="33" t="s">
        <v>256</v>
      </c>
      <c r="B402" s="40" t="s">
        <v>284</v>
      </c>
      <c r="C402" s="272"/>
      <c r="D402" s="32"/>
      <c r="E402" s="32"/>
    </row>
    <row r="403" spans="1:9" x14ac:dyDescent="0.35">
      <c r="A403" s="33" t="s">
        <v>504</v>
      </c>
      <c r="B403" s="40" t="s">
        <v>284</v>
      </c>
      <c r="C403" s="272"/>
      <c r="D403" s="32"/>
      <c r="E403" s="32"/>
    </row>
    <row r="404" spans="1:9" x14ac:dyDescent="0.35">
      <c r="A404" s="33" t="s">
        <v>258</v>
      </c>
      <c r="B404" s="40" t="s">
        <v>284</v>
      </c>
      <c r="C404" s="272"/>
      <c r="D404" s="32"/>
      <c r="E404" s="32"/>
    </row>
    <row r="405" spans="1:9" x14ac:dyDescent="0.35">
      <c r="A405" s="33" t="s">
        <v>259</v>
      </c>
      <c r="B405" s="40" t="s">
        <v>284</v>
      </c>
      <c r="C405" s="272"/>
      <c r="D405" s="32"/>
      <c r="E405" s="32"/>
    </row>
    <row r="406" spans="1:9" x14ac:dyDescent="0.35">
      <c r="A406" s="33" t="s">
        <v>260</v>
      </c>
      <c r="B406" s="40" t="s">
        <v>284</v>
      </c>
      <c r="C406" s="272"/>
      <c r="D406" s="32"/>
      <c r="E406" s="32"/>
    </row>
    <row r="407" spans="1:9" x14ac:dyDescent="0.35">
      <c r="A407" s="33" t="s">
        <v>261</v>
      </c>
      <c r="B407" s="40" t="s">
        <v>284</v>
      </c>
      <c r="C407" s="272"/>
      <c r="D407" s="32"/>
      <c r="E407" s="32"/>
    </row>
    <row r="408" spans="1:9" x14ac:dyDescent="0.35">
      <c r="A408" s="33" t="s">
        <v>262</v>
      </c>
      <c r="B408" s="40" t="s">
        <v>284</v>
      </c>
      <c r="C408" s="272"/>
      <c r="D408" s="32"/>
      <c r="E408" s="32"/>
    </row>
    <row r="409" spans="1:9" x14ac:dyDescent="0.35">
      <c r="A409" s="33" t="s">
        <v>263</v>
      </c>
      <c r="B409" s="40" t="s">
        <v>284</v>
      </c>
      <c r="C409" s="272"/>
      <c r="D409" s="32"/>
      <c r="E409" s="32"/>
    </row>
    <row r="410" spans="1:9" x14ac:dyDescent="0.35">
      <c r="A410" s="33" t="s">
        <v>264</v>
      </c>
      <c r="B410" s="40" t="s">
        <v>284</v>
      </c>
      <c r="C410" s="272"/>
      <c r="D410" s="32"/>
      <c r="E410" s="32"/>
    </row>
    <row r="411" spans="1:9" x14ac:dyDescent="0.35">
      <c r="A411" s="33" t="s">
        <v>265</v>
      </c>
      <c r="B411" s="40" t="s">
        <v>284</v>
      </c>
      <c r="C411" s="272"/>
      <c r="D411" s="32"/>
      <c r="E411" s="32"/>
    </row>
    <row r="412" spans="1:9" x14ac:dyDescent="0.35">
      <c r="A412" s="33" t="s">
        <v>266</v>
      </c>
      <c r="B412" s="40" t="s">
        <v>284</v>
      </c>
      <c r="C412" s="272"/>
      <c r="D412" s="32"/>
      <c r="E412" s="32"/>
    </row>
    <row r="413" spans="1:9" x14ac:dyDescent="0.35">
      <c r="A413" s="33" t="s">
        <v>267</v>
      </c>
      <c r="B413" s="40" t="s">
        <v>284</v>
      </c>
      <c r="C413" s="272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1744398.9100000001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1744398.9100000001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133900504.02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628076.33999998868</v>
      </c>
      <c r="E417" s="32"/>
    </row>
    <row r="418" spans="1:13" x14ac:dyDescent="0.35">
      <c r="A418" s="32" t="s">
        <v>508</v>
      </c>
      <c r="B418" s="20"/>
      <c r="C418" s="236">
        <v>6233764.1299999999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2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6233764.1299999999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6861840.4699999886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20">
        <f>D421+C422-C423</f>
        <v>6861840.4699999886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0"/>
      <c r="C612" s="248" t="s">
        <v>515</v>
      </c>
      <c r="D612" s="255">
        <f>CE90-(BE90+CD90)</f>
        <v>213322.87000000002</v>
      </c>
      <c r="E612" s="257">
        <f>SUM(C624:D647)+SUM(C668:D713)</f>
        <v>111497632.42408264</v>
      </c>
      <c r="F612" s="257">
        <f>CE64-(AX64+BD64+BE64+BG64+BJ64+BN64+BP64+BQ64+CB64+CC64+CD64)</f>
        <v>15804641.170000002</v>
      </c>
      <c r="G612" s="255">
        <f>CE91-(AX91+AY91+BD91+BE91+BG91+BJ91+BN91+BP91+BQ91+CB91+CC91+CD91)</f>
        <v>33431.114391143914</v>
      </c>
      <c r="H612" s="260">
        <f>CE60-(AX60+AY60+AZ60+BD60+BE60+BG60+BJ60+BN60+BO60+BP60+BQ60+BR60+CB60+CC60+CD60)</f>
        <v>513.12336510005491</v>
      </c>
      <c r="I612" s="255">
        <f>CE92-(AX92+AY92+AZ92+BD92+BE92+BF92+BG92+BJ92+BN92+BO92+BP92+BQ92+BR92+CB92+CC92+CD92)</f>
        <v>171713.58000000002</v>
      </c>
      <c r="J612" s="255">
        <f>CE93-(AX93+AY93+AZ93+BA93+BD93+BE93+BF93+BG93+BJ93+BN93+BO93+BP93+BQ93+BR93+CB93+CC93+CD93)</f>
        <v>257176</v>
      </c>
      <c r="K612" s="255">
        <f>CE89-(AW89+AX89+AY89+AZ89+BA89+BB89+BC89+BD89+BE89+BF89+BG89+BH89+BI89+BJ89+BK89+BL89+BM89+BN89+BO89+BP89+BQ89+BR89+BS89+BT89+BU89+BV89+BW89+BX89+CB89+CC89+CD89)</f>
        <v>305503914.99000001</v>
      </c>
      <c r="L612" s="261">
        <f>CE94-(AW94+AX94+AY94+AZ94+BA94+BB94+BC94+BD94+BE94+BF94+BG94+BH94+BI94+BJ94+BK94+BL94+BM94+BN94+BO94+BP94+BQ94+BR94+BS94+BT94+BU94+BV94+BW94+BX94+BY94+BZ94+CA94+CB94+CC94+CD94)</f>
        <v>130.15226619527471</v>
      </c>
    </row>
    <row r="613" spans="1:14" s="231" customFormat="1" ht="12.65" customHeight="1" x14ac:dyDescent="0.3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5" customHeight="1" x14ac:dyDescent="0.3">
      <c r="A614" s="250">
        <v>8430</v>
      </c>
      <c r="B614" s="249" t="s">
        <v>152</v>
      </c>
      <c r="C614" s="255">
        <f>BE85</f>
        <v>3584233.46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5" customHeight="1" x14ac:dyDescent="0.3">
      <c r="A615" s="250"/>
      <c r="B615" s="249" t="s">
        <v>527</v>
      </c>
      <c r="C615" s="255">
        <f>CD69-CD84</f>
        <v>-2573794.5500000003</v>
      </c>
      <c r="D615" s="255">
        <f>SUM(C614:C615)</f>
        <v>1010438.9099999997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5" customHeight="1" x14ac:dyDescent="0.3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5" customHeight="1" x14ac:dyDescent="0.3">
      <c r="A617" s="250">
        <v>8510</v>
      </c>
      <c r="B617" s="254" t="s">
        <v>157</v>
      </c>
      <c r="C617" s="255">
        <f>BJ85</f>
        <v>1004189.66</v>
      </c>
      <c r="D617" s="255">
        <f>(D615/D612)*BJ90</f>
        <v>9385.7011213331189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5" customHeight="1" x14ac:dyDescent="0.3">
      <c r="A618" s="250">
        <v>8470</v>
      </c>
      <c r="B618" s="254" t="s">
        <v>532</v>
      </c>
      <c r="C618" s="255">
        <f>BG85</f>
        <v>0</v>
      </c>
      <c r="D618" s="255">
        <f>(D615/D612)*BG90</f>
        <v>0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5" customHeight="1" x14ac:dyDescent="0.3">
      <c r="A619" s="250">
        <v>8610</v>
      </c>
      <c r="B619" s="254" t="s">
        <v>534</v>
      </c>
      <c r="C619" s="255">
        <f>BN85</f>
        <v>4468985.51</v>
      </c>
      <c r="D619" s="255">
        <f>(D615/D612)*BN90</f>
        <v>25495.097797413837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5" customHeight="1" x14ac:dyDescent="0.3">
      <c r="A620" s="250">
        <v>8790</v>
      </c>
      <c r="B620" s="254" t="s">
        <v>536</v>
      </c>
      <c r="C620" s="255">
        <f>CC85</f>
        <v>5161145.59</v>
      </c>
      <c r="D620" s="255">
        <f>(D615/D612)*CC90</f>
        <v>86451.425407043294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5" customHeight="1" x14ac:dyDescent="0.3">
      <c r="A621" s="250">
        <v>8630</v>
      </c>
      <c r="B621" s="254" t="s">
        <v>538</v>
      </c>
      <c r="C621" s="255">
        <f>BP85</f>
        <v>422705.93000000005</v>
      </c>
      <c r="D621" s="255">
        <f>(D615/D612)*BP90</f>
        <v>13490.731591584619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5" customHeight="1" x14ac:dyDescent="0.3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5" customHeight="1" x14ac:dyDescent="0.3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11191849.645917375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5" customHeight="1" x14ac:dyDescent="0.3">
      <c r="A624" s="250">
        <v>8420</v>
      </c>
      <c r="B624" s="254" t="s">
        <v>151</v>
      </c>
      <c r="C624" s="255">
        <f>BD85</f>
        <v>894008.11</v>
      </c>
      <c r="D624" s="255">
        <f>(D615/D612)*BD90</f>
        <v>16115.649073496896</v>
      </c>
      <c r="E624" s="257">
        <f>(E623/E612)*SUM(C624:D624)</f>
        <v>91355.915361370629</v>
      </c>
      <c r="F624" s="257">
        <f>SUM(C624:E624)</f>
        <v>1001479.6744348676</v>
      </c>
      <c r="G624" s="255"/>
      <c r="H624" s="257"/>
      <c r="I624" s="255"/>
      <c r="J624" s="255"/>
      <c r="N624" s="251" t="s">
        <v>544</v>
      </c>
    </row>
    <row r="625" spans="1:14" s="231" customFormat="1" ht="12.65" customHeight="1" x14ac:dyDescent="0.3">
      <c r="A625" s="250">
        <v>8320</v>
      </c>
      <c r="B625" s="254" t="s">
        <v>147</v>
      </c>
      <c r="C625" s="255">
        <f>AY85</f>
        <v>1874813.8999999992</v>
      </c>
      <c r="D625" s="255">
        <f>(D615/D612)*AY90</f>
        <v>23872.411201326882</v>
      </c>
      <c r="E625" s="257">
        <f>(E623/E612)*SUM(C625:D625)</f>
        <v>190585.31789179886</v>
      </c>
      <c r="F625" s="257">
        <f>(F624/F612)*AY64</f>
        <v>49257.366163792729</v>
      </c>
      <c r="G625" s="255">
        <f>SUM(C625:F625)</f>
        <v>2138528.9952569176</v>
      </c>
      <c r="H625" s="257"/>
      <c r="I625" s="255"/>
      <c r="J625" s="255"/>
      <c r="N625" s="251" t="s">
        <v>545</v>
      </c>
    </row>
    <row r="626" spans="1:14" s="231" customFormat="1" ht="12.65" customHeight="1" x14ac:dyDescent="0.3">
      <c r="A626" s="250">
        <v>8650</v>
      </c>
      <c r="B626" s="254" t="s">
        <v>164</v>
      </c>
      <c r="C626" s="255">
        <f>BR85</f>
        <v>1413434.3399999999</v>
      </c>
      <c r="D626" s="255">
        <f>(D615/D612)*BR90</f>
        <v>10084.78546576792</v>
      </c>
      <c r="E626" s="257">
        <f>(E623/E612)*SUM(C626:D626)</f>
        <v>142889.24055090084</v>
      </c>
      <c r="F626" s="257">
        <f>(F624/F612)*BR64</f>
        <v>1373.7742606509753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5" customHeight="1" x14ac:dyDescent="0.3">
      <c r="A627" s="250">
        <v>8620</v>
      </c>
      <c r="B627" s="249" t="s">
        <v>547</v>
      </c>
      <c r="C627" s="255">
        <f>BO85</f>
        <v>270697.24</v>
      </c>
      <c r="D627" s="255">
        <f>(D615/D612)*BO90</f>
        <v>1322.8083533457987</v>
      </c>
      <c r="E627" s="257">
        <f>(E623/E612)*SUM(C627:D627)</f>
        <v>27304.682760135915</v>
      </c>
      <c r="F627" s="257">
        <f>(F624/F612)*BO64</f>
        <v>791.64504302733224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5" customHeight="1" x14ac:dyDescent="0.3">
      <c r="A628" s="250">
        <v>8330</v>
      </c>
      <c r="B628" s="254" t="s">
        <v>148</v>
      </c>
      <c r="C628" s="255">
        <f>AZ85</f>
        <v>0</v>
      </c>
      <c r="D628" s="255">
        <f>(D615/D612)*AZ90</f>
        <v>0</v>
      </c>
      <c r="E628" s="257">
        <f>(E623/E612)*SUM(C628:D628)</f>
        <v>0</v>
      </c>
      <c r="F628" s="257">
        <f>(F624/F612)*AZ64</f>
        <v>0</v>
      </c>
      <c r="G628" s="255">
        <f>(G625/G612)*AZ91</f>
        <v>0</v>
      </c>
      <c r="H628" s="257">
        <f>SUM(C626:G628)</f>
        <v>1867898.5164338287</v>
      </c>
      <c r="I628" s="255"/>
      <c r="J628" s="255"/>
      <c r="N628" s="251" t="s">
        <v>549</v>
      </c>
    </row>
    <row r="629" spans="1:14" s="231" customFormat="1" ht="12.65" customHeight="1" x14ac:dyDescent="0.3">
      <c r="A629" s="250">
        <v>8460</v>
      </c>
      <c r="B629" s="254" t="s">
        <v>153</v>
      </c>
      <c r="C629" s="255">
        <f>BF85</f>
        <v>2727093.1700000004</v>
      </c>
      <c r="D629" s="255">
        <f>(D615/D612)*BF90</f>
        <v>10870.645507675756</v>
      </c>
      <c r="E629" s="257">
        <f>(E623/E612)*SUM(C629:D629)</f>
        <v>274829.8658268688</v>
      </c>
      <c r="F629" s="257">
        <f>(F624/F612)*BF64</f>
        <v>13768.898487939116</v>
      </c>
      <c r="G629" s="255">
        <f>(G625/G612)*BF91</f>
        <v>0</v>
      </c>
      <c r="H629" s="257">
        <f>(H628/H612)*BF60</f>
        <v>108014.23531961678</v>
      </c>
      <c r="I629" s="255">
        <f>SUM(C629:H629)</f>
        <v>3134576.8151421007</v>
      </c>
      <c r="J629" s="255"/>
      <c r="N629" s="251" t="s">
        <v>550</v>
      </c>
    </row>
    <row r="630" spans="1:14" s="231" customFormat="1" ht="12.65" customHeight="1" x14ac:dyDescent="0.3">
      <c r="A630" s="250">
        <v>8350</v>
      </c>
      <c r="B630" s="254" t="s">
        <v>551</v>
      </c>
      <c r="C630" s="255">
        <f>BA85</f>
        <v>338993.61</v>
      </c>
      <c r="D630" s="255">
        <f>(D615/D612)*BA90</f>
        <v>6919.3671738857602</v>
      </c>
      <c r="E630" s="257">
        <f>(E623/E612)*SUM(C630:D630)</f>
        <v>34721.867603222614</v>
      </c>
      <c r="F630" s="257">
        <f>(F624/F612)*BA64</f>
        <v>1578.1675643845749</v>
      </c>
      <c r="G630" s="255">
        <f>(G625/G612)*BA91</f>
        <v>0</v>
      </c>
      <c r="H630" s="257">
        <f>(H628/H612)*BA60</f>
        <v>3730.2021721492079</v>
      </c>
      <c r="I630" s="255">
        <f>(I629/I612)*BA92</f>
        <v>26666.622158408973</v>
      </c>
      <c r="J630" s="255">
        <f>SUM(C630:I630)</f>
        <v>412609.83667205111</v>
      </c>
      <c r="N630" s="251" t="s">
        <v>552</v>
      </c>
    </row>
    <row r="631" spans="1:14" s="231" customFormat="1" ht="12.65" customHeight="1" x14ac:dyDescent="0.3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>
        <f>(I629/I612)*AW92</f>
        <v>0</v>
      </c>
      <c r="J631" s="255">
        <f>(J630/J612)*AW93</f>
        <v>0</v>
      </c>
      <c r="N631" s="251" t="s">
        <v>554</v>
      </c>
    </row>
    <row r="632" spans="1:14" s="231" customFormat="1" ht="12.65" customHeight="1" x14ac:dyDescent="0.3">
      <c r="A632" s="250">
        <v>8360</v>
      </c>
      <c r="B632" s="254" t="s">
        <v>555</v>
      </c>
      <c r="C632" s="255">
        <f>BB85</f>
        <v>0</v>
      </c>
      <c r="D632" s="255">
        <f>(D615/D612)*BB90</f>
        <v>0</v>
      </c>
      <c r="E632" s="257">
        <f>(E623/E612)*SUM(C632:D632)</f>
        <v>0</v>
      </c>
      <c r="F632" s="257">
        <f>(F624/F612)*BB64</f>
        <v>0</v>
      </c>
      <c r="G632" s="255">
        <f>(G625/G612)*BB91</f>
        <v>0</v>
      </c>
      <c r="H632" s="257">
        <f>(H628/H612)*BB60</f>
        <v>0</v>
      </c>
      <c r="I632" s="255">
        <f>(I629/I612)*BB92</f>
        <v>0</v>
      </c>
      <c r="J632" s="255">
        <f>(J630/J612)*BB93</f>
        <v>0</v>
      </c>
      <c r="N632" s="251" t="s">
        <v>556</v>
      </c>
    </row>
    <row r="633" spans="1:14" s="231" customFormat="1" ht="12.65" customHeight="1" x14ac:dyDescent="0.3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>
        <f>(I629/I612)*BC92</f>
        <v>0</v>
      </c>
      <c r="J633" s="255">
        <f>(J630/J612)*BC93</f>
        <v>0</v>
      </c>
      <c r="N633" s="251" t="s">
        <v>558</v>
      </c>
    </row>
    <row r="634" spans="1:14" s="231" customFormat="1" ht="12.65" customHeight="1" x14ac:dyDescent="0.3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>
        <f>(G625/G612)*BI91</f>
        <v>0</v>
      </c>
      <c r="H634" s="257">
        <f>(H628/H612)*BI60</f>
        <v>0</v>
      </c>
      <c r="I634" s="255">
        <f>(I629/I612)*BI92</f>
        <v>0</v>
      </c>
      <c r="J634" s="255">
        <f>(J630/J612)*BI93</f>
        <v>0</v>
      </c>
      <c r="N634" s="251" t="s">
        <v>560</v>
      </c>
    </row>
    <row r="635" spans="1:14" s="231" customFormat="1" ht="12.65" customHeight="1" x14ac:dyDescent="0.3">
      <c r="A635" s="250">
        <v>8530</v>
      </c>
      <c r="B635" s="254" t="s">
        <v>561</v>
      </c>
      <c r="C635" s="255">
        <f>BK85</f>
        <v>2581703.9099999997</v>
      </c>
      <c r="D635" s="255">
        <f>(D615/D612)*BK90</f>
        <v>12952.40964738098</v>
      </c>
      <c r="E635" s="257">
        <f>(E623/E612)*SUM(C635:D635)</f>
        <v>260445.02274158256</v>
      </c>
      <c r="F635" s="257">
        <f>(F624/F612)*BK64</f>
        <v>1160.5565832437403</v>
      </c>
      <c r="G635" s="255">
        <f>(G625/G612)*BK91</f>
        <v>0</v>
      </c>
      <c r="H635" s="257">
        <f>(H628/H612)*BK60</f>
        <v>81633.367705832032</v>
      </c>
      <c r="I635" s="255">
        <f>(I629/I612)*BK92</f>
        <v>49917.428202277733</v>
      </c>
      <c r="J635" s="255">
        <f>(J630/J612)*BK93</f>
        <v>0</v>
      </c>
      <c r="N635" s="251" t="s">
        <v>562</v>
      </c>
    </row>
    <row r="636" spans="1:14" s="231" customFormat="1" ht="12.65" customHeight="1" x14ac:dyDescent="0.3">
      <c r="A636" s="250">
        <v>8480</v>
      </c>
      <c r="B636" s="254" t="s">
        <v>563</v>
      </c>
      <c r="C636" s="255">
        <f>BH85</f>
        <v>9404889.5699999984</v>
      </c>
      <c r="D636" s="255">
        <f>(D615/D612)*BH90</f>
        <v>15409.412365351165</v>
      </c>
      <c r="E636" s="257">
        <f>(E623/E612)*SUM(C636:D636)</f>
        <v>945585.72714095807</v>
      </c>
      <c r="F636" s="257">
        <f>(F624/F612)*BH64</f>
        <v>23884.472690919949</v>
      </c>
      <c r="G636" s="255">
        <f>(G625/G612)*BH91</f>
        <v>0</v>
      </c>
      <c r="H636" s="257">
        <f>(H628/H612)*BH60</f>
        <v>0</v>
      </c>
      <c r="I636" s="255">
        <f>(I629/I612)*BH92</f>
        <v>59386.496901157065</v>
      </c>
      <c r="J636" s="255">
        <f>(J630/J612)*BH93</f>
        <v>0</v>
      </c>
      <c r="N636" s="251" t="s">
        <v>564</v>
      </c>
    </row>
    <row r="637" spans="1:14" s="231" customFormat="1" ht="12.65" customHeight="1" x14ac:dyDescent="0.3">
      <c r="A637" s="250">
        <v>8560</v>
      </c>
      <c r="B637" s="254" t="s">
        <v>159</v>
      </c>
      <c r="C637" s="255">
        <f>BL85</f>
        <v>1801782.01</v>
      </c>
      <c r="D637" s="255">
        <f>(D615/D612)*BL90</f>
        <v>9103.7274711928421</v>
      </c>
      <c r="E637" s="257">
        <f>(E623/E612)*SUM(C637:D637)</f>
        <v>181772.11891484293</v>
      </c>
      <c r="F637" s="257">
        <f>(F624/F612)*BL64</f>
        <v>1306.3868670924221</v>
      </c>
      <c r="G637" s="255">
        <f>(G625/G612)*BL91</f>
        <v>0</v>
      </c>
      <c r="H637" s="257">
        <f>(H628/H612)*BL60</f>
        <v>84475.543762263595</v>
      </c>
      <c r="I637" s="255">
        <f>(I629/I612)*BL92</f>
        <v>35084.951355615922</v>
      </c>
      <c r="J637" s="255">
        <f>(J630/J612)*BL93</f>
        <v>0</v>
      </c>
      <c r="N637" s="251" t="s">
        <v>565</v>
      </c>
    </row>
    <row r="638" spans="1:14" s="231" customFormat="1" ht="12.65" customHeight="1" x14ac:dyDescent="0.3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>
        <f>(I629/I612)*BM92</f>
        <v>0</v>
      </c>
      <c r="J638" s="255">
        <f>(J630/J612)*BM93</f>
        <v>0</v>
      </c>
      <c r="N638" s="251" t="s">
        <v>567</v>
      </c>
    </row>
    <row r="639" spans="1:14" s="231" customFormat="1" ht="12.65" customHeight="1" x14ac:dyDescent="0.3">
      <c r="A639" s="250">
        <v>8660</v>
      </c>
      <c r="B639" s="254" t="s">
        <v>568</v>
      </c>
      <c r="C639" s="255">
        <f>BS85</f>
        <v>0</v>
      </c>
      <c r="D639" s="255">
        <f>(D615/D612)*BS90</f>
        <v>0</v>
      </c>
      <c r="E639" s="257">
        <f>(E623/E612)*SUM(C639:D639)</f>
        <v>0</v>
      </c>
      <c r="F639" s="257">
        <f>(F624/F612)*BS64</f>
        <v>0</v>
      </c>
      <c r="G639" s="255">
        <f>(G625/G612)*BS91</f>
        <v>0</v>
      </c>
      <c r="H639" s="257">
        <f>(H628/H612)*BS60</f>
        <v>0</v>
      </c>
      <c r="I639" s="255">
        <f>(I629/I612)*BS92</f>
        <v>0</v>
      </c>
      <c r="J639" s="255">
        <f>(J630/J612)*BS93</f>
        <v>0</v>
      </c>
      <c r="N639" s="251" t="s">
        <v>569</v>
      </c>
    </row>
    <row r="640" spans="1:14" s="231" customFormat="1" ht="12.65" customHeight="1" x14ac:dyDescent="0.3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>
        <f>(I629/I612)*BT92</f>
        <v>0</v>
      </c>
      <c r="J640" s="255">
        <f>(J630/J612)*BT93</f>
        <v>0</v>
      </c>
      <c r="N640" s="251" t="s">
        <v>571</v>
      </c>
    </row>
    <row r="641" spans="1:14" s="231" customFormat="1" ht="12.65" customHeight="1" x14ac:dyDescent="0.3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>
        <f>(I629/I612)*BU92</f>
        <v>0</v>
      </c>
      <c r="J641" s="255">
        <f>(J630/J612)*BU93</f>
        <v>0</v>
      </c>
      <c r="N641" s="251" t="s">
        <v>573</v>
      </c>
    </row>
    <row r="642" spans="1:14" s="231" customFormat="1" ht="12.65" customHeight="1" x14ac:dyDescent="0.3">
      <c r="A642" s="250">
        <v>8690</v>
      </c>
      <c r="B642" s="254" t="s">
        <v>574</v>
      </c>
      <c r="C642" s="255">
        <f>BV85</f>
        <v>2424942.2400000002</v>
      </c>
      <c r="D642" s="255">
        <f>(D615/D612)*BV90</f>
        <v>21531.314668791481</v>
      </c>
      <c r="E642" s="257">
        <f>(E623/E612)*SUM(C642:D642)</f>
        <v>245570.81250320922</v>
      </c>
      <c r="F642" s="257">
        <f>(F624/F612)*BV64</f>
        <v>42.27030870464305</v>
      </c>
      <c r="G642" s="255">
        <f>(G625/G612)*BV91</f>
        <v>0</v>
      </c>
      <c r="H642" s="257">
        <f>(H628/H612)*BV60</f>
        <v>80703.186716882876</v>
      </c>
      <c r="I642" s="255">
        <f>(I629/I612)*BV92</f>
        <v>82979.760781220641</v>
      </c>
      <c r="J642" s="255">
        <f>(J630/J612)*BV93</f>
        <v>0</v>
      </c>
      <c r="N642" s="251" t="s">
        <v>575</v>
      </c>
    </row>
    <row r="643" spans="1:14" s="231" customFormat="1" ht="12.65" customHeight="1" x14ac:dyDescent="0.3">
      <c r="A643" s="250">
        <v>8700</v>
      </c>
      <c r="B643" s="254" t="s">
        <v>576</v>
      </c>
      <c r="C643" s="255">
        <f>BW85</f>
        <v>384522.04</v>
      </c>
      <c r="D643" s="255">
        <f>(D615/D612)*BW90</f>
        <v>4840.113466476424</v>
      </c>
      <c r="E643" s="257">
        <f>(E623/E612)*SUM(C643:D643)</f>
        <v>39083.185756204315</v>
      </c>
      <c r="F643" s="257">
        <f>(F624/F612)*BW64</f>
        <v>208.77570846768421</v>
      </c>
      <c r="G643" s="255">
        <f>(G625/G612)*BW91</f>
        <v>0</v>
      </c>
      <c r="H643" s="257">
        <f>(H628/H612)*BW60</f>
        <v>7374.0223420035154</v>
      </c>
      <c r="I643" s="255">
        <f>(I629/I612)*BW92</f>
        <v>18653.364356999627</v>
      </c>
      <c r="J643" s="255">
        <f>(J630/J612)*BW93</f>
        <v>0</v>
      </c>
      <c r="N643" s="251" t="s">
        <v>577</v>
      </c>
    </row>
    <row r="644" spans="1:14" s="231" customFormat="1" ht="12.65" customHeight="1" x14ac:dyDescent="0.3">
      <c r="A644" s="250">
        <v>8710</v>
      </c>
      <c r="B644" s="254" t="s">
        <v>578</v>
      </c>
      <c r="C644" s="255">
        <f>BX85</f>
        <v>0</v>
      </c>
      <c r="D644" s="255">
        <f>(D615/D612)*BX90</f>
        <v>0</v>
      </c>
      <c r="E644" s="257">
        <f>(E623/E612)*SUM(C644:D644)</f>
        <v>0</v>
      </c>
      <c r="F644" s="257">
        <f>(F624/F612)*BX64</f>
        <v>0</v>
      </c>
      <c r="G644" s="255">
        <f>(G625/G612)*BX91</f>
        <v>0</v>
      </c>
      <c r="H644" s="257">
        <f>(H628/H612)*BX60</f>
        <v>0</v>
      </c>
      <c r="I644" s="255">
        <f>(I629/I612)*BX92</f>
        <v>0</v>
      </c>
      <c r="J644" s="255">
        <f>(J630/J612)*BX93</f>
        <v>0</v>
      </c>
      <c r="K644" s="257">
        <f>SUM(C631:J644)</f>
        <v>18860944.198958661</v>
      </c>
      <c r="L644" s="257"/>
      <c r="N644" s="251" t="s">
        <v>579</v>
      </c>
    </row>
    <row r="645" spans="1:14" s="231" customFormat="1" ht="12.65" customHeight="1" x14ac:dyDescent="0.3">
      <c r="A645" s="250">
        <v>8720</v>
      </c>
      <c r="B645" s="254" t="s">
        <v>580</v>
      </c>
      <c r="C645" s="255">
        <f>BY85</f>
        <v>3574384.0700000003</v>
      </c>
      <c r="D645" s="255">
        <f>(D615/D612)*BY90</f>
        <v>8197.2245791409969</v>
      </c>
      <c r="E645" s="257">
        <f>(E623/E612)*SUM(C645:D645)</f>
        <v>359610.42688961537</v>
      </c>
      <c r="F645" s="257">
        <f>(F624/F612)*BY64</f>
        <v>436.49029962656545</v>
      </c>
      <c r="G645" s="255">
        <f>(G625/G612)*BY91</f>
        <v>0</v>
      </c>
      <c r="H645" s="257">
        <f>(H628/H612)*BY60</f>
        <v>79412.749253197151</v>
      </c>
      <c r="I645" s="255">
        <f>(I629/I612)*BY92</f>
        <v>31591.37029532998</v>
      </c>
      <c r="J645" s="255">
        <f>(J630/J612)*BY93</f>
        <v>0</v>
      </c>
      <c r="K645" s="257">
        <v>0</v>
      </c>
      <c r="L645" s="257"/>
      <c r="N645" s="251" t="s">
        <v>581</v>
      </c>
    </row>
    <row r="646" spans="1:14" s="231" customFormat="1" ht="12.65" customHeight="1" x14ac:dyDescent="0.3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>
        <f>(I629/I612)*BZ92</f>
        <v>0</v>
      </c>
      <c r="J646" s="255">
        <f>(J630/J612)*BZ93</f>
        <v>0</v>
      </c>
      <c r="K646" s="257">
        <v>0</v>
      </c>
      <c r="L646" s="257"/>
      <c r="N646" s="251" t="s">
        <v>583</v>
      </c>
    </row>
    <row r="647" spans="1:14" s="231" customFormat="1" ht="12.65" customHeight="1" x14ac:dyDescent="0.3">
      <c r="A647" s="250">
        <v>8740</v>
      </c>
      <c r="B647" s="254" t="s">
        <v>584</v>
      </c>
      <c r="C647" s="255">
        <f>CA85</f>
        <v>232272.91000000003</v>
      </c>
      <c r="D647" s="255">
        <f>(D615/D612)*CA90</f>
        <v>4954.5512858513466</v>
      </c>
      <c r="E647" s="257">
        <f>(E623/E612)*SUM(C647:D647)</f>
        <v>23812.291085209363</v>
      </c>
      <c r="F647" s="257">
        <f>(F624/F612)*CA64</f>
        <v>508.95839317903</v>
      </c>
      <c r="G647" s="255">
        <f>(G625/G612)*CA91</f>
        <v>0</v>
      </c>
      <c r="H647" s="257">
        <f>(H628/H612)*CA60</f>
        <v>4414.4803432233794</v>
      </c>
      <c r="I647" s="255">
        <f>(I629/I612)*CA92</f>
        <v>19094.397476534104</v>
      </c>
      <c r="J647" s="255">
        <f>(J630/J612)*CA93</f>
        <v>0</v>
      </c>
      <c r="K647" s="257">
        <v>0</v>
      </c>
      <c r="L647" s="257">
        <f>SUM(C645:K647)</f>
        <v>4338689.9199009091</v>
      </c>
      <c r="N647" s="251" t="s">
        <v>585</v>
      </c>
    </row>
    <row r="648" spans="1:14" s="231" customFormat="1" ht="12.65" customHeight="1" x14ac:dyDescent="0.3">
      <c r="A648" s="250"/>
      <c r="B648" s="250"/>
      <c r="C648" s="231">
        <f>SUM(C614:C647)</f>
        <v>39991002.719999991</v>
      </c>
      <c r="L648" s="253"/>
    </row>
    <row r="666" spans="1:14" s="231" customFormat="1" ht="12.65" customHeight="1" x14ac:dyDescent="0.3">
      <c r="C666" s="248" t="s">
        <v>586</v>
      </c>
      <c r="M666" s="248" t="s">
        <v>587</v>
      </c>
    </row>
    <row r="667" spans="1:14" s="231" customFormat="1" ht="12.65" customHeight="1" x14ac:dyDescent="0.3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5" customHeight="1" x14ac:dyDescent="0.3">
      <c r="A668" s="250">
        <v>6010</v>
      </c>
      <c r="B668" s="249" t="s">
        <v>315</v>
      </c>
      <c r="C668" s="255">
        <f>C85</f>
        <v>3655028.39</v>
      </c>
      <c r="D668" s="255">
        <f>(D615/D612)*C90</f>
        <v>30874.196341153191</v>
      </c>
      <c r="E668" s="257">
        <f>(E623/E612)*SUM(C668:D668)</f>
        <v>369981.55619058729</v>
      </c>
      <c r="F668" s="257">
        <f>(F624/F612)*C64</f>
        <v>14508.506593550637</v>
      </c>
      <c r="G668" s="255">
        <f>(G625/G612)*C91</f>
        <v>348291.83716269123</v>
      </c>
      <c r="H668" s="257">
        <f>(H628/H612)*C60</f>
        <v>69251.284478449859</v>
      </c>
      <c r="I668" s="255">
        <f>(I629/I612)*C92</f>
        <v>118986.39103606238</v>
      </c>
      <c r="J668" s="255">
        <f>(J630/J612)*C93</f>
        <v>43958.600005356369</v>
      </c>
      <c r="K668" s="255">
        <f>(K644/K612)*C89</f>
        <v>870694.5473597442</v>
      </c>
      <c r="L668" s="255">
        <f>(L647/L612)*C94</f>
        <v>634166.39565625647</v>
      </c>
      <c r="M668" s="231">
        <f t="shared" ref="M668:M713" si="18">ROUND(SUM(D668:L668),0)</f>
        <v>2500713</v>
      </c>
      <c r="N668" s="249" t="s">
        <v>589</v>
      </c>
    </row>
    <row r="669" spans="1:14" s="231" customFormat="1" ht="12.65" customHeight="1" x14ac:dyDescent="0.3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>
        <f>(I629/I612)*D92</f>
        <v>0</v>
      </c>
      <c r="J669" s="255">
        <f>(J630/J612)*D93</f>
        <v>0</v>
      </c>
      <c r="K669" s="255">
        <f>(K644/K612)*D89</f>
        <v>0</v>
      </c>
      <c r="L669" s="255">
        <f>(L647/L612)*D94</f>
        <v>0</v>
      </c>
      <c r="M669" s="231">
        <f t="shared" si="18"/>
        <v>0</v>
      </c>
      <c r="N669" s="249" t="s">
        <v>590</v>
      </c>
    </row>
    <row r="670" spans="1:14" s="231" customFormat="1" ht="12.65" customHeight="1" x14ac:dyDescent="0.3">
      <c r="A670" s="250">
        <v>6070</v>
      </c>
      <c r="B670" s="249" t="s">
        <v>591</v>
      </c>
      <c r="C670" s="255">
        <f>E85</f>
        <v>8927794.2199999988</v>
      </c>
      <c r="D670" s="255">
        <f>(D615/D612)*E90</f>
        <v>91198.652878571782</v>
      </c>
      <c r="E670" s="257">
        <f>(E623/E612)*SUM(C670:D670)</f>
        <v>905303.63736275409</v>
      </c>
      <c r="F670" s="257">
        <f>(F624/F612)*E64</f>
        <v>21054.972060499444</v>
      </c>
      <c r="G670" s="255">
        <f>(G625/G612)*E91</f>
        <v>1702629.3526162643</v>
      </c>
      <c r="H670" s="257">
        <f>(H628/H612)*E60</f>
        <v>168144.30840088747</v>
      </c>
      <c r="I670" s="255">
        <f>(I629/I612)*E92</f>
        <v>351471.4505753041</v>
      </c>
      <c r="J670" s="255">
        <f>(J630/J612)*E93</f>
        <v>95175.446896519963</v>
      </c>
      <c r="K670" s="255">
        <f>(K644/K612)*E89</f>
        <v>2036353.8979614615</v>
      </c>
      <c r="L670" s="255">
        <f>(L647/L612)*E94</f>
        <v>1539776.0606431379</v>
      </c>
      <c r="M670" s="231">
        <f t="shared" si="18"/>
        <v>6911108</v>
      </c>
      <c r="N670" s="249" t="s">
        <v>592</v>
      </c>
    </row>
    <row r="671" spans="1:14" s="231" customFormat="1" ht="12.65" customHeight="1" x14ac:dyDescent="0.3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>
        <f>(I629/I612)*F92</f>
        <v>0</v>
      </c>
      <c r="J671" s="255">
        <f>(J630/J612)*F93</f>
        <v>0</v>
      </c>
      <c r="K671" s="255">
        <f>(K644/K612)*F89</f>
        <v>0</v>
      </c>
      <c r="L671" s="255">
        <f>(L647/L612)*F94</f>
        <v>0</v>
      </c>
      <c r="M671" s="231">
        <f t="shared" si="18"/>
        <v>0</v>
      </c>
      <c r="N671" s="249" t="s">
        <v>594</v>
      </c>
    </row>
    <row r="672" spans="1:14" s="231" customFormat="1" ht="12.65" customHeight="1" x14ac:dyDescent="0.3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>
        <f>(I629/I612)*G92</f>
        <v>0</v>
      </c>
      <c r="J672" s="255">
        <f>(J630/J612)*G93</f>
        <v>0</v>
      </c>
      <c r="K672" s="255">
        <f>(K644/K612)*G89</f>
        <v>0</v>
      </c>
      <c r="L672" s="255">
        <f>(L647/L612)*G94</f>
        <v>0</v>
      </c>
      <c r="M672" s="231">
        <f t="shared" si="18"/>
        <v>0</v>
      </c>
      <c r="N672" s="249" t="s">
        <v>596</v>
      </c>
    </row>
    <row r="673" spans="1:14" s="231" customFormat="1" ht="12.65" customHeight="1" x14ac:dyDescent="0.3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>
        <f>(G625/G612)*H91</f>
        <v>0</v>
      </c>
      <c r="H673" s="257">
        <f>(H628/H612)*H60</f>
        <v>0</v>
      </c>
      <c r="I673" s="255">
        <f>(I629/I612)*H92</f>
        <v>0</v>
      </c>
      <c r="J673" s="255">
        <f>(J630/J612)*H93</f>
        <v>0</v>
      </c>
      <c r="K673" s="255">
        <f>(K644/K612)*H89</f>
        <v>0</v>
      </c>
      <c r="L673" s="255">
        <f>(L647/L612)*H94</f>
        <v>0</v>
      </c>
      <c r="M673" s="231">
        <f t="shared" si="18"/>
        <v>0</v>
      </c>
      <c r="N673" s="249" t="s">
        <v>598</v>
      </c>
    </row>
    <row r="674" spans="1:14" s="231" customFormat="1" ht="12.65" customHeight="1" x14ac:dyDescent="0.3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>
        <f>(I629/I612)*I92</f>
        <v>0</v>
      </c>
      <c r="J674" s="255">
        <f>(J630/J612)*I93</f>
        <v>0</v>
      </c>
      <c r="K674" s="255">
        <f>(K644/K612)*I89</f>
        <v>0</v>
      </c>
      <c r="L674" s="255">
        <f>(L647/L612)*I94</f>
        <v>0</v>
      </c>
      <c r="M674" s="231">
        <f t="shared" si="18"/>
        <v>0</v>
      </c>
      <c r="N674" s="249" t="s">
        <v>600</v>
      </c>
    </row>
    <row r="675" spans="1:14" s="231" customFormat="1" ht="12.65" customHeight="1" x14ac:dyDescent="0.3">
      <c r="A675" s="250">
        <v>6170</v>
      </c>
      <c r="B675" s="249" t="s">
        <v>110</v>
      </c>
      <c r="C675" s="255">
        <f>J85</f>
        <v>62106.920000000006</v>
      </c>
      <c r="D675" s="255">
        <f>(D615/D612)*J90</f>
        <v>2283.2144897886465</v>
      </c>
      <c r="E675" s="257">
        <f>(E623/E612)*SUM(C675:D675)</f>
        <v>6463.3184420376947</v>
      </c>
      <c r="F675" s="257">
        <f>(F624/F612)*J64</f>
        <v>2765.0008335035345</v>
      </c>
      <c r="G675" s="255">
        <f>(G625/G612)*J91</f>
        <v>0</v>
      </c>
      <c r="H675" s="257">
        <f>(H628/H612)*J60</f>
        <v>0</v>
      </c>
      <c r="I675" s="255">
        <f>(I629/I612)*J92</f>
        <v>8799.3044126326331</v>
      </c>
      <c r="J675" s="255">
        <f>(J630/J612)*J93</f>
        <v>0</v>
      </c>
      <c r="K675" s="255">
        <f>(K644/K612)*J89</f>
        <v>84791.643497092431</v>
      </c>
      <c r="L675" s="255">
        <f>(L647/L612)*J94</f>
        <v>0</v>
      </c>
      <c r="M675" s="231">
        <f t="shared" si="18"/>
        <v>105102</v>
      </c>
      <c r="N675" s="249" t="s">
        <v>601</v>
      </c>
    </row>
    <row r="676" spans="1:14" s="231" customFormat="1" ht="12.65" customHeight="1" x14ac:dyDescent="0.3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>
        <f>(I629/I612)*K92</f>
        <v>0</v>
      </c>
      <c r="J676" s="255">
        <f>(J630/J612)*K93</f>
        <v>0</v>
      </c>
      <c r="K676" s="255">
        <f>(K644/K612)*K89</f>
        <v>0</v>
      </c>
      <c r="L676" s="255">
        <f>(L647/L612)*K94</f>
        <v>0</v>
      </c>
      <c r="M676" s="231">
        <f t="shared" si="18"/>
        <v>0</v>
      </c>
      <c r="N676" s="249" t="s">
        <v>602</v>
      </c>
    </row>
    <row r="677" spans="1:14" s="231" customFormat="1" ht="12.65" customHeight="1" x14ac:dyDescent="0.3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>
        <f>(G625/G612)*L91</f>
        <v>0</v>
      </c>
      <c r="H677" s="257">
        <f>(H628/H612)*L60</f>
        <v>0</v>
      </c>
      <c r="I677" s="255">
        <f>(I629/I612)*L92</f>
        <v>0</v>
      </c>
      <c r="J677" s="255">
        <f>(J630/J612)*L93</f>
        <v>0</v>
      </c>
      <c r="K677" s="255">
        <f>(K644/K612)*L89</f>
        <v>0</v>
      </c>
      <c r="L677" s="255">
        <f>(L647/L612)*L94</f>
        <v>0</v>
      </c>
      <c r="M677" s="231">
        <f t="shared" si="18"/>
        <v>0</v>
      </c>
      <c r="N677" s="249" t="s">
        <v>603</v>
      </c>
    </row>
    <row r="678" spans="1:14" s="231" customFormat="1" ht="12.65" customHeight="1" x14ac:dyDescent="0.3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>
        <f>(I629/I612)*M92</f>
        <v>0</v>
      </c>
      <c r="J678" s="255">
        <f>(J630/J612)*M93</f>
        <v>0</v>
      </c>
      <c r="K678" s="255">
        <f>(K644/K612)*M89</f>
        <v>0</v>
      </c>
      <c r="L678" s="255">
        <f>(L647/L612)*M94</f>
        <v>0</v>
      </c>
      <c r="M678" s="231">
        <f t="shared" si="18"/>
        <v>0</v>
      </c>
      <c r="N678" s="249" t="s">
        <v>605</v>
      </c>
    </row>
    <row r="679" spans="1:14" s="231" customFormat="1" ht="12.65" customHeight="1" x14ac:dyDescent="0.3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>
        <f>(I629/I612)*N92</f>
        <v>0</v>
      </c>
      <c r="J679" s="255">
        <f>(J630/J612)*N93</f>
        <v>0</v>
      </c>
      <c r="K679" s="255">
        <f>(K644/K612)*N89</f>
        <v>0</v>
      </c>
      <c r="L679" s="255">
        <f>(L647/L612)*N94</f>
        <v>0</v>
      </c>
      <c r="M679" s="231">
        <f t="shared" si="18"/>
        <v>0</v>
      </c>
      <c r="N679" s="249" t="s">
        <v>607</v>
      </c>
    </row>
    <row r="680" spans="1:14" s="231" customFormat="1" ht="12.65" customHeight="1" x14ac:dyDescent="0.3">
      <c r="A680" s="250">
        <v>7010</v>
      </c>
      <c r="B680" s="249" t="s">
        <v>608</v>
      </c>
      <c r="C680" s="255">
        <f>O85</f>
        <v>165283.84</v>
      </c>
      <c r="D680" s="255">
        <f>(D615/D612)*O90</f>
        <v>4617.7744250253127</v>
      </c>
      <c r="E680" s="257">
        <f>(E623/E612)*SUM(C680:D680)</f>
        <v>17054.293278722547</v>
      </c>
      <c r="F680" s="257">
        <f>(F624/F612)*O64</f>
        <v>6863.1525058683637</v>
      </c>
      <c r="G680" s="255">
        <f>(G625/G612)*O91</f>
        <v>0</v>
      </c>
      <c r="H680" s="257">
        <f>(H628/H612)*O60</f>
        <v>0</v>
      </c>
      <c r="I680" s="255">
        <f>(I629/I612)*O92</f>
        <v>17796.489579228582</v>
      </c>
      <c r="J680" s="255">
        <f>(J630/J612)*O93</f>
        <v>47671.151573384202</v>
      </c>
      <c r="K680" s="255">
        <f>(K644/K612)*O89</f>
        <v>217679.43411363947</v>
      </c>
      <c r="L680" s="255">
        <f>(L647/L612)*O94</f>
        <v>0</v>
      </c>
      <c r="M680" s="231">
        <f t="shared" si="18"/>
        <v>311682</v>
      </c>
      <c r="N680" s="249" t="s">
        <v>609</v>
      </c>
    </row>
    <row r="681" spans="1:14" s="231" customFormat="1" ht="12.65" customHeight="1" x14ac:dyDescent="0.3">
      <c r="A681" s="250">
        <v>7020</v>
      </c>
      <c r="B681" s="249" t="s">
        <v>610</v>
      </c>
      <c r="C681" s="255">
        <f>P85</f>
        <v>3830538.63</v>
      </c>
      <c r="D681" s="255">
        <f>(D615/D612)*P90</f>
        <v>31098.572148429263</v>
      </c>
      <c r="E681" s="257">
        <f>(E623/E612)*SUM(C681:D681)</f>
        <v>387621.35135876946</v>
      </c>
      <c r="F681" s="257">
        <f>(F624/F612)*P64</f>
        <v>56211.937051816451</v>
      </c>
      <c r="G681" s="255">
        <f>(G625/G612)*P91</f>
        <v>20859.001304276655</v>
      </c>
      <c r="H681" s="257">
        <f>(H628/H612)*P60</f>
        <v>55864.370513507616</v>
      </c>
      <c r="I681" s="255">
        <f>(I629/I612)*P92</f>
        <v>119851.11532713637</v>
      </c>
      <c r="J681" s="255">
        <f>(J630/J612)*P93</f>
        <v>47838.007823632644</v>
      </c>
      <c r="K681" s="255">
        <f>(K644/K612)*P89</f>
        <v>1338972.246131086</v>
      </c>
      <c r="L681" s="255">
        <f>(L647/L612)*P94</f>
        <v>511576.16441296932</v>
      </c>
      <c r="M681" s="231">
        <f t="shared" si="18"/>
        <v>2569893</v>
      </c>
      <c r="N681" s="249" t="s">
        <v>611</v>
      </c>
    </row>
    <row r="682" spans="1:14" s="231" customFormat="1" ht="12.65" customHeight="1" x14ac:dyDescent="0.3">
      <c r="A682" s="250">
        <v>7030</v>
      </c>
      <c r="B682" s="249" t="s">
        <v>612</v>
      </c>
      <c r="C682" s="255">
        <f>Q85</f>
        <v>2343233.27</v>
      </c>
      <c r="D682" s="255">
        <f>(D615/D612)*Q90</f>
        <v>34327.840680591806</v>
      </c>
      <c r="E682" s="257">
        <f>(E623/E612)*SUM(C682:D682)</f>
        <v>238653.55609981631</v>
      </c>
      <c r="F682" s="257">
        <f>(F624/F612)*Q64</f>
        <v>7007.7921392694834</v>
      </c>
      <c r="G682" s="255">
        <f>(G625/G612)*Q91</f>
        <v>0</v>
      </c>
      <c r="H682" s="257">
        <f>(H628/H612)*Q60</f>
        <v>50076.866674409292</v>
      </c>
      <c r="I682" s="255">
        <f>(I629/I612)*Q92</f>
        <v>132296.42739558945</v>
      </c>
      <c r="J682" s="255">
        <f>(J630/J612)*Q93</f>
        <v>39581.832210378001</v>
      </c>
      <c r="K682" s="255">
        <f>(K644/K612)*Q89</f>
        <v>402674.8771981303</v>
      </c>
      <c r="L682" s="255">
        <f>(L647/L612)*Q94</f>
        <v>458577.28537225106</v>
      </c>
      <c r="M682" s="231">
        <f t="shared" si="18"/>
        <v>1363196</v>
      </c>
      <c r="N682" s="249" t="s">
        <v>613</v>
      </c>
    </row>
    <row r="683" spans="1:14" s="231" customFormat="1" ht="12.65" customHeight="1" x14ac:dyDescent="0.3">
      <c r="A683" s="250">
        <v>7040</v>
      </c>
      <c r="B683" s="249" t="s">
        <v>118</v>
      </c>
      <c r="C683" s="255">
        <f>R85</f>
        <v>-711391.23</v>
      </c>
      <c r="D683" s="255">
        <f>(D615/D612)*R90</f>
        <v>1475.9920900421971</v>
      </c>
      <c r="E683" s="257">
        <f>(E623/E612)*SUM(C683:D683)</f>
        <v>-71259.491625920782</v>
      </c>
      <c r="F683" s="257">
        <f>(F624/F612)*R64</f>
        <v>5084.9677058666712</v>
      </c>
      <c r="G683" s="255">
        <f>(G625/G612)*R91</f>
        <v>0</v>
      </c>
      <c r="H683" s="257">
        <f>(H628/H612)*R60</f>
        <v>15290.582218277883</v>
      </c>
      <c r="I683" s="255">
        <f>(I629/I612)*R92</f>
        <v>5688.3414891613702</v>
      </c>
      <c r="J683" s="255">
        <f>(J630/J612)*R93</f>
        <v>0</v>
      </c>
      <c r="K683" s="255">
        <f>(K644/K612)*R89</f>
        <v>132485.67673504737</v>
      </c>
      <c r="L683" s="255">
        <f>(L647/L612)*R94</f>
        <v>140023.01164346555</v>
      </c>
      <c r="M683" s="231">
        <f t="shared" si="18"/>
        <v>228789</v>
      </c>
      <c r="N683" s="249" t="s">
        <v>614</v>
      </c>
    </row>
    <row r="684" spans="1:14" s="231" customFormat="1" ht="12.65" customHeight="1" x14ac:dyDescent="0.3">
      <c r="A684" s="250">
        <v>7050</v>
      </c>
      <c r="B684" s="249" t="s">
        <v>615</v>
      </c>
      <c r="C684" s="255">
        <f>S85</f>
        <v>6170444.9899999993</v>
      </c>
      <c r="D684" s="255">
        <f>(D615/D612)*S90</f>
        <v>14069.788852287609</v>
      </c>
      <c r="E684" s="257">
        <f>(E623/E612)*SUM(C684:D684)</f>
        <v>620785.912965436</v>
      </c>
      <c r="F684" s="257">
        <f>(F624/F612)*S64</f>
        <v>381626.22513869859</v>
      </c>
      <c r="G684" s="255">
        <f>(G625/G612)*S91</f>
        <v>0</v>
      </c>
      <c r="H684" s="257">
        <f>(H628/H612)*S60</f>
        <v>0</v>
      </c>
      <c r="I684" s="255">
        <f>(I629/I612)*S92</f>
        <v>54223.707709652874</v>
      </c>
      <c r="J684" s="255">
        <f>(J630/J612)*S93</f>
        <v>0</v>
      </c>
      <c r="K684" s="255">
        <f>(K644/K612)*S89</f>
        <v>715072.82902269554</v>
      </c>
      <c r="L684" s="255">
        <f>(L647/L612)*S94</f>
        <v>0</v>
      </c>
      <c r="M684" s="231">
        <f t="shared" si="18"/>
        <v>1785778</v>
      </c>
      <c r="N684" s="249" t="s">
        <v>616</v>
      </c>
    </row>
    <row r="685" spans="1:14" s="231" customFormat="1" ht="12.65" customHeight="1" x14ac:dyDescent="0.3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>
        <f>(I629/I612)*T92</f>
        <v>0</v>
      </c>
      <c r="J685" s="255">
        <f>(J630/J612)*T93</f>
        <v>0</v>
      </c>
      <c r="K685" s="255">
        <f>(K644/K612)*T89</f>
        <v>0</v>
      </c>
      <c r="L685" s="255">
        <f>(L647/L612)*T94</f>
        <v>0</v>
      </c>
      <c r="M685" s="231">
        <f t="shared" si="18"/>
        <v>0</v>
      </c>
      <c r="N685" s="249" t="s">
        <v>618</v>
      </c>
    </row>
    <row r="686" spans="1:14" s="231" customFormat="1" ht="12.65" customHeight="1" x14ac:dyDescent="0.3">
      <c r="A686" s="250">
        <v>7070</v>
      </c>
      <c r="B686" s="249" t="s">
        <v>121</v>
      </c>
      <c r="C686" s="255">
        <f>U85</f>
        <v>6621114.7199999988</v>
      </c>
      <c r="D686" s="255">
        <f>(D615/D612)*U90</f>
        <v>20807.978601045441</v>
      </c>
      <c r="E686" s="257">
        <f>(E623/E612)*SUM(C686:D686)</f>
        <v>666699.36021433224</v>
      </c>
      <c r="F686" s="257">
        <f>(F624/F612)*U64</f>
        <v>130491.37112222743</v>
      </c>
      <c r="G686" s="255">
        <f>(G625/G612)*U91</f>
        <v>0</v>
      </c>
      <c r="H686" s="257">
        <f>(H628/H612)*U60</f>
        <v>91840.883952491276</v>
      </c>
      <c r="I686" s="255">
        <f>(I629/I612)*U92</f>
        <v>80192.088277739254</v>
      </c>
      <c r="J686" s="255">
        <f>(J630/J612)*U93</f>
        <v>673.8425490802465</v>
      </c>
      <c r="K686" s="255">
        <f>(K644/K612)*U89</f>
        <v>2305365.0768502592</v>
      </c>
      <c r="L686" s="255">
        <f>(L647/L612)*U94</f>
        <v>0</v>
      </c>
      <c r="M686" s="231">
        <f t="shared" si="18"/>
        <v>3296071</v>
      </c>
      <c r="N686" s="249" t="s">
        <v>619</v>
      </c>
    </row>
    <row r="687" spans="1:14" s="231" customFormat="1" ht="12.65" customHeight="1" x14ac:dyDescent="0.3">
      <c r="A687" s="250">
        <v>7110</v>
      </c>
      <c r="B687" s="249" t="s">
        <v>620</v>
      </c>
      <c r="C687" s="255">
        <f>V85</f>
        <v>0</v>
      </c>
      <c r="D687" s="255">
        <f>(D615/D612)*V90</f>
        <v>0</v>
      </c>
      <c r="E687" s="257">
        <f>(E623/E612)*SUM(C687:D687)</f>
        <v>0</v>
      </c>
      <c r="F687" s="257">
        <f>(F624/F612)*V64</f>
        <v>0</v>
      </c>
      <c r="G687" s="255">
        <f>(G625/G612)*V91</f>
        <v>0</v>
      </c>
      <c r="H687" s="257">
        <f>(H628/H612)*V60</f>
        <v>0</v>
      </c>
      <c r="I687" s="255">
        <f>(I629/I612)*V92</f>
        <v>0</v>
      </c>
      <c r="J687" s="255">
        <f>(J630/J612)*V93</f>
        <v>0</v>
      </c>
      <c r="K687" s="255">
        <f>(K644/K612)*V89</f>
        <v>0</v>
      </c>
      <c r="L687" s="255">
        <f>(L647/L612)*V94</f>
        <v>0</v>
      </c>
      <c r="M687" s="231">
        <f t="shared" si="18"/>
        <v>0</v>
      </c>
      <c r="N687" s="249" t="s">
        <v>621</v>
      </c>
    </row>
    <row r="688" spans="1:14" s="231" customFormat="1" ht="12.65" customHeight="1" x14ac:dyDescent="0.3">
      <c r="A688" s="250">
        <v>7120</v>
      </c>
      <c r="B688" s="249" t="s">
        <v>622</v>
      </c>
      <c r="C688" s="255">
        <f>W85</f>
        <v>400713.95999999996</v>
      </c>
      <c r="D688" s="255">
        <f>(D615/D612)*W90</f>
        <v>10124.478716031239</v>
      </c>
      <c r="E688" s="257">
        <f>(E623/E612)*SUM(C688:D688)</f>
        <v>41238.920817480241</v>
      </c>
      <c r="F688" s="257">
        <f>(F624/F612)*W64</f>
        <v>1409.4918730925806</v>
      </c>
      <c r="G688" s="255">
        <f>(G625/G612)*W91</f>
        <v>0</v>
      </c>
      <c r="H688" s="257">
        <f>(H628/H612)*W60</f>
        <v>7474.0292736672409</v>
      </c>
      <c r="I688" s="255">
        <f>(I629/I612)*W92</f>
        <v>39018.835348152345</v>
      </c>
      <c r="J688" s="255">
        <f>(J630/J612)*W93</f>
        <v>0</v>
      </c>
      <c r="K688" s="255">
        <f>(K644/K612)*W89</f>
        <v>501232.5727043823</v>
      </c>
      <c r="L688" s="255">
        <f>(L647/L612)*W94</f>
        <v>0</v>
      </c>
      <c r="M688" s="231">
        <f t="shared" si="18"/>
        <v>600498</v>
      </c>
      <c r="N688" s="249" t="s">
        <v>623</v>
      </c>
    </row>
    <row r="689" spans="1:14" s="231" customFormat="1" ht="12.65" customHeight="1" x14ac:dyDescent="0.3">
      <c r="A689" s="250">
        <v>7130</v>
      </c>
      <c r="B689" s="249" t="s">
        <v>624</v>
      </c>
      <c r="C689" s="255">
        <f>X85</f>
        <v>915684.88</v>
      </c>
      <c r="D689" s="255">
        <f>(D615/D612)*X90</f>
        <v>3749.8753503536664</v>
      </c>
      <c r="E689" s="257">
        <f>(E623/E612)*SUM(C689:D689)</f>
        <v>92290.529560064315</v>
      </c>
      <c r="F689" s="257">
        <f>(F624/F612)*X64</f>
        <v>10887.125831589738</v>
      </c>
      <c r="G689" s="255">
        <f>(G625/G612)*X91</f>
        <v>0</v>
      </c>
      <c r="H689" s="257">
        <f>(H628/H612)*X60</f>
        <v>13228.377313076331</v>
      </c>
      <c r="I689" s="255">
        <f>(I629/I612)*X92</f>
        <v>14451.684178057127</v>
      </c>
      <c r="J689" s="255">
        <f>(J630/J612)*X93</f>
        <v>0</v>
      </c>
      <c r="K689" s="255">
        <f>(K644/K612)*X89</f>
        <v>1663866.66847744</v>
      </c>
      <c r="L689" s="255">
        <f>(L647/L612)*X94</f>
        <v>0</v>
      </c>
      <c r="M689" s="231">
        <f t="shared" si="18"/>
        <v>1798474</v>
      </c>
      <c r="N689" s="249" t="s">
        <v>625</v>
      </c>
    </row>
    <row r="690" spans="1:14" s="231" customFormat="1" ht="12.65" customHeight="1" x14ac:dyDescent="0.3">
      <c r="A690" s="250">
        <v>7140</v>
      </c>
      <c r="B690" s="249" t="s">
        <v>626</v>
      </c>
      <c r="C690" s="255">
        <f>Y85</f>
        <v>3913241.9800000009</v>
      </c>
      <c r="D690" s="255">
        <f>(D615/D612)*Y90</f>
        <v>33119.564879915117</v>
      </c>
      <c r="E690" s="257">
        <f>(E623/E612)*SUM(C690:D690)</f>
        <v>396125.76606771501</v>
      </c>
      <c r="F690" s="257">
        <f>(F624/F612)*Y64</f>
        <v>12544.381353936406</v>
      </c>
      <c r="G690" s="255">
        <f>(G625/G612)*Y91</f>
        <v>0</v>
      </c>
      <c r="H690" s="257">
        <f>(H628/H612)*Y60</f>
        <v>81396.039383671043</v>
      </c>
      <c r="I690" s="255">
        <f>(I629/I612)*Y92</f>
        <v>127639.84053871653</v>
      </c>
      <c r="J690" s="255">
        <f>(J630/J612)*Y93</f>
        <v>36413.167842679228</v>
      </c>
      <c r="K690" s="255">
        <f>(K644/K612)*Y89</f>
        <v>1297143.2351041783</v>
      </c>
      <c r="L690" s="255">
        <f>(L647/L612)*Y94</f>
        <v>0</v>
      </c>
      <c r="M690" s="231">
        <f t="shared" si="18"/>
        <v>1984382</v>
      </c>
      <c r="N690" s="249" t="s">
        <v>627</v>
      </c>
    </row>
    <row r="691" spans="1:14" s="231" customFormat="1" ht="12.65" customHeight="1" x14ac:dyDescent="0.3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>
        <f>(I629/I612)*Z92</f>
        <v>0</v>
      </c>
      <c r="J691" s="255">
        <f>(J630/J612)*Z93</f>
        <v>0</v>
      </c>
      <c r="K691" s="255">
        <f>(K644/K612)*Z89</f>
        <v>0</v>
      </c>
      <c r="L691" s="255">
        <f>(L647/L612)*Z94</f>
        <v>0</v>
      </c>
      <c r="M691" s="231">
        <f t="shared" si="18"/>
        <v>0</v>
      </c>
      <c r="N691" s="249" t="s">
        <v>629</v>
      </c>
    </row>
    <row r="692" spans="1:14" s="231" customFormat="1" ht="12.65" customHeight="1" x14ac:dyDescent="0.3">
      <c r="A692" s="250">
        <v>7160</v>
      </c>
      <c r="B692" s="249" t="s">
        <v>630</v>
      </c>
      <c r="C692" s="255">
        <f>AA85</f>
        <v>113320.85999999999</v>
      </c>
      <c r="D692" s="255">
        <f>(D615/D612)*AA90</f>
        <v>3269.0565157200431</v>
      </c>
      <c r="E692" s="257">
        <f>(E623/E612)*SUM(C692:D692)</f>
        <v>11703.000211797847</v>
      </c>
      <c r="F692" s="257">
        <f>(F624/F612)*AA64</f>
        <v>652.66400914549843</v>
      </c>
      <c r="G692" s="255">
        <f>(G625/G612)*AA91</f>
        <v>0</v>
      </c>
      <c r="H692" s="257">
        <f>(H628/H612)*AA60</f>
        <v>475.12904456488775</v>
      </c>
      <c r="I692" s="255">
        <f>(I629/I612)*AA92</f>
        <v>12598.651398092521</v>
      </c>
      <c r="J692" s="255">
        <f>(J630/J612)*AA93</f>
        <v>0</v>
      </c>
      <c r="K692" s="255">
        <f>(K644/K612)*AA89</f>
        <v>1787.6050353845774</v>
      </c>
      <c r="L692" s="255">
        <f>(L647/L612)*AA94</f>
        <v>0</v>
      </c>
      <c r="M692" s="231">
        <f t="shared" si="18"/>
        <v>30486</v>
      </c>
      <c r="N692" s="249" t="s">
        <v>631</v>
      </c>
    </row>
    <row r="693" spans="1:14" s="231" customFormat="1" ht="12.65" customHeight="1" x14ac:dyDescent="0.3">
      <c r="A693" s="250">
        <v>7170</v>
      </c>
      <c r="B693" s="249" t="s">
        <v>127</v>
      </c>
      <c r="C693" s="255">
        <f>AB85</f>
        <v>2733655.4199999985</v>
      </c>
      <c r="D693" s="255">
        <f>(D615/D612)*AB90</f>
        <v>9105.6221370765325</v>
      </c>
      <c r="E693" s="257">
        <f>(E623/E612)*SUM(C693:D693)</f>
        <v>275311.39927279361</v>
      </c>
      <c r="F693" s="257">
        <f>(F624/F612)*AB64</f>
        <v>152040.29202979017</v>
      </c>
      <c r="G693" s="255">
        <f>(G625/G612)*AB91</f>
        <v>0</v>
      </c>
      <c r="H693" s="257">
        <f>(H628/H612)*AB60</f>
        <v>50557.734051708539</v>
      </c>
      <c r="I693" s="255">
        <f>(I629/I612)*AB92</f>
        <v>35092.253228455898</v>
      </c>
      <c r="J693" s="255">
        <f>(J630/J612)*AB93</f>
        <v>0</v>
      </c>
      <c r="K693" s="255">
        <f>(K644/K612)*AB89</f>
        <v>716974.5916239823</v>
      </c>
      <c r="L693" s="255">
        <f>(L647/L612)*AB94</f>
        <v>0</v>
      </c>
      <c r="M693" s="231">
        <f t="shared" si="18"/>
        <v>1239082</v>
      </c>
      <c r="N693" s="249" t="s">
        <v>632</v>
      </c>
    </row>
    <row r="694" spans="1:14" s="231" customFormat="1" ht="12.65" customHeight="1" x14ac:dyDescent="0.3">
      <c r="A694" s="250">
        <v>7180</v>
      </c>
      <c r="B694" s="249" t="s">
        <v>633</v>
      </c>
      <c r="C694" s="255">
        <f>AC85</f>
        <v>1497624.0099999998</v>
      </c>
      <c r="D694" s="255">
        <f>(D615/D612)*AC90</f>
        <v>3815.3834232822746</v>
      </c>
      <c r="E694" s="257">
        <f>(E623/E612)*SUM(C694:D694)</f>
        <v>150710.67948543496</v>
      </c>
      <c r="F694" s="257">
        <f>(F624/F612)*AC64</f>
        <v>6625.7726718799595</v>
      </c>
      <c r="G694" s="255">
        <f>(G625/G612)*AC91</f>
        <v>0</v>
      </c>
      <c r="H694" s="257">
        <f>(H628/H612)*AC60</f>
        <v>26880.239726181098</v>
      </c>
      <c r="I694" s="255">
        <f>(I629/I612)*AC92</f>
        <v>14704.146431499255</v>
      </c>
      <c r="J694" s="255">
        <f>(J630/J612)*AC93</f>
        <v>0</v>
      </c>
      <c r="K694" s="255">
        <f>(K644/K612)*AC89</f>
        <v>528571.9425685436</v>
      </c>
      <c r="L694" s="255">
        <f>(L647/L612)*AC94</f>
        <v>0</v>
      </c>
      <c r="M694" s="231">
        <f t="shared" si="18"/>
        <v>731308</v>
      </c>
      <c r="N694" s="249" t="s">
        <v>634</v>
      </c>
    </row>
    <row r="695" spans="1:14" s="231" customFormat="1" ht="12.65" customHeight="1" x14ac:dyDescent="0.3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>
        <f>(I629/I612)*AD92</f>
        <v>0</v>
      </c>
      <c r="J695" s="255">
        <f>(J630/J612)*AD93</f>
        <v>0</v>
      </c>
      <c r="K695" s="255">
        <f>(K644/K612)*AD89</f>
        <v>0</v>
      </c>
      <c r="L695" s="255">
        <f>(L647/L612)*AD94</f>
        <v>0</v>
      </c>
      <c r="M695" s="231">
        <f t="shared" si="18"/>
        <v>0</v>
      </c>
      <c r="N695" s="249" t="s">
        <v>635</v>
      </c>
    </row>
    <row r="696" spans="1:14" s="231" customFormat="1" ht="12.65" customHeight="1" x14ac:dyDescent="0.3">
      <c r="A696" s="250">
        <v>7200</v>
      </c>
      <c r="B696" s="249" t="s">
        <v>636</v>
      </c>
      <c r="C696" s="255">
        <f>AE85</f>
        <v>2733638.1400000006</v>
      </c>
      <c r="D696" s="255">
        <f>(D615/D612)*AE90</f>
        <v>18411.415724764993</v>
      </c>
      <c r="E696" s="257">
        <f>(E623/E612)*SUM(C696:D696)</f>
        <v>276243.75671615259</v>
      </c>
      <c r="F696" s="257">
        <f>(F624/F612)*AE64</f>
        <v>2968.301704362415</v>
      </c>
      <c r="G696" s="255">
        <f>(G625/G612)*AE91</f>
        <v>0</v>
      </c>
      <c r="H696" s="257">
        <f>(H628/H612)*AE60</f>
        <v>76176.671214597285</v>
      </c>
      <c r="I696" s="255">
        <f>(I629/I612)*AE92</f>
        <v>70955.949322455126</v>
      </c>
      <c r="J696" s="255">
        <f>(J630/J612)*AE93</f>
        <v>4843.6444182696769</v>
      </c>
      <c r="K696" s="255">
        <f>(K644/K612)*AE89</f>
        <v>455966.57678721374</v>
      </c>
      <c r="L696" s="255">
        <f>(L647/L612)*AE94</f>
        <v>0</v>
      </c>
      <c r="M696" s="231">
        <f t="shared" si="18"/>
        <v>905566</v>
      </c>
      <c r="N696" s="249" t="s">
        <v>637</v>
      </c>
    </row>
    <row r="697" spans="1:14" s="231" customFormat="1" ht="12.65" customHeight="1" x14ac:dyDescent="0.3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>
        <f>(I629/I612)*AF92</f>
        <v>0</v>
      </c>
      <c r="J697" s="255">
        <f>(J630/J612)*AF93</f>
        <v>0</v>
      </c>
      <c r="K697" s="255">
        <f>(K644/K612)*AF89</f>
        <v>0</v>
      </c>
      <c r="L697" s="255">
        <f>(L647/L612)*AF94</f>
        <v>0</v>
      </c>
      <c r="M697" s="231">
        <f t="shared" si="18"/>
        <v>0</v>
      </c>
      <c r="N697" s="249" t="s">
        <v>639</v>
      </c>
    </row>
    <row r="698" spans="1:14" s="231" customFormat="1" ht="12.65" customHeight="1" x14ac:dyDescent="0.3">
      <c r="A698" s="250">
        <v>7230</v>
      </c>
      <c r="B698" s="249" t="s">
        <v>640</v>
      </c>
      <c r="C698" s="255">
        <f>AG85</f>
        <v>9283791.8099999968</v>
      </c>
      <c r="D698" s="255">
        <f>(D615/D612)*AG90</f>
        <v>45202.228153387849</v>
      </c>
      <c r="E698" s="257">
        <f>(E623/E612)*SUM(C698:D698)</f>
        <v>936420.76834019634</v>
      </c>
      <c r="F698" s="257">
        <f>(F624/F612)*AG64</f>
        <v>22395.081772812122</v>
      </c>
      <c r="G698" s="255">
        <f>(G625/G612)*AG91</f>
        <v>66748.80417368529</v>
      </c>
      <c r="H698" s="257">
        <f>(H628/H612)*AG60</f>
        <v>115159.67571668676</v>
      </c>
      <c r="I698" s="255">
        <f>(I629/I612)*AG92</f>
        <v>174205.34401380381</v>
      </c>
      <c r="J698" s="255">
        <f>(J630/J612)*AG93</f>
        <v>96454.143352750805</v>
      </c>
      <c r="K698" s="255">
        <f>(K644/K612)*AG89</f>
        <v>3316359.2825817587</v>
      </c>
      <c r="L698" s="255">
        <f>(L647/L612)*AG94</f>
        <v>1054571.0021728291</v>
      </c>
      <c r="M698" s="231">
        <f t="shared" si="18"/>
        <v>5827516</v>
      </c>
      <c r="N698" s="249" t="s">
        <v>641</v>
      </c>
    </row>
    <row r="699" spans="1:14" s="231" customFormat="1" ht="12.65" customHeight="1" x14ac:dyDescent="0.3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>
        <f>(I629/I612)*AH92</f>
        <v>0</v>
      </c>
      <c r="J699" s="255">
        <f>(J630/J612)*AH93</f>
        <v>0</v>
      </c>
      <c r="K699" s="255">
        <f>(K644/K612)*AH89</f>
        <v>0</v>
      </c>
      <c r="L699" s="255">
        <f>(L647/L612)*AH94</f>
        <v>0</v>
      </c>
      <c r="M699" s="231">
        <f t="shared" si="18"/>
        <v>0</v>
      </c>
      <c r="N699" s="249" t="s">
        <v>642</v>
      </c>
    </row>
    <row r="700" spans="1:14" s="231" customFormat="1" ht="12.65" customHeight="1" x14ac:dyDescent="0.3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>
        <f>(G625/G612)*AI91</f>
        <v>0</v>
      </c>
      <c r="H700" s="257">
        <f>(H628/H612)*AI60</f>
        <v>0</v>
      </c>
      <c r="I700" s="255">
        <f>(I629/I612)*AI92</f>
        <v>0</v>
      </c>
      <c r="J700" s="255">
        <f>(J630/J612)*AI93</f>
        <v>0</v>
      </c>
      <c r="K700" s="255">
        <f>(K644/K612)*AI89</f>
        <v>0</v>
      </c>
      <c r="L700" s="255">
        <f>(L647/L612)*AI94</f>
        <v>0</v>
      </c>
      <c r="M700" s="231">
        <f t="shared" si="18"/>
        <v>0</v>
      </c>
      <c r="N700" s="249" t="s">
        <v>644</v>
      </c>
    </row>
    <row r="701" spans="1:14" s="231" customFormat="1" ht="12.65" customHeight="1" x14ac:dyDescent="0.3">
      <c r="A701" s="250">
        <v>7260</v>
      </c>
      <c r="B701" s="249" t="s">
        <v>133</v>
      </c>
      <c r="C701" s="255">
        <f>AJ85</f>
        <v>0</v>
      </c>
      <c r="D701" s="255">
        <f>(D615/D612)*AJ90</f>
        <v>0</v>
      </c>
      <c r="E701" s="257">
        <f>(E623/E612)*SUM(C701:D701)</f>
        <v>0</v>
      </c>
      <c r="F701" s="257">
        <f>(F624/F612)*AJ64</f>
        <v>0</v>
      </c>
      <c r="G701" s="255">
        <f>(G625/G612)*AJ91</f>
        <v>0</v>
      </c>
      <c r="H701" s="257">
        <f>(H628/H612)*AJ60</f>
        <v>0</v>
      </c>
      <c r="I701" s="255">
        <f>(I629/I612)*AJ92</f>
        <v>0</v>
      </c>
      <c r="J701" s="255">
        <f>(J630/J612)*AJ93</f>
        <v>0</v>
      </c>
      <c r="K701" s="255">
        <f>(K644/K612)*AJ89</f>
        <v>0</v>
      </c>
      <c r="L701" s="255">
        <f>(L647/L612)*AJ94</f>
        <v>0</v>
      </c>
      <c r="M701" s="231">
        <f t="shared" si="18"/>
        <v>0</v>
      </c>
      <c r="N701" s="249" t="s">
        <v>645</v>
      </c>
    </row>
    <row r="702" spans="1:14" s="231" customFormat="1" ht="12.65" customHeight="1" x14ac:dyDescent="0.3">
      <c r="A702" s="250">
        <v>7310</v>
      </c>
      <c r="B702" s="249" t="s">
        <v>646</v>
      </c>
      <c r="C702" s="255">
        <f>AK85</f>
        <v>0</v>
      </c>
      <c r="D702" s="255">
        <f>(D615/D612)*AK90</f>
        <v>0</v>
      </c>
      <c r="E702" s="257">
        <f>(E623/E612)*SUM(C702:D702)</f>
        <v>0</v>
      </c>
      <c r="F702" s="257">
        <f>(F624/F612)*AK64</f>
        <v>0</v>
      </c>
      <c r="G702" s="255">
        <f>(G625/G612)*AK91</f>
        <v>0</v>
      </c>
      <c r="H702" s="257">
        <f>(H628/H612)*AK60</f>
        <v>0</v>
      </c>
      <c r="I702" s="255">
        <f>(I629/I612)*AK92</f>
        <v>0</v>
      </c>
      <c r="J702" s="255">
        <f>(J630/J612)*AK93</f>
        <v>0</v>
      </c>
      <c r="K702" s="255">
        <f>(K644/K612)*AK89</f>
        <v>0</v>
      </c>
      <c r="L702" s="255">
        <f>(L647/L612)*AK94</f>
        <v>0</v>
      </c>
      <c r="M702" s="231">
        <f t="shared" si="18"/>
        <v>0</v>
      </c>
      <c r="N702" s="249" t="s">
        <v>647</v>
      </c>
    </row>
    <row r="703" spans="1:14" s="231" customFormat="1" ht="12.65" customHeight="1" x14ac:dyDescent="0.3">
      <c r="A703" s="250">
        <v>7320</v>
      </c>
      <c r="B703" s="249" t="s">
        <v>648</v>
      </c>
      <c r="C703" s="255">
        <f>AL85</f>
        <v>0</v>
      </c>
      <c r="D703" s="255">
        <f>(D615/D612)*AL90</f>
        <v>0</v>
      </c>
      <c r="E703" s="257">
        <f>(E623/E612)*SUM(C703:D703)</f>
        <v>0</v>
      </c>
      <c r="F703" s="257">
        <f>(F624/F612)*AL64</f>
        <v>0</v>
      </c>
      <c r="G703" s="255">
        <f>(G625/G612)*AL91</f>
        <v>0</v>
      </c>
      <c r="H703" s="257">
        <f>(H628/H612)*AL60</f>
        <v>0</v>
      </c>
      <c r="I703" s="255">
        <f>(I629/I612)*AL92</f>
        <v>0</v>
      </c>
      <c r="J703" s="255">
        <f>(J630/J612)*AL93</f>
        <v>0</v>
      </c>
      <c r="K703" s="255">
        <f>(K644/K612)*AL89</f>
        <v>0</v>
      </c>
      <c r="L703" s="255">
        <f>(L647/L612)*AL94</f>
        <v>0</v>
      </c>
      <c r="M703" s="231">
        <f t="shared" si="18"/>
        <v>0</v>
      </c>
      <c r="N703" s="249" t="s">
        <v>649</v>
      </c>
    </row>
    <row r="704" spans="1:14" s="231" customFormat="1" ht="12.65" customHeight="1" x14ac:dyDescent="0.3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>
        <f>(G625/G612)*AM91</f>
        <v>0</v>
      </c>
      <c r="H704" s="257">
        <f>(H628/H612)*AM60</f>
        <v>0</v>
      </c>
      <c r="I704" s="255">
        <f>(I629/I612)*AM92</f>
        <v>0</v>
      </c>
      <c r="J704" s="255">
        <f>(J630/J612)*AM93</f>
        <v>0</v>
      </c>
      <c r="K704" s="255">
        <f>(K644/K612)*AM89</f>
        <v>0</v>
      </c>
      <c r="L704" s="255">
        <f>(L647/L612)*AM94</f>
        <v>0</v>
      </c>
      <c r="M704" s="231">
        <f t="shared" si="18"/>
        <v>0</v>
      </c>
      <c r="N704" s="249" t="s">
        <v>651</v>
      </c>
    </row>
    <row r="705" spans="1:14" s="231" customFormat="1" ht="12.65" customHeight="1" x14ac:dyDescent="0.3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>
        <f>(I629/I612)*AN92</f>
        <v>0</v>
      </c>
      <c r="J705" s="255">
        <f>(J630/J612)*AN93</f>
        <v>0</v>
      </c>
      <c r="K705" s="255">
        <f>(K644/K612)*AN89</f>
        <v>0</v>
      </c>
      <c r="L705" s="255">
        <f>(L647/L612)*AN94</f>
        <v>0</v>
      </c>
      <c r="M705" s="231">
        <f t="shared" si="18"/>
        <v>0</v>
      </c>
      <c r="N705" s="249" t="s">
        <v>653</v>
      </c>
    </row>
    <row r="706" spans="1:14" s="231" customFormat="1" ht="12.65" customHeight="1" x14ac:dyDescent="0.3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>
        <f>(G625/G612)*AO91</f>
        <v>0</v>
      </c>
      <c r="H706" s="257">
        <f>(H628/H612)*AO60</f>
        <v>0</v>
      </c>
      <c r="I706" s="255">
        <f>(I629/I612)*AO92</f>
        <v>0</v>
      </c>
      <c r="J706" s="255">
        <f>(J630/J612)*AO93</f>
        <v>0</v>
      </c>
      <c r="K706" s="255">
        <f>(K644/K612)*AO89</f>
        <v>0</v>
      </c>
      <c r="L706" s="255">
        <f>(L647/L612)*AO94</f>
        <v>0</v>
      </c>
      <c r="M706" s="231">
        <f t="shared" si="18"/>
        <v>0</v>
      </c>
      <c r="N706" s="249" t="s">
        <v>655</v>
      </c>
    </row>
    <row r="707" spans="1:14" s="231" customFormat="1" ht="12.65" customHeight="1" x14ac:dyDescent="0.3">
      <c r="A707" s="250">
        <v>7380</v>
      </c>
      <c r="B707" s="249" t="s">
        <v>656</v>
      </c>
      <c r="C707" s="255">
        <f>AP85</f>
        <v>29485748.640000001</v>
      </c>
      <c r="D707" s="255">
        <f>(D615/D612)*AP90</f>
        <v>370620.75647328328</v>
      </c>
      <c r="E707" s="257">
        <f>(E623/E612)*SUM(C707:D707)</f>
        <v>2996906.6606487376</v>
      </c>
      <c r="F707" s="257">
        <f>(F624/F612)*AP64</f>
        <v>71483.852086694664</v>
      </c>
      <c r="G707" s="255">
        <f>(G625/G612)*AP91</f>
        <v>0</v>
      </c>
      <c r="H707" s="257">
        <f>(H628/H612)*AP60</f>
        <v>579939.87912082649</v>
      </c>
      <c r="I707" s="255">
        <f>(I629/I612)*AP92</f>
        <v>1428339.2438309598</v>
      </c>
      <c r="J707" s="255">
        <f>(J630/J612)*AP93</f>
        <v>0</v>
      </c>
      <c r="K707" s="255">
        <f>(K644/K612)*AP89</f>
        <v>2253892.085477964</v>
      </c>
      <c r="L707" s="255">
        <f>(L647/L612)*AP94</f>
        <v>0</v>
      </c>
      <c r="M707" s="231">
        <f t="shared" si="18"/>
        <v>7701182</v>
      </c>
      <c r="N707" s="249" t="s">
        <v>657</v>
      </c>
    </row>
    <row r="708" spans="1:14" s="231" customFormat="1" ht="12.65" customHeight="1" x14ac:dyDescent="0.3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>
        <f>(I629/I612)*AQ92</f>
        <v>0</v>
      </c>
      <c r="J708" s="255">
        <f>(J630/J612)*AQ93</f>
        <v>0</v>
      </c>
      <c r="K708" s="255">
        <f>(K644/K612)*AQ89</f>
        <v>0</v>
      </c>
      <c r="L708" s="255">
        <f>(L647/L612)*AQ94</f>
        <v>0</v>
      </c>
      <c r="M708" s="231">
        <f t="shared" si="18"/>
        <v>0</v>
      </c>
      <c r="N708" s="249" t="s">
        <v>659</v>
      </c>
    </row>
    <row r="709" spans="1:14" s="231" customFormat="1" ht="12.65" customHeight="1" x14ac:dyDescent="0.3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>
        <f>(I629/I612)*AR92</f>
        <v>0</v>
      </c>
      <c r="J709" s="255">
        <f>(J630/J612)*AR93</f>
        <v>0</v>
      </c>
      <c r="K709" s="255">
        <f>(K644/K612)*AR89</f>
        <v>0</v>
      </c>
      <c r="L709" s="255">
        <f>(L647/L612)*AR94</f>
        <v>0</v>
      </c>
      <c r="M709" s="231">
        <f t="shared" si="18"/>
        <v>0</v>
      </c>
      <c r="N709" s="249" t="s">
        <v>661</v>
      </c>
    </row>
    <row r="710" spans="1:14" s="231" customFormat="1" ht="12.65" customHeight="1" x14ac:dyDescent="0.3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>
        <f>(I629/I612)*AS92</f>
        <v>0</v>
      </c>
      <c r="J710" s="255">
        <f>(J630/J612)*AS93</f>
        <v>0</v>
      </c>
      <c r="K710" s="255">
        <f>(K644/K612)*AS89</f>
        <v>0</v>
      </c>
      <c r="L710" s="255">
        <f>(L647/L612)*AS94</f>
        <v>0</v>
      </c>
      <c r="M710" s="231">
        <f t="shared" si="18"/>
        <v>0</v>
      </c>
      <c r="N710" s="249" t="s">
        <v>662</v>
      </c>
    </row>
    <row r="711" spans="1:14" s="231" customFormat="1" ht="12.65" customHeight="1" x14ac:dyDescent="0.3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>
        <f>(I629/I612)*AT92</f>
        <v>0</v>
      </c>
      <c r="J711" s="255">
        <f>(J630/J612)*AT93</f>
        <v>0</v>
      </c>
      <c r="K711" s="255">
        <f>(K644/K612)*AT89</f>
        <v>0</v>
      </c>
      <c r="L711" s="255">
        <f>(L647/L612)*AT94</f>
        <v>0</v>
      </c>
      <c r="M711" s="231">
        <f t="shared" si="18"/>
        <v>0</v>
      </c>
      <c r="N711" s="249" t="s">
        <v>664</v>
      </c>
    </row>
    <row r="712" spans="1:14" s="231" customFormat="1" ht="12.65" customHeight="1" x14ac:dyDescent="0.3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>
        <f>(I629/I612)*AU92</f>
        <v>0</v>
      </c>
      <c r="J712" s="255">
        <f>(J630/J612)*AU93</f>
        <v>0</v>
      </c>
      <c r="K712" s="255">
        <f>(K644/K612)*AU89</f>
        <v>0</v>
      </c>
      <c r="L712" s="255">
        <f>(L647/L612)*AU94</f>
        <v>0</v>
      </c>
      <c r="M712" s="231">
        <f t="shared" si="18"/>
        <v>0</v>
      </c>
      <c r="N712" s="249" t="s">
        <v>666</v>
      </c>
    </row>
    <row r="713" spans="1:14" s="231" customFormat="1" ht="12.65" customHeight="1" x14ac:dyDescent="0.3">
      <c r="A713" s="250">
        <v>7490</v>
      </c>
      <c r="B713" s="249" t="s">
        <v>667</v>
      </c>
      <c r="C713" s="255">
        <f>AV85</f>
        <v>556905.90000000014</v>
      </c>
      <c r="D713" s="255">
        <f>(D615/D612)*AV90</f>
        <v>1269.1419421902579</v>
      </c>
      <c r="E713" s="257">
        <f>(E623/E612)*SUM(C713:D713)</f>
        <v>56028.195484546566</v>
      </c>
      <c r="F713" s="257">
        <f>(F624/F612)*AV64</f>
        <v>541.02357923439126</v>
      </c>
      <c r="G713" s="255">
        <f>(G625/G612)*AV91</f>
        <v>0</v>
      </c>
      <c r="H713" s="257">
        <f>(H628/H612)*AV60</f>
        <v>16384.657735657198</v>
      </c>
      <c r="I713" s="255">
        <f>(I629/I612)*AV92</f>
        <v>4891.159521857121</v>
      </c>
      <c r="J713" s="255">
        <f>(J630/J612)*AV93</f>
        <v>0</v>
      </c>
      <c r="K713" s="255">
        <f>(K644/K612)*AV89</f>
        <v>21059.409728658236</v>
      </c>
      <c r="L713" s="255">
        <f>(L647/L612)*AV94</f>
        <v>0</v>
      </c>
      <c r="M713" s="231">
        <f t="shared" si="18"/>
        <v>100174</v>
      </c>
      <c r="N713" s="251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2">
        <f>SUM(C614:C647)+SUM(C668:C713)</f>
        <v>122689482.06999999</v>
      </c>
      <c r="D715" s="231">
        <f>SUM(D616:D647)+SUM(D668:D713)</f>
        <v>1010438.9099999996</v>
      </c>
      <c r="E715" s="231">
        <f>SUM(E624:E647)+SUM(E668:E713)</f>
        <v>11191849.645917375</v>
      </c>
      <c r="F715" s="231">
        <f>SUM(F625:F648)+SUM(F668:F713)</f>
        <v>1001479.6744348672</v>
      </c>
      <c r="G715" s="231">
        <f>SUM(G626:G647)+SUM(G668:G713)</f>
        <v>2138528.9952569176</v>
      </c>
      <c r="H715" s="231">
        <f>SUM(H629:H647)+SUM(H668:H713)</f>
        <v>1867898.516433829</v>
      </c>
      <c r="I715" s="231">
        <f>SUM(I630:I647)+SUM(I668:I713)</f>
        <v>3134576.8151421007</v>
      </c>
      <c r="J715" s="231">
        <f>SUM(J631:J647)+SUM(J668:J713)</f>
        <v>412609.83667205123</v>
      </c>
      <c r="K715" s="231">
        <f>SUM(K668:K713)</f>
        <v>18860944.198958661</v>
      </c>
      <c r="L715" s="231">
        <f>SUM(L668:L713)</f>
        <v>4338689.9199009091</v>
      </c>
      <c r="M715" s="231">
        <f>SUM(M668:M713)</f>
        <v>39991000</v>
      </c>
      <c r="N715" s="249" t="s">
        <v>669</v>
      </c>
    </row>
    <row r="716" spans="1:14" s="231" customFormat="1" ht="12.65" customHeight="1" x14ac:dyDescent="0.3">
      <c r="C716" s="252">
        <f>CE85</f>
        <v>122689482.07000001</v>
      </c>
      <c r="D716" s="231">
        <f>D615</f>
        <v>1010438.9099999997</v>
      </c>
      <c r="E716" s="231">
        <f>E623</f>
        <v>11191849.645917375</v>
      </c>
      <c r="F716" s="231">
        <f>F624</f>
        <v>1001479.6744348676</v>
      </c>
      <c r="G716" s="231">
        <f>G625</f>
        <v>2138528.9952569176</v>
      </c>
      <c r="H716" s="231">
        <f>H628</f>
        <v>1867898.5164338287</v>
      </c>
      <c r="I716" s="231">
        <f>I629</f>
        <v>3134576.8151421007</v>
      </c>
      <c r="J716" s="231">
        <f>J630</f>
        <v>412609.83667205111</v>
      </c>
      <c r="K716" s="231">
        <f>K644</f>
        <v>18860944.198958661</v>
      </c>
      <c r="L716" s="231">
        <f>L647</f>
        <v>4338689.9199009091</v>
      </c>
      <c r="M716" s="231">
        <f>C648</f>
        <v>39991002.719999991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5B7BC63A-14EA-4448-8967-29201A21EED5}"/>
  </hyperlinks>
  <printOptions horizontalCentered="1" gridLines="1" gridLinesSet="0"/>
  <pageMargins left="0.25" right="0.25" top="0.5" bottom="0.5" header="0.5" footer="0.5"/>
  <pageSetup scale="80" fitToHeight="0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79"/>
  <sheetViews>
    <sheetView view="pageBreakPreview" topLeftCell="A39" zoomScale="60" zoomScaleNormal="100" workbookViewId="0">
      <selection activeCell="C45" sqref="C45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Public Hospital District No 1 of Mason County, WA, DBA Mason Health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90225190.090000004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41267609.359999999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24794509</v>
      </c>
    </row>
    <row r="10" spans="1:3" ht="20.149999999999999" customHeight="1" x14ac:dyDescent="0.35">
      <c r="A10" s="188">
        <v>6</v>
      </c>
      <c r="B10" s="190" t="s">
        <v>876</v>
      </c>
      <c r="C10" s="190" t="str">
        <f>data!C270</f>
        <v/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614363.65999999992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2013740.0000000002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1853653.26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111180047.37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1262906.1499999999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1262906.1499999999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2015497.22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11111246.33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58200708.640000001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33411007.559999999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45610943.560000002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1174052.3700000001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2874056.01</v>
      </c>
    </row>
    <row r="33" spans="1:3" ht="20.149999999999999" customHeight="1" x14ac:dyDescent="0.35">
      <c r="A33" s="188">
        <v>29</v>
      </c>
      <c r="B33" s="190" t="s">
        <v>587</v>
      </c>
      <c r="C33" s="190">
        <f>SUM(C25:C32)</f>
        <v>154397511.69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82342685.849999994</v>
      </c>
    </row>
    <row r="35" spans="1:3" ht="20.149999999999999" customHeight="1" x14ac:dyDescent="0.35">
      <c r="A35" s="188">
        <v>31</v>
      </c>
      <c r="B35" s="190" t="s">
        <v>885</v>
      </c>
      <c r="C35" s="190">
        <f>+C33-C34</f>
        <v>72054825.840000004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184497779.36000001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Public Hospital District No 1 of Mason County, WA, DBA Mason Health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4389373.3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9816868.5699999984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92062.8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1517577.7199999993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175250.77999999991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1926571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17917704.169999994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2160409.7200000002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2160409.7200000002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1147032.19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59316628.030000001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60463660.219999999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1926571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58537089.219999999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105882576.24999999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105882576.24999999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184497779.36000001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Public Hospital District No 1 of Mason County, WA, DBA Mason Health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68257415.819999993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237246499.66999999</v>
      </c>
    </row>
    <row r="113" spans="1:3" ht="20.149999999999999" customHeight="1" x14ac:dyDescent="0.35">
      <c r="A113" s="188">
        <v>4</v>
      </c>
      <c r="B113" s="190" t="s">
        <v>922</v>
      </c>
      <c r="C113" s="190">
        <f>SUM(C111:C112)</f>
        <v>305503915.49000001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2833307.6500000004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167191102.14000002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4024117.15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4295281.8299999991</v>
      </c>
    </row>
    <row r="120" spans="1:3" ht="20.149999999999999" customHeight="1" x14ac:dyDescent="0.35">
      <c r="A120" s="188">
        <v>11</v>
      </c>
      <c r="B120" s="190" t="s">
        <v>870</v>
      </c>
      <c r="C120" s="203">
        <f>SUM(C116:C119)</f>
        <v>178343808.77000004</v>
      </c>
    </row>
    <row r="121" spans="1:3" ht="20.149999999999999" customHeight="1" x14ac:dyDescent="0.35">
      <c r="A121" s="188">
        <v>12</v>
      </c>
      <c r="B121" s="190" t="s">
        <v>927</v>
      </c>
      <c r="C121" s="203">
        <f>+C113-C120</f>
        <v>127160106.71999997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4977258.080000001</v>
      </c>
    </row>
    <row r="136" spans="1:3" ht="20.149999999999999" customHeight="1" x14ac:dyDescent="0.35">
      <c r="A136" s="188">
        <v>16</v>
      </c>
      <c r="B136" s="190" t="s">
        <v>491</v>
      </c>
      <c r="C136" s="205">
        <f>+data!C382</f>
        <v>2391215.5600000005</v>
      </c>
    </row>
    <row r="137" spans="1:3" ht="20.149999999999999" customHeight="1" x14ac:dyDescent="0.35">
      <c r="A137" s="188">
        <v>17</v>
      </c>
      <c r="B137" s="190" t="s">
        <v>939</v>
      </c>
      <c r="C137" s="203">
        <f>SUM(C125:C136)</f>
        <v>7368473.6400000015</v>
      </c>
    </row>
    <row r="138" spans="1:3" ht="20.149999999999999" customHeight="1" x14ac:dyDescent="0.35">
      <c r="A138" s="188">
        <v>18</v>
      </c>
      <c r="B138" s="190" t="s">
        <v>940</v>
      </c>
      <c r="C138" s="203">
        <f>+C121+C137</f>
        <v>134528580.35999998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56776899.43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19086136.340000004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9751891.790000001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16221263.960000001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1232378.6300000001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16688506.360000001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8067631.9899999993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360858.38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1056111.94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775760.69999999984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2138665.59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1744398.9100000001</v>
      </c>
    </row>
    <row r="167" spans="1:3" ht="20.149999999999999" customHeight="1" x14ac:dyDescent="0.35">
      <c r="A167" s="188">
        <v>34</v>
      </c>
      <c r="B167" s="190" t="s">
        <v>962</v>
      </c>
      <c r="C167" s="203">
        <f>SUM(C141:C166)</f>
        <v>133900504.02</v>
      </c>
    </row>
    <row r="168" spans="1:3" ht="20.149999999999999" customHeight="1" x14ac:dyDescent="0.35">
      <c r="A168" s="188">
        <v>35</v>
      </c>
      <c r="B168" s="190" t="s">
        <v>963</v>
      </c>
      <c r="C168" s="203">
        <f>+C138-C167</f>
        <v>628076.33999998868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6233764.1299999999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+C170+C168</f>
        <v>6861840.4699999886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SUM(C172:C176)</f>
        <v>6861840.4699999886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gridLines="1" gridLinesSet="0"/>
  <pageMargins left="0" right="0" top="0" bottom="0" header="0" footer="0"/>
  <pageSetup scale="61" fitToHeight="3" orientation="portrait" r:id="rId1"/>
  <headerFooter alignWithMargins="0"/>
  <rowBreaks count="3" manualBreakCount="3">
    <brk id="52" max="3" man="1"/>
    <brk id="105" max="3" man="1"/>
    <brk id="139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34" zoomScale="65" workbookViewId="0">
      <selection activeCell="A34" sqref="A34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0" width="8.9140625" style="281" customWidth="1"/>
    <col min="11" max="16384" width="8.9140625" style="281"/>
  </cols>
  <sheetData>
    <row r="1" spans="1:9" ht="20.149999999999999" customHeight="1" x14ac:dyDescent="0.35">
      <c r="A1" s="279" t="s">
        <v>970</v>
      </c>
      <c r="B1" s="280"/>
      <c r="C1" s="280"/>
      <c r="D1" s="280"/>
      <c r="E1" s="280"/>
      <c r="F1" s="280"/>
      <c r="G1" s="280"/>
      <c r="H1" s="280"/>
    </row>
    <row r="2" spans="1:9" ht="20.149999999999999" customHeight="1" x14ac:dyDescent="0.35">
      <c r="A2" s="282"/>
      <c r="I2" s="283" t="s">
        <v>971</v>
      </c>
    </row>
    <row r="3" spans="1:9" ht="20.149999999999999" customHeight="1" x14ac:dyDescent="0.35">
      <c r="A3" s="282"/>
      <c r="I3" s="282"/>
    </row>
    <row r="4" spans="1:9" ht="20.149999999999999" customHeight="1" x14ac:dyDescent="0.35">
      <c r="A4" s="284" t="str">
        <f>"Hospital: "&amp;data!C98</f>
        <v>Hospital: Public Hospital District No 1 of Mason County, WA, DBA Mason Health</v>
      </c>
      <c r="G4" s="285"/>
      <c r="H4" s="284" t="str">
        <f>"FYE: "&amp;data!C96</f>
        <v>FYE: 12/31/2022</v>
      </c>
    </row>
    <row r="5" spans="1:9" ht="20.149999999999999" customHeight="1" x14ac:dyDescent="0.35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49999999999999" customHeight="1" x14ac:dyDescent="0.35">
      <c r="A6" s="289">
        <v>2</v>
      </c>
      <c r="B6" s="290" t="s">
        <v>972</v>
      </c>
      <c r="C6" s="291" t="s">
        <v>103</v>
      </c>
      <c r="D6" s="292" t="s">
        <v>973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49999999999999" customHeight="1" x14ac:dyDescent="0.35">
      <c r="A7" s="289"/>
      <c r="B7" s="290"/>
      <c r="C7" s="292" t="s">
        <v>175</v>
      </c>
      <c r="D7" s="292" t="s">
        <v>974</v>
      </c>
      <c r="E7" s="292" t="s">
        <v>175</v>
      </c>
      <c r="F7" s="292" t="s">
        <v>975</v>
      </c>
      <c r="G7" s="292" t="s">
        <v>177</v>
      </c>
      <c r="H7" s="292" t="s">
        <v>175</v>
      </c>
      <c r="I7" s="292" t="s">
        <v>178</v>
      </c>
    </row>
    <row r="8" spans="1:9" ht="20.149999999999999" customHeight="1" x14ac:dyDescent="0.35">
      <c r="A8" s="278">
        <v>3</v>
      </c>
      <c r="B8" s="286" t="s">
        <v>976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49999999999999" customHeight="1" x14ac:dyDescent="0.35">
      <c r="A9" s="278">
        <v>4</v>
      </c>
      <c r="B9" s="286" t="s">
        <v>246</v>
      </c>
      <c r="C9" s="286">
        <f>data!C59</f>
        <v>728</v>
      </c>
      <c r="D9" s="286">
        <f>data!D59</f>
        <v>0</v>
      </c>
      <c r="E9" s="286">
        <f>data!E59</f>
        <v>4340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ht="20.149999999999999" customHeight="1" x14ac:dyDescent="0.35">
      <c r="A10" s="278">
        <v>5</v>
      </c>
      <c r="B10" s="286" t="s">
        <v>247</v>
      </c>
      <c r="C10" s="293">
        <f>data!C60</f>
        <v>19.023759490384617</v>
      </c>
      <c r="D10" s="293">
        <f>data!D60</f>
        <v>0</v>
      </c>
      <c r="E10" s="293">
        <f>data!E60</f>
        <v>46.190289563379118</v>
      </c>
      <c r="F10" s="293">
        <f>data!F60</f>
        <v>0</v>
      </c>
      <c r="G10" s="293">
        <f>data!G60</f>
        <v>0</v>
      </c>
      <c r="H10" s="293">
        <f>data!H60</f>
        <v>0</v>
      </c>
      <c r="I10" s="293">
        <f>data!I60</f>
        <v>0</v>
      </c>
    </row>
    <row r="11" spans="1:9" ht="20.149999999999999" customHeight="1" x14ac:dyDescent="0.35">
      <c r="A11" s="278">
        <v>6</v>
      </c>
      <c r="B11" s="286" t="s">
        <v>248</v>
      </c>
      <c r="C11" s="286">
        <f>data!C61</f>
        <v>2063318.3</v>
      </c>
      <c r="D11" s="286">
        <f>data!D61</f>
        <v>0</v>
      </c>
      <c r="E11" s="286">
        <f>data!E61</f>
        <v>4912186.1900000004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ht="20.149999999999999" customHeight="1" x14ac:dyDescent="0.35">
      <c r="A12" s="278">
        <v>7</v>
      </c>
      <c r="B12" s="286" t="s">
        <v>9</v>
      </c>
      <c r="C12" s="286">
        <f>data!C62</f>
        <v>679255</v>
      </c>
      <c r="D12" s="286">
        <f>data!D62</f>
        <v>0</v>
      </c>
      <c r="E12" s="286">
        <f>data!E62</f>
        <v>1596233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ht="20.149999999999999" customHeight="1" x14ac:dyDescent="0.35">
      <c r="A13" s="278">
        <v>8</v>
      </c>
      <c r="B13" s="286" t="s">
        <v>249</v>
      </c>
      <c r="C13" s="286">
        <f>data!C63</f>
        <v>443080</v>
      </c>
      <c r="D13" s="286">
        <f>data!D63</f>
        <v>0</v>
      </c>
      <c r="E13" s="286">
        <f>data!E63</f>
        <v>1428584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49999999999999" customHeight="1" x14ac:dyDescent="0.35">
      <c r="A14" s="278">
        <v>9</v>
      </c>
      <c r="B14" s="286" t="s">
        <v>250</v>
      </c>
      <c r="C14" s="286">
        <f>data!C64</f>
        <v>228962.95000000004</v>
      </c>
      <c r="D14" s="286">
        <f>data!D64</f>
        <v>0</v>
      </c>
      <c r="E14" s="286">
        <f>data!E64</f>
        <v>332274.61999999994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ht="20.149999999999999" customHeight="1" x14ac:dyDescent="0.35">
      <c r="A15" s="278">
        <v>10</v>
      </c>
      <c r="B15" s="286" t="s">
        <v>497</v>
      </c>
      <c r="C15" s="286">
        <f>data!C65</f>
        <v>615.67999999999995</v>
      </c>
      <c r="D15" s="286">
        <f>data!D65</f>
        <v>0</v>
      </c>
      <c r="E15" s="286">
        <f>data!E65</f>
        <v>1396.6399999999996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49999999999999" customHeight="1" x14ac:dyDescent="0.35">
      <c r="A16" s="278">
        <v>11</v>
      </c>
      <c r="B16" s="286" t="s">
        <v>498</v>
      </c>
      <c r="C16" s="286">
        <f>data!C66</f>
        <v>23413.86</v>
      </c>
      <c r="D16" s="286">
        <f>data!D66</f>
        <v>0</v>
      </c>
      <c r="E16" s="286">
        <f>data!E66</f>
        <v>15435.75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ht="20.149999999999999" customHeight="1" x14ac:dyDescent="0.35">
      <c r="A17" s="278">
        <v>12</v>
      </c>
      <c r="B17" s="286" t="s">
        <v>11</v>
      </c>
      <c r="C17" s="286">
        <f>data!C67</f>
        <v>216447</v>
      </c>
      <c r="D17" s="286">
        <f>data!D67</f>
        <v>0</v>
      </c>
      <c r="E17" s="286">
        <f>data!E67</f>
        <v>639358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ht="20.149999999999999" customHeight="1" x14ac:dyDescent="0.35">
      <c r="A18" s="278">
        <v>13</v>
      </c>
      <c r="B18" s="286" t="s">
        <v>977</v>
      </c>
      <c r="C18" s="286">
        <f>data!C68</f>
        <v>13.6</v>
      </c>
      <c r="D18" s="286">
        <f>data!D68</f>
        <v>0</v>
      </c>
      <c r="E18" s="286">
        <f>data!E68</f>
        <v>950.02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ht="20.149999999999999" customHeight="1" x14ac:dyDescent="0.35">
      <c r="A19" s="278">
        <v>14</v>
      </c>
      <c r="B19" s="286" t="s">
        <v>978</v>
      </c>
      <c r="C19" s="286">
        <f>data!C69</f>
        <v>-78</v>
      </c>
      <c r="D19" s="286">
        <f>data!D69</f>
        <v>0</v>
      </c>
      <c r="E19" s="286">
        <f>data!E69</f>
        <v>1376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ht="20.149999999999999" customHeight="1" x14ac:dyDescent="0.35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49999999999999" customHeight="1" x14ac:dyDescent="0.35">
      <c r="A21" s="278">
        <v>16</v>
      </c>
      <c r="B21" s="294" t="s">
        <v>979</v>
      </c>
      <c r="C21" s="286">
        <f>data!C85</f>
        <v>3655028.39</v>
      </c>
      <c r="D21" s="286">
        <f>data!D85</f>
        <v>0</v>
      </c>
      <c r="E21" s="286">
        <f>data!E85</f>
        <v>8927794.2199999988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ht="20.149999999999999" customHeight="1" x14ac:dyDescent="0.35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49999999999999" customHeight="1" x14ac:dyDescent="0.35">
      <c r="A23" s="278">
        <v>18</v>
      </c>
      <c r="B23" s="286" t="s">
        <v>980</v>
      </c>
      <c r="C23" s="294">
        <f>+data!M668</f>
        <v>2500713</v>
      </c>
      <c r="D23" s="294">
        <f>+data!M669</f>
        <v>0</v>
      </c>
      <c r="E23" s="294">
        <f>+data!M670</f>
        <v>6911108</v>
      </c>
      <c r="F23" s="294">
        <f>+data!M671</f>
        <v>0</v>
      </c>
      <c r="G23" s="294">
        <f>+data!M672</f>
        <v>0</v>
      </c>
      <c r="H23" s="294">
        <f>+data!M673</f>
        <v>0</v>
      </c>
      <c r="I23" s="294">
        <f>+data!M674</f>
        <v>0</v>
      </c>
    </row>
    <row r="24" spans="1:9" ht="20.149999999999999" customHeight="1" x14ac:dyDescent="0.35">
      <c r="A24" s="278">
        <v>19</v>
      </c>
      <c r="B24" s="294" t="s">
        <v>981</v>
      </c>
      <c r="C24" s="286">
        <f>data!C87</f>
        <v>11528494.739999998</v>
      </c>
      <c r="D24" s="286">
        <f>data!D87</f>
        <v>0</v>
      </c>
      <c r="E24" s="286">
        <f>data!E87</f>
        <v>21121804.979999997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ht="20.149999999999999" customHeight="1" x14ac:dyDescent="0.35">
      <c r="A25" s="278">
        <v>20</v>
      </c>
      <c r="B25" s="294" t="s">
        <v>982</v>
      </c>
      <c r="C25" s="286">
        <f>data!C88</f>
        <v>2574754.29</v>
      </c>
      <c r="D25" s="286">
        <f>data!D88</f>
        <v>0</v>
      </c>
      <c r="E25" s="286">
        <f>data!E88</f>
        <v>11862444.459999999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35">
      <c r="A26" s="278">
        <v>21</v>
      </c>
      <c r="B26" s="294" t="s">
        <v>983</v>
      </c>
      <c r="C26" s="286">
        <f>data!C89</f>
        <v>14103249.029999997</v>
      </c>
      <c r="D26" s="286">
        <f>data!D89</f>
        <v>0</v>
      </c>
      <c r="E26" s="286">
        <f>data!E89</f>
        <v>32984249.439999998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ht="20.149999999999999" customHeight="1" x14ac:dyDescent="0.35">
      <c r="A27" s="278" t="s">
        <v>984</v>
      </c>
      <c r="B27" s="286"/>
      <c r="C27" s="296"/>
      <c r="D27" s="296"/>
      <c r="E27" s="296"/>
      <c r="F27" s="296"/>
      <c r="G27" s="296"/>
      <c r="H27" s="296"/>
      <c r="I27" s="296"/>
    </row>
    <row r="28" spans="1:9" ht="20.149999999999999" customHeight="1" x14ac:dyDescent="0.35">
      <c r="A28" s="278">
        <v>22</v>
      </c>
      <c r="B28" s="286" t="s">
        <v>985</v>
      </c>
      <c r="C28" s="286">
        <f>data!C90</f>
        <v>6518.13</v>
      </c>
      <c r="D28" s="286">
        <f>data!D90</f>
        <v>0</v>
      </c>
      <c r="E28" s="286">
        <f>data!E90</f>
        <v>19253.77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ht="20.149999999999999" customHeight="1" x14ac:dyDescent="0.35">
      <c r="A29" s="278">
        <v>23</v>
      </c>
      <c r="B29" s="286" t="s">
        <v>986</v>
      </c>
      <c r="C29" s="286">
        <f>data!C91</f>
        <v>5444.763328209513</v>
      </c>
      <c r="D29" s="286">
        <f>data!D91</f>
        <v>0</v>
      </c>
      <c r="E29" s="286">
        <f>data!E91</f>
        <v>26616.799107835017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ht="20.149999999999999" customHeight="1" x14ac:dyDescent="0.35">
      <c r="A30" s="278">
        <v>24</v>
      </c>
      <c r="B30" s="286" t="s">
        <v>987</v>
      </c>
      <c r="C30" s="286">
        <f>data!C92</f>
        <v>6518.13</v>
      </c>
      <c r="D30" s="286">
        <f>data!D92</f>
        <v>0</v>
      </c>
      <c r="E30" s="286">
        <f>data!E92</f>
        <v>19253.77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49999999999999" customHeight="1" x14ac:dyDescent="0.35">
      <c r="A31" s="278">
        <v>25</v>
      </c>
      <c r="B31" s="286" t="s">
        <v>988</v>
      </c>
      <c r="C31" s="286">
        <f>data!C93</f>
        <v>27399</v>
      </c>
      <c r="D31" s="286">
        <f>data!D93</f>
        <v>0</v>
      </c>
      <c r="E31" s="286">
        <f>data!E93</f>
        <v>59322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ht="20.149999999999999" customHeight="1" x14ac:dyDescent="0.35">
      <c r="A32" s="278">
        <v>26</v>
      </c>
      <c r="B32" s="286" t="s">
        <v>279</v>
      </c>
      <c r="C32" s="293">
        <f>data!C94</f>
        <v>19.023759490384617</v>
      </c>
      <c r="D32" s="293">
        <f>data!D94</f>
        <v>0</v>
      </c>
      <c r="E32" s="293">
        <f>data!E94</f>
        <v>46.190289563379118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ht="20.149999999999999" customHeight="1" x14ac:dyDescent="0.35">
      <c r="A33" s="279" t="s">
        <v>970</v>
      </c>
      <c r="B33" s="280"/>
      <c r="C33" s="280"/>
      <c r="D33" s="280"/>
      <c r="E33" s="280"/>
      <c r="F33" s="280"/>
      <c r="G33" s="280"/>
      <c r="H33" s="280"/>
      <c r="I33" s="279"/>
    </row>
    <row r="34" spans="1:9" ht="20.149999999999999" customHeight="1" x14ac:dyDescent="0.35">
      <c r="A34" s="282"/>
      <c r="I34" s="283" t="s">
        <v>989</v>
      </c>
    </row>
    <row r="35" spans="1:9" ht="20.149999999999999" customHeight="1" x14ac:dyDescent="0.35">
      <c r="A35" s="282"/>
      <c r="I35" s="282"/>
    </row>
    <row r="36" spans="1:9" ht="20.149999999999999" customHeight="1" x14ac:dyDescent="0.35">
      <c r="A36" s="284" t="str">
        <f>"Hospital: "&amp;data!C98</f>
        <v>Hospital: Public Hospital District No 1 of Mason County, WA, DBA Mason Health</v>
      </c>
      <c r="G36" s="285"/>
      <c r="H36" s="284" t="str">
        <f>"FYE: "&amp;data!C96</f>
        <v>FYE: 12/31/2022</v>
      </c>
    </row>
    <row r="37" spans="1:9" ht="20.149999999999999" customHeight="1" x14ac:dyDescent="0.35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49999999999999" customHeight="1" x14ac:dyDescent="0.35">
      <c r="A38" s="289">
        <v>2</v>
      </c>
      <c r="B38" s="290" t="s">
        <v>972</v>
      </c>
      <c r="C38" s="292"/>
      <c r="D38" s="292" t="s">
        <v>111</v>
      </c>
      <c r="E38" s="292" t="s">
        <v>112</v>
      </c>
      <c r="F38" s="292" t="s">
        <v>990</v>
      </c>
      <c r="G38" s="292" t="s">
        <v>114</v>
      </c>
      <c r="H38" s="292" t="s">
        <v>991</v>
      </c>
      <c r="I38" s="292" t="s">
        <v>116</v>
      </c>
    </row>
    <row r="39" spans="1:9" ht="20.149999999999999" customHeight="1" x14ac:dyDescent="0.35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49999999999999" customHeight="1" x14ac:dyDescent="0.35">
      <c r="A40" s="278">
        <v>3</v>
      </c>
      <c r="B40" s="286" t="s">
        <v>976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49999999999999" customHeight="1" x14ac:dyDescent="0.35">
      <c r="A41" s="278">
        <v>4</v>
      </c>
      <c r="B41" s="286" t="s">
        <v>246</v>
      </c>
      <c r="C41" s="286">
        <f>data!J59</f>
        <v>624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1126</v>
      </c>
      <c r="I41" s="286">
        <f>data!P59</f>
        <v>143380</v>
      </c>
    </row>
    <row r="42" spans="1:9" ht="20.149999999999999" customHeight="1" x14ac:dyDescent="0.35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0</v>
      </c>
      <c r="I42" s="293">
        <f>data!P60</f>
        <v>15.346290783406591</v>
      </c>
    </row>
    <row r="43" spans="1:9" ht="20.149999999999999" customHeight="1" x14ac:dyDescent="0.35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0</v>
      </c>
      <c r="I43" s="286">
        <f>data!P61</f>
        <v>1435145.13</v>
      </c>
    </row>
    <row r="44" spans="1:9" ht="20.149999999999999" customHeight="1" x14ac:dyDescent="0.35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0</v>
      </c>
      <c r="I44" s="286">
        <f>data!P62</f>
        <v>496869</v>
      </c>
    </row>
    <row r="45" spans="1:9" ht="20.149999999999999" customHeight="1" x14ac:dyDescent="0.35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7500</v>
      </c>
      <c r="I45" s="286">
        <f>data!P63</f>
        <v>397584.49000000005</v>
      </c>
    </row>
    <row r="46" spans="1:9" ht="20.149999999999999" customHeight="1" x14ac:dyDescent="0.35">
      <c r="A46" s="278">
        <v>9</v>
      </c>
      <c r="B46" s="286" t="s">
        <v>250</v>
      </c>
      <c r="C46" s="286">
        <f>data!J64</f>
        <v>43635.28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108309.39999999998</v>
      </c>
      <c r="I46" s="286">
        <f>data!P64</f>
        <v>887096.88000000012</v>
      </c>
    </row>
    <row r="47" spans="1:9" ht="20.149999999999999" customHeight="1" x14ac:dyDescent="0.35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564.36</v>
      </c>
      <c r="I47" s="286">
        <f>data!P65</f>
        <v>630.6</v>
      </c>
    </row>
    <row r="48" spans="1:9" ht="20.149999999999999" customHeight="1" x14ac:dyDescent="0.35">
      <c r="A48" s="278">
        <v>11</v>
      </c>
      <c r="B48" s="286" t="s">
        <v>498</v>
      </c>
      <c r="C48" s="286">
        <f>data!J66</f>
        <v>721.91000000000008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8095.170000000001</v>
      </c>
      <c r="I48" s="286">
        <f>data!P66</f>
        <v>329908.09999999992</v>
      </c>
    </row>
    <row r="49" spans="1:11" ht="20.149999999999999" customHeight="1" x14ac:dyDescent="0.35">
      <c r="A49" s="278">
        <v>12</v>
      </c>
      <c r="B49" s="286" t="s">
        <v>11</v>
      </c>
      <c r="C49" s="286">
        <f>data!J67</f>
        <v>16007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32373</v>
      </c>
      <c r="I49" s="286">
        <f>data!P67</f>
        <v>218020</v>
      </c>
    </row>
    <row r="50" spans="1:11" ht="20.149999999999999" customHeight="1" x14ac:dyDescent="0.35">
      <c r="A50" s="278">
        <v>13</v>
      </c>
      <c r="B50" s="286" t="s">
        <v>977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50618.33</v>
      </c>
    </row>
    <row r="51" spans="1:11" ht="20.149999999999999" customHeight="1" x14ac:dyDescent="0.35">
      <c r="A51" s="278">
        <v>14</v>
      </c>
      <c r="B51" s="286" t="s">
        <v>978</v>
      </c>
      <c r="C51" s="286">
        <f>data!J69</f>
        <v>1742.73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8441.91</v>
      </c>
      <c r="I51" s="286">
        <f>data!P69</f>
        <v>13148.34</v>
      </c>
    </row>
    <row r="52" spans="1:11" ht="20.149999999999999" customHeight="1" x14ac:dyDescent="0.35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1517.76</v>
      </c>
    </row>
    <row r="53" spans="1:11" ht="20.149999999999999" customHeight="1" x14ac:dyDescent="0.35">
      <c r="A53" s="278">
        <v>16</v>
      </c>
      <c r="B53" s="294" t="s">
        <v>979</v>
      </c>
      <c r="C53" s="286">
        <f>data!J85</f>
        <v>62106.920000000006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165283.84</v>
      </c>
      <c r="I53" s="286">
        <f>data!P85</f>
        <v>3830538.63</v>
      </c>
    </row>
    <row r="54" spans="1:11" ht="20.149999999999999" customHeight="1" x14ac:dyDescent="0.35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49999999999999" customHeight="1" x14ac:dyDescent="0.35">
      <c r="A55" s="278">
        <v>18</v>
      </c>
      <c r="B55" s="286" t="s">
        <v>980</v>
      </c>
      <c r="C55" s="294">
        <f>+data!M675</f>
        <v>105102</v>
      </c>
      <c r="D55" s="294">
        <f>+data!M676</f>
        <v>0</v>
      </c>
      <c r="E55" s="294">
        <f>+data!M677</f>
        <v>0</v>
      </c>
      <c r="F55" s="294">
        <f>+data!M678</f>
        <v>0</v>
      </c>
      <c r="G55" s="294">
        <f>+data!M679</f>
        <v>0</v>
      </c>
      <c r="H55" s="294">
        <f>+data!M680</f>
        <v>311682</v>
      </c>
      <c r="I55" s="294">
        <f>+data!M681</f>
        <v>2569893</v>
      </c>
    </row>
    <row r="56" spans="1:11" ht="20.149999999999999" customHeight="1" x14ac:dyDescent="0.35">
      <c r="A56" s="278">
        <v>19</v>
      </c>
      <c r="B56" s="294" t="s">
        <v>981</v>
      </c>
      <c r="C56" s="286">
        <f>data!J87</f>
        <v>1240138.7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2543912.31</v>
      </c>
      <c r="I56" s="286">
        <f>data!P87</f>
        <v>4672822.05</v>
      </c>
    </row>
    <row r="57" spans="1:11" ht="20.149999999999999" customHeight="1" x14ac:dyDescent="0.35">
      <c r="A57" s="278">
        <v>20</v>
      </c>
      <c r="B57" s="294" t="s">
        <v>982</v>
      </c>
      <c r="C57" s="286">
        <f>data!J88</f>
        <v>133290.9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981993.84999999986</v>
      </c>
      <c r="I57" s="286">
        <f>data!P88</f>
        <v>17015448.640000001</v>
      </c>
    </row>
    <row r="58" spans="1:11" ht="20.149999999999999" customHeight="1" x14ac:dyDescent="0.35">
      <c r="A58" s="278">
        <v>21</v>
      </c>
      <c r="B58" s="294" t="s">
        <v>983</v>
      </c>
      <c r="C58" s="286">
        <f>data!J89</f>
        <v>1373429.5999999999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0</v>
      </c>
      <c r="H58" s="286">
        <f>data!O89</f>
        <v>3525906.16</v>
      </c>
      <c r="I58" s="286">
        <f>data!P89</f>
        <v>21688270.690000001</v>
      </c>
    </row>
    <row r="59" spans="1:11" ht="20.149999999999999" customHeight="1" x14ac:dyDescent="0.35">
      <c r="A59" s="278" t="s">
        <v>984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49999999999999" customHeight="1" x14ac:dyDescent="0.35">
      <c r="A60" s="278">
        <v>22</v>
      </c>
      <c r="B60" s="286" t="s">
        <v>985</v>
      </c>
      <c r="C60" s="286">
        <f>data!J90</f>
        <v>482.03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974.9</v>
      </c>
      <c r="I60" s="286">
        <f>data!P90</f>
        <v>6565.4999999999991</v>
      </c>
      <c r="K60" s="297"/>
    </row>
    <row r="61" spans="1:11" ht="20.149999999999999" customHeight="1" x14ac:dyDescent="0.35">
      <c r="A61" s="278">
        <v>23</v>
      </c>
      <c r="B61" s="286" t="s">
        <v>986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326.08379883318639</v>
      </c>
    </row>
    <row r="62" spans="1:11" ht="20.149999999999999" customHeight="1" x14ac:dyDescent="0.35">
      <c r="A62" s="278">
        <v>24</v>
      </c>
      <c r="B62" s="286" t="s">
        <v>987</v>
      </c>
      <c r="C62" s="286">
        <f>data!J92</f>
        <v>482.03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974.9</v>
      </c>
      <c r="I62" s="286">
        <f>data!P92</f>
        <v>6565.4999999999991</v>
      </c>
    </row>
    <row r="63" spans="1:11" ht="20.149999999999999" customHeight="1" x14ac:dyDescent="0.35">
      <c r="A63" s="278">
        <v>25</v>
      </c>
      <c r="B63" s="286" t="s">
        <v>988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29713</v>
      </c>
      <c r="I63" s="286">
        <f>data!P93</f>
        <v>29817</v>
      </c>
    </row>
    <row r="64" spans="1:11" ht="20.149999999999999" customHeight="1" x14ac:dyDescent="0.35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15.346290783406591</v>
      </c>
    </row>
    <row r="65" spans="1:9" ht="20.149999999999999" customHeight="1" x14ac:dyDescent="0.35">
      <c r="A65" s="279" t="s">
        <v>970</v>
      </c>
      <c r="B65" s="280"/>
      <c r="C65" s="280"/>
      <c r="D65" s="280"/>
      <c r="E65" s="280"/>
      <c r="F65" s="280"/>
      <c r="G65" s="280"/>
      <c r="H65" s="280"/>
      <c r="I65" s="279"/>
    </row>
    <row r="66" spans="1:9" ht="20.149999999999999" customHeight="1" x14ac:dyDescent="0.35">
      <c r="D66" s="282"/>
      <c r="I66" s="283" t="s">
        <v>992</v>
      </c>
    </row>
    <row r="67" spans="1:9" ht="20.149999999999999" customHeight="1" x14ac:dyDescent="0.35">
      <c r="A67" s="282"/>
    </row>
    <row r="68" spans="1:9" ht="20.149999999999999" customHeight="1" x14ac:dyDescent="0.35">
      <c r="A68" s="284" t="str">
        <f>"Hospital: "&amp;data!C98</f>
        <v>Hospital: Public Hospital District No 1 of Mason County, WA, DBA Mason Health</v>
      </c>
      <c r="G68" s="285"/>
      <c r="H68" s="284" t="str">
        <f>"FYE: "&amp;data!C96</f>
        <v>FYE: 12/31/2022</v>
      </c>
    </row>
    <row r="69" spans="1:9" ht="20.149999999999999" customHeight="1" x14ac:dyDescent="0.35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49999999999999" customHeight="1" x14ac:dyDescent="0.35">
      <c r="A70" s="289">
        <v>2</v>
      </c>
      <c r="B70" s="290" t="s">
        <v>972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49999999999999" customHeight="1" x14ac:dyDescent="0.35">
      <c r="A71" s="289"/>
      <c r="B71" s="290"/>
      <c r="C71" s="292" t="s">
        <v>183</v>
      </c>
      <c r="D71" s="292" t="s">
        <v>993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49999999999999" customHeight="1" x14ac:dyDescent="0.35">
      <c r="A72" s="278">
        <v>3</v>
      </c>
      <c r="B72" s="286" t="s">
        <v>976</v>
      </c>
      <c r="C72" s="288" t="s">
        <v>994</v>
      </c>
      <c r="D72" s="287" t="s">
        <v>995</v>
      </c>
      <c r="E72" s="298"/>
      <c r="F72" s="298"/>
      <c r="G72" s="287" t="s">
        <v>996</v>
      </c>
      <c r="H72" s="287" t="s">
        <v>996</v>
      </c>
      <c r="I72" s="288" t="s">
        <v>235</v>
      </c>
    </row>
    <row r="73" spans="1:9" ht="20.149999999999999" customHeight="1" x14ac:dyDescent="0.35">
      <c r="A73" s="278">
        <v>4</v>
      </c>
      <c r="B73" s="286" t="s">
        <v>246</v>
      </c>
      <c r="C73" s="286">
        <f>data!Q59</f>
        <v>111131</v>
      </c>
      <c r="D73" s="294">
        <f>data!R59</f>
        <v>143380</v>
      </c>
      <c r="E73" s="298"/>
      <c r="F73" s="298"/>
      <c r="G73" s="286">
        <f>data!U59</f>
        <v>306871.00000000006</v>
      </c>
      <c r="H73" s="286">
        <f>data!V59</f>
        <v>0</v>
      </c>
      <c r="I73" s="286">
        <f>data!W59</f>
        <v>1945</v>
      </c>
    </row>
    <row r="74" spans="1:9" ht="20.149999999999999" customHeight="1" x14ac:dyDescent="0.35">
      <c r="A74" s="278">
        <v>5</v>
      </c>
      <c r="B74" s="286" t="s">
        <v>247</v>
      </c>
      <c r="C74" s="293">
        <f>data!Q60</f>
        <v>13.75642740521978</v>
      </c>
      <c r="D74" s="293">
        <f>data!R60</f>
        <v>4.200418241758241</v>
      </c>
      <c r="E74" s="293">
        <f>data!S60</f>
        <v>0</v>
      </c>
      <c r="F74" s="293">
        <f>data!T60</f>
        <v>0</v>
      </c>
      <c r="G74" s="293">
        <f>data!U60</f>
        <v>25.229263267170332</v>
      </c>
      <c r="H74" s="293">
        <f>data!V60</f>
        <v>0</v>
      </c>
      <c r="I74" s="293">
        <f>data!W60</f>
        <v>2.0531624271978024</v>
      </c>
    </row>
    <row r="75" spans="1:9" ht="20.149999999999999" customHeight="1" x14ac:dyDescent="0.35">
      <c r="A75" s="278">
        <v>6</v>
      </c>
      <c r="B75" s="286" t="s">
        <v>248</v>
      </c>
      <c r="C75" s="286">
        <f>data!Q61</f>
        <v>1499385.61</v>
      </c>
      <c r="D75" s="286">
        <f>data!R61</f>
        <v>922623.09999999986</v>
      </c>
      <c r="E75" s="286">
        <f>data!S61</f>
        <v>0</v>
      </c>
      <c r="F75" s="286">
        <f>data!T61</f>
        <v>0</v>
      </c>
      <c r="G75" s="286">
        <f>data!U61</f>
        <v>1800483.22</v>
      </c>
      <c r="H75" s="286">
        <f>data!V61</f>
        <v>0</v>
      </c>
      <c r="I75" s="286">
        <f>data!W61</f>
        <v>208163.07999999996</v>
      </c>
    </row>
    <row r="76" spans="1:9" ht="20.149999999999999" customHeight="1" x14ac:dyDescent="0.35">
      <c r="A76" s="278">
        <v>7</v>
      </c>
      <c r="B76" s="286" t="s">
        <v>9</v>
      </c>
      <c r="C76" s="286">
        <f>data!Q62</f>
        <v>490946</v>
      </c>
      <c r="D76" s="286">
        <f>data!R62</f>
        <v>216933</v>
      </c>
      <c r="E76" s="286">
        <f>data!S62</f>
        <v>0</v>
      </c>
      <c r="F76" s="286">
        <f>data!T62</f>
        <v>0</v>
      </c>
      <c r="G76" s="286">
        <f>data!U62</f>
        <v>684701</v>
      </c>
      <c r="H76" s="286">
        <f>data!V62</f>
        <v>0</v>
      </c>
      <c r="I76" s="286">
        <f>data!W62</f>
        <v>88058</v>
      </c>
    </row>
    <row r="77" spans="1:9" ht="20.149999999999999" customHeight="1" x14ac:dyDescent="0.35">
      <c r="A77" s="278">
        <v>8</v>
      </c>
      <c r="B77" s="286" t="s">
        <v>249</v>
      </c>
      <c r="C77" s="286">
        <f>data!Q63</f>
        <v>0</v>
      </c>
      <c r="D77" s="286">
        <f>data!R63</f>
        <v>75712</v>
      </c>
      <c r="E77" s="286">
        <f>data!S63</f>
        <v>0</v>
      </c>
      <c r="F77" s="286">
        <f>data!T63</f>
        <v>0</v>
      </c>
      <c r="G77" s="286">
        <f>data!U63</f>
        <v>541250.82999999996</v>
      </c>
      <c r="H77" s="286">
        <f>data!V63</f>
        <v>0</v>
      </c>
      <c r="I77" s="286">
        <f>data!W63</f>
        <v>0</v>
      </c>
    </row>
    <row r="78" spans="1:9" ht="20.149999999999999" customHeight="1" x14ac:dyDescent="0.35">
      <c r="A78" s="278">
        <v>9</v>
      </c>
      <c r="B78" s="286" t="s">
        <v>250</v>
      </c>
      <c r="C78" s="286">
        <f>data!Q64</f>
        <v>110592</v>
      </c>
      <c r="D78" s="286">
        <f>data!R64</f>
        <v>80247.349999999991</v>
      </c>
      <c r="E78" s="286">
        <f>data!S64</f>
        <v>6022554.129999999</v>
      </c>
      <c r="F78" s="286">
        <f>data!T64</f>
        <v>0</v>
      </c>
      <c r="G78" s="286">
        <f>data!U64</f>
        <v>2059322.1700000002</v>
      </c>
      <c r="H78" s="286">
        <f>data!V64</f>
        <v>0</v>
      </c>
      <c r="I78" s="286">
        <f>data!W64</f>
        <v>22243.599999999999</v>
      </c>
    </row>
    <row r="79" spans="1:9" ht="20.149999999999999" customHeight="1" x14ac:dyDescent="0.35">
      <c r="A79" s="278">
        <v>10</v>
      </c>
      <c r="B79" s="286" t="s">
        <v>497</v>
      </c>
      <c r="C79" s="286">
        <f>data!Q65</f>
        <v>0</v>
      </c>
      <c r="D79" s="286">
        <f>data!R65</f>
        <v>102.69</v>
      </c>
      <c r="E79" s="286">
        <f>data!S65</f>
        <v>0</v>
      </c>
      <c r="F79" s="286">
        <f>data!T65</f>
        <v>0</v>
      </c>
      <c r="G79" s="286">
        <f>data!U65</f>
        <v>125.83</v>
      </c>
      <c r="H79" s="286">
        <f>data!V65</f>
        <v>0</v>
      </c>
      <c r="I79" s="286">
        <f>data!W65</f>
        <v>0</v>
      </c>
    </row>
    <row r="80" spans="1:9" ht="20.149999999999999" customHeight="1" x14ac:dyDescent="0.35">
      <c r="A80" s="278">
        <v>11</v>
      </c>
      <c r="B80" s="286" t="s">
        <v>498</v>
      </c>
      <c r="C80" s="286">
        <f>data!Q66</f>
        <v>1550.07</v>
      </c>
      <c r="D80" s="286">
        <f>data!R66</f>
        <v>53194.36</v>
      </c>
      <c r="E80" s="286">
        <f>data!S66</f>
        <v>51.44</v>
      </c>
      <c r="F80" s="286">
        <f>data!T66</f>
        <v>0</v>
      </c>
      <c r="G80" s="286">
        <f>data!U66</f>
        <v>1386259.23</v>
      </c>
      <c r="H80" s="286">
        <f>data!V66</f>
        <v>0</v>
      </c>
      <c r="I80" s="286">
        <f>data!W66</f>
        <v>11270.28</v>
      </c>
    </row>
    <row r="81" spans="1:9" ht="20.149999999999999" customHeight="1" x14ac:dyDescent="0.35">
      <c r="A81" s="278">
        <v>12</v>
      </c>
      <c r="B81" s="286" t="s">
        <v>11</v>
      </c>
      <c r="C81" s="286">
        <f>data!Q67</f>
        <v>240659</v>
      </c>
      <c r="D81" s="286">
        <f>data!R67</f>
        <v>10348</v>
      </c>
      <c r="E81" s="286">
        <f>data!S67</f>
        <v>98638</v>
      </c>
      <c r="F81" s="286">
        <f>data!T67</f>
        <v>0</v>
      </c>
      <c r="G81" s="286">
        <f>data!U67</f>
        <v>145877</v>
      </c>
      <c r="H81" s="286">
        <f>data!V67</f>
        <v>0</v>
      </c>
      <c r="I81" s="286">
        <f>data!W67</f>
        <v>70979</v>
      </c>
    </row>
    <row r="82" spans="1:9" ht="20.149999999999999" customHeight="1" x14ac:dyDescent="0.35">
      <c r="A82" s="278">
        <v>13</v>
      </c>
      <c r="B82" s="286" t="s">
        <v>977</v>
      </c>
      <c r="C82" s="286">
        <f>data!Q68</f>
        <v>100.59</v>
      </c>
      <c r="D82" s="286">
        <f>data!R68</f>
        <v>942.9899999999999</v>
      </c>
      <c r="E82" s="286">
        <f>data!S68</f>
        <v>49197.85</v>
      </c>
      <c r="F82" s="286">
        <f>data!T68</f>
        <v>0</v>
      </c>
      <c r="G82" s="286">
        <f>data!U68</f>
        <v>69.459999999999994</v>
      </c>
      <c r="H82" s="286">
        <f>data!V68</f>
        <v>0</v>
      </c>
      <c r="I82" s="286">
        <f>data!W68</f>
        <v>0</v>
      </c>
    </row>
    <row r="83" spans="1:9" ht="20.149999999999999" customHeight="1" x14ac:dyDescent="0.35">
      <c r="A83" s="278">
        <v>14</v>
      </c>
      <c r="B83" s="286" t="s">
        <v>978</v>
      </c>
      <c r="C83" s="286">
        <f>data!Q69</f>
        <v>0</v>
      </c>
      <c r="D83" s="286">
        <f>data!R69</f>
        <v>17730.04</v>
      </c>
      <c r="E83" s="286">
        <f>data!S69</f>
        <v>3.57</v>
      </c>
      <c r="F83" s="286">
        <f>data!T69</f>
        <v>0</v>
      </c>
      <c r="G83" s="286">
        <f>data!U69</f>
        <v>3034.92</v>
      </c>
      <c r="H83" s="286">
        <f>data!V69</f>
        <v>0</v>
      </c>
      <c r="I83" s="286">
        <f>data!W69</f>
        <v>0</v>
      </c>
    </row>
    <row r="84" spans="1:9" ht="20.149999999999999" customHeight="1" x14ac:dyDescent="0.35">
      <c r="A84" s="278">
        <v>15</v>
      </c>
      <c r="B84" s="286" t="s">
        <v>269</v>
      </c>
      <c r="C84" s="286">
        <f>data!Q84</f>
        <v>0</v>
      </c>
      <c r="D84" s="286">
        <f>data!R84</f>
        <v>2089224.76</v>
      </c>
      <c r="E84" s="286">
        <f>data!S84</f>
        <v>0</v>
      </c>
      <c r="F84" s="286">
        <f>data!T84</f>
        <v>0</v>
      </c>
      <c r="G84" s="286">
        <f>data!U84</f>
        <v>8.9399999999999409</v>
      </c>
      <c r="H84" s="286">
        <f>data!V84</f>
        <v>0</v>
      </c>
      <c r="I84" s="286">
        <f>data!W84</f>
        <v>0</v>
      </c>
    </row>
    <row r="85" spans="1:9" ht="20.149999999999999" customHeight="1" x14ac:dyDescent="0.35">
      <c r="A85" s="278">
        <v>16</v>
      </c>
      <c r="B85" s="294" t="s">
        <v>979</v>
      </c>
      <c r="C85" s="286">
        <f>data!Q85</f>
        <v>2343233.27</v>
      </c>
      <c r="D85" s="286">
        <f>data!R85</f>
        <v>-711391.23</v>
      </c>
      <c r="E85" s="286">
        <f>data!S85</f>
        <v>6170444.9899999993</v>
      </c>
      <c r="F85" s="286">
        <f>data!T85</f>
        <v>0</v>
      </c>
      <c r="G85" s="286">
        <f>data!U85</f>
        <v>6621114.7199999988</v>
      </c>
      <c r="H85" s="286">
        <f>data!V85</f>
        <v>0</v>
      </c>
      <c r="I85" s="286">
        <f>data!W85</f>
        <v>400713.95999999996</v>
      </c>
    </row>
    <row r="86" spans="1:9" ht="20.149999999999999" customHeight="1" x14ac:dyDescent="0.35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49999999999999" customHeight="1" x14ac:dyDescent="0.35">
      <c r="A87" s="278">
        <v>18</v>
      </c>
      <c r="B87" s="286" t="s">
        <v>980</v>
      </c>
      <c r="C87" s="294">
        <f>+data!M682</f>
        <v>1363196</v>
      </c>
      <c r="D87" s="294">
        <f>+data!M683</f>
        <v>228789</v>
      </c>
      <c r="E87" s="294">
        <f>+data!M684</f>
        <v>1785778</v>
      </c>
      <c r="F87" s="294">
        <f>+data!M685</f>
        <v>0</v>
      </c>
      <c r="G87" s="294">
        <f>+data!M686</f>
        <v>3296071</v>
      </c>
      <c r="H87" s="294">
        <f>+data!M687</f>
        <v>0</v>
      </c>
      <c r="I87" s="294">
        <f>+data!M688</f>
        <v>600498</v>
      </c>
    </row>
    <row r="88" spans="1:9" ht="20.149999999999999" customHeight="1" x14ac:dyDescent="0.35">
      <c r="A88" s="278">
        <v>19</v>
      </c>
      <c r="B88" s="294" t="s">
        <v>981</v>
      </c>
      <c r="C88" s="286">
        <f>data!Q87</f>
        <v>363743.76</v>
      </c>
      <c r="D88" s="286">
        <f>data!R87</f>
        <v>166373.72999999998</v>
      </c>
      <c r="E88" s="286">
        <f>data!S87</f>
        <v>3842566.69</v>
      </c>
      <c r="F88" s="286">
        <f>data!T87</f>
        <v>0</v>
      </c>
      <c r="G88" s="286">
        <f>data!U87</f>
        <v>5263414.17</v>
      </c>
      <c r="H88" s="286">
        <f>data!V87</f>
        <v>0</v>
      </c>
      <c r="I88" s="286">
        <f>data!W87</f>
        <v>398665.72000000003</v>
      </c>
    </row>
    <row r="89" spans="1:9" ht="20.149999999999999" customHeight="1" x14ac:dyDescent="0.35">
      <c r="A89" s="278">
        <v>20</v>
      </c>
      <c r="B89" s="294" t="s">
        <v>982</v>
      </c>
      <c r="C89" s="286">
        <f>data!Q88</f>
        <v>6158663.0800000001</v>
      </c>
      <c r="D89" s="286">
        <f>data!R88</f>
        <v>1979589.5099999998</v>
      </c>
      <c r="E89" s="286">
        <f>data!S88</f>
        <v>7739968.4399999995</v>
      </c>
      <c r="F89" s="286">
        <f>data!T88</f>
        <v>0</v>
      </c>
      <c r="G89" s="286">
        <f>data!U88</f>
        <v>32078197.630000003</v>
      </c>
      <c r="H89" s="286">
        <f>data!V88</f>
        <v>0</v>
      </c>
      <c r="I89" s="286">
        <f>data!W88</f>
        <v>7720149.0999999996</v>
      </c>
    </row>
    <row r="90" spans="1:9" ht="20.149999999999999" customHeight="1" x14ac:dyDescent="0.35">
      <c r="A90" s="278">
        <v>21</v>
      </c>
      <c r="B90" s="294" t="s">
        <v>983</v>
      </c>
      <c r="C90" s="286">
        <f>data!Q89</f>
        <v>6522406.8399999999</v>
      </c>
      <c r="D90" s="286">
        <f>data!R89</f>
        <v>2145963.2399999998</v>
      </c>
      <c r="E90" s="286">
        <f>data!S89</f>
        <v>11582535.129999999</v>
      </c>
      <c r="F90" s="286">
        <f>data!T89</f>
        <v>0</v>
      </c>
      <c r="G90" s="286">
        <f>data!U89</f>
        <v>37341611.800000004</v>
      </c>
      <c r="H90" s="286">
        <f>data!V89</f>
        <v>0</v>
      </c>
      <c r="I90" s="286">
        <f>data!W89</f>
        <v>8118814.8199999994</v>
      </c>
    </row>
    <row r="91" spans="1:9" ht="20.149999999999999" customHeight="1" x14ac:dyDescent="0.35">
      <c r="A91" s="278" t="s">
        <v>984</v>
      </c>
      <c r="B91" s="286"/>
      <c r="C91" s="296"/>
      <c r="D91" s="296"/>
      <c r="E91" s="296"/>
      <c r="F91" s="296"/>
      <c r="G91" s="296"/>
      <c r="H91" s="296"/>
      <c r="I91" s="296"/>
    </row>
    <row r="92" spans="1:9" ht="20.149999999999999" customHeight="1" x14ac:dyDescent="0.35">
      <c r="A92" s="278">
        <v>22</v>
      </c>
      <c r="B92" s="286" t="s">
        <v>985</v>
      </c>
      <c r="C92" s="286">
        <f>data!Q90</f>
        <v>7247.26</v>
      </c>
      <c r="D92" s="286">
        <f>data!R90</f>
        <v>311.61</v>
      </c>
      <c r="E92" s="286">
        <f>data!S90</f>
        <v>2970.4</v>
      </c>
      <c r="F92" s="286">
        <f>data!T90</f>
        <v>0</v>
      </c>
      <c r="G92" s="286">
        <f>data!U90</f>
        <v>4392.96</v>
      </c>
      <c r="H92" s="286">
        <f>data!V90</f>
        <v>0</v>
      </c>
      <c r="I92" s="286">
        <f>data!W90</f>
        <v>2137.4699999999998</v>
      </c>
    </row>
    <row r="93" spans="1:9" ht="20.149999999999999" customHeight="1" x14ac:dyDescent="0.35">
      <c r="A93" s="278">
        <v>23</v>
      </c>
      <c r="B93" s="286" t="s">
        <v>986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49999999999999" customHeight="1" x14ac:dyDescent="0.35">
      <c r="A94" s="278">
        <v>24</v>
      </c>
      <c r="B94" s="286" t="s">
        <v>987</v>
      </c>
      <c r="C94" s="286">
        <f>data!Q92</f>
        <v>7247.26</v>
      </c>
      <c r="D94" s="286">
        <f>data!R92</f>
        <v>311.61</v>
      </c>
      <c r="E94" s="286">
        <f>data!S92</f>
        <v>2970.4</v>
      </c>
      <c r="F94" s="286">
        <f>data!T92</f>
        <v>0</v>
      </c>
      <c r="G94" s="286">
        <f>data!U92</f>
        <v>4392.96</v>
      </c>
      <c r="H94" s="286">
        <f>data!V92</f>
        <v>0</v>
      </c>
      <c r="I94" s="286">
        <f>data!W92</f>
        <v>2137.4699999999998</v>
      </c>
    </row>
    <row r="95" spans="1:9" ht="20.149999999999999" customHeight="1" x14ac:dyDescent="0.35">
      <c r="A95" s="278">
        <v>25</v>
      </c>
      <c r="B95" s="286" t="s">
        <v>988</v>
      </c>
      <c r="C95" s="286">
        <f>data!Q93</f>
        <v>24671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420</v>
      </c>
      <c r="H95" s="286">
        <f>data!V93</f>
        <v>0</v>
      </c>
      <c r="I95" s="286">
        <f>data!W93</f>
        <v>0</v>
      </c>
    </row>
    <row r="96" spans="1:9" ht="20.149999999999999" customHeight="1" x14ac:dyDescent="0.35">
      <c r="A96" s="278">
        <v>26</v>
      </c>
      <c r="B96" s="286" t="s">
        <v>279</v>
      </c>
      <c r="C96" s="293">
        <f>data!Q94</f>
        <v>13.75642740521978</v>
      </c>
      <c r="D96" s="293">
        <f>data!R94</f>
        <v>4.200418241758241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49999999999999" customHeight="1" x14ac:dyDescent="0.35">
      <c r="A97" s="279" t="s">
        <v>970</v>
      </c>
      <c r="B97" s="280"/>
      <c r="C97" s="280"/>
      <c r="D97" s="280"/>
      <c r="E97" s="280"/>
      <c r="F97" s="280"/>
      <c r="G97" s="280"/>
      <c r="H97" s="280"/>
      <c r="I97" s="279"/>
    </row>
    <row r="98" spans="1:9" ht="20.149999999999999" customHeight="1" x14ac:dyDescent="0.35">
      <c r="D98" s="282"/>
      <c r="I98" s="283" t="s">
        <v>997</v>
      </c>
    </row>
    <row r="99" spans="1:9" ht="20.149999999999999" customHeight="1" x14ac:dyDescent="0.35">
      <c r="A99" s="282"/>
    </row>
    <row r="100" spans="1:9" ht="20.149999999999999" customHeight="1" x14ac:dyDescent="0.35">
      <c r="A100" s="284" t="str">
        <f>"Hospital: "&amp;data!C98</f>
        <v>Hospital: Public Hospital District No 1 of Mason County, WA, DBA Mason Health</v>
      </c>
      <c r="G100" s="285"/>
      <c r="H100" s="284" t="str">
        <f>"FYE: "&amp;data!C96</f>
        <v>FYE: 12/31/2022</v>
      </c>
    </row>
    <row r="101" spans="1:9" ht="20.149999999999999" customHeight="1" x14ac:dyDescent="0.35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49999999999999" customHeight="1" x14ac:dyDescent="0.35">
      <c r="A102" s="289">
        <v>2</v>
      </c>
      <c r="B102" s="290" t="s">
        <v>972</v>
      </c>
      <c r="C102" s="292" t="s">
        <v>998</v>
      </c>
      <c r="D102" s="292" t="s">
        <v>999</v>
      </c>
      <c r="E102" s="292" t="s">
        <v>999</v>
      </c>
      <c r="F102" s="292" t="s">
        <v>126</v>
      </c>
      <c r="G102" s="292"/>
      <c r="H102" s="292" t="s">
        <v>128</v>
      </c>
      <c r="I102" s="292"/>
    </row>
    <row r="103" spans="1:9" ht="20.149999999999999" customHeight="1" x14ac:dyDescent="0.35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49999999999999" customHeight="1" x14ac:dyDescent="0.35">
      <c r="A104" s="278">
        <v>3</v>
      </c>
      <c r="B104" s="286" t="s">
        <v>976</v>
      </c>
      <c r="C104" s="287" t="s">
        <v>236</v>
      </c>
      <c r="D104" s="288" t="s">
        <v>1000</v>
      </c>
      <c r="E104" s="288" t="s">
        <v>1000</v>
      </c>
      <c r="F104" s="288" t="s">
        <v>1000</v>
      </c>
      <c r="G104" s="298"/>
      <c r="H104" s="288" t="s">
        <v>238</v>
      </c>
      <c r="I104" s="288" t="s">
        <v>239</v>
      </c>
    </row>
    <row r="105" spans="1:9" ht="20.149999999999999" customHeight="1" x14ac:dyDescent="0.35">
      <c r="A105" s="278">
        <v>4</v>
      </c>
      <c r="B105" s="286" t="s">
        <v>246</v>
      </c>
      <c r="C105" s="286">
        <f>data!X59</f>
        <v>36639</v>
      </c>
      <c r="D105" s="286">
        <f>data!Y59</f>
        <v>26121</v>
      </c>
      <c r="E105" s="286">
        <f>data!Z59</f>
        <v>0</v>
      </c>
      <c r="F105" s="286">
        <f>data!AA59</f>
        <v>62</v>
      </c>
      <c r="G105" s="298"/>
      <c r="H105" s="286">
        <f>data!AC59</f>
        <v>4269</v>
      </c>
      <c r="I105" s="286">
        <f>data!AD59</f>
        <v>0</v>
      </c>
    </row>
    <row r="106" spans="1:9" ht="20.149999999999999" customHeight="1" x14ac:dyDescent="0.35">
      <c r="A106" s="278">
        <v>5</v>
      </c>
      <c r="B106" s="286" t="s">
        <v>247</v>
      </c>
      <c r="C106" s="293">
        <f>data!X60</f>
        <v>3.6339177005494507</v>
      </c>
      <c r="D106" s="293">
        <f>data!Y60</f>
        <v>22.359999361263732</v>
      </c>
      <c r="E106" s="293">
        <f>data!Z60</f>
        <v>0</v>
      </c>
      <c r="F106" s="293">
        <f>data!AA60</f>
        <v>0.13052091002747251</v>
      </c>
      <c r="G106" s="293">
        <f>data!AB60</f>
        <v>13.888524671016484</v>
      </c>
      <c r="H106" s="293">
        <f>data!AC60</f>
        <v>7.3841693976648344</v>
      </c>
      <c r="I106" s="293">
        <f>data!AD60</f>
        <v>0</v>
      </c>
    </row>
    <row r="107" spans="1:9" ht="20.149999999999999" customHeight="1" x14ac:dyDescent="0.35">
      <c r="A107" s="278">
        <v>6</v>
      </c>
      <c r="B107" s="286" t="s">
        <v>248</v>
      </c>
      <c r="C107" s="286">
        <f>data!X61</f>
        <v>423130.06000000006</v>
      </c>
      <c r="D107" s="286">
        <f>data!Y61</f>
        <v>1913289.4400000002</v>
      </c>
      <c r="E107" s="286">
        <f>data!Z61</f>
        <v>0</v>
      </c>
      <c r="F107" s="286">
        <f>data!AA61</f>
        <v>16480.009999999998</v>
      </c>
      <c r="G107" s="286">
        <f>data!AB61</f>
        <v>1608147.9999999998</v>
      </c>
      <c r="H107" s="286">
        <f>data!AC61</f>
        <v>715439.17999999993</v>
      </c>
      <c r="I107" s="286">
        <f>data!AD61</f>
        <v>0</v>
      </c>
    </row>
    <row r="108" spans="1:9" ht="20.149999999999999" customHeight="1" x14ac:dyDescent="0.35">
      <c r="A108" s="278">
        <v>7</v>
      </c>
      <c r="B108" s="286" t="s">
        <v>9</v>
      </c>
      <c r="C108" s="286">
        <f>data!X62</f>
        <v>155908</v>
      </c>
      <c r="D108" s="286">
        <f>data!Y62</f>
        <v>724792</v>
      </c>
      <c r="E108" s="286">
        <f>data!Z62</f>
        <v>0</v>
      </c>
      <c r="F108" s="286">
        <f>data!AA62</f>
        <v>6098</v>
      </c>
      <c r="G108" s="286">
        <f>data!AB62</f>
        <v>577102</v>
      </c>
      <c r="H108" s="286">
        <f>data!AC62</f>
        <v>267992</v>
      </c>
      <c r="I108" s="286">
        <f>data!AD62</f>
        <v>0</v>
      </c>
    </row>
    <row r="109" spans="1:9" ht="20.149999999999999" customHeight="1" x14ac:dyDescent="0.35">
      <c r="A109" s="278">
        <v>8</v>
      </c>
      <c r="B109" s="286" t="s">
        <v>249</v>
      </c>
      <c r="C109" s="286">
        <f>data!X63</f>
        <v>0</v>
      </c>
      <c r="D109" s="286">
        <f>data!Y63</f>
        <v>1530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294852.5</v>
      </c>
      <c r="I109" s="286">
        <f>data!AD63</f>
        <v>0</v>
      </c>
    </row>
    <row r="110" spans="1:9" ht="20.149999999999999" customHeight="1" x14ac:dyDescent="0.35">
      <c r="A110" s="278">
        <v>9</v>
      </c>
      <c r="B110" s="286" t="s">
        <v>250</v>
      </c>
      <c r="C110" s="286">
        <f>data!X64</f>
        <v>171812.88999999998</v>
      </c>
      <c r="D110" s="286">
        <f>data!Y64</f>
        <v>197966.52</v>
      </c>
      <c r="E110" s="286">
        <f>data!Z64</f>
        <v>0</v>
      </c>
      <c r="F110" s="286">
        <f>data!AA64</f>
        <v>10299.879999999999</v>
      </c>
      <c r="G110" s="286">
        <f>data!AB64</f>
        <v>2399391.94</v>
      </c>
      <c r="H110" s="286">
        <f>data!AC64</f>
        <v>104563.24</v>
      </c>
      <c r="I110" s="286">
        <f>data!AD64</f>
        <v>0</v>
      </c>
    </row>
    <row r="111" spans="1:9" ht="20.149999999999999" customHeight="1" x14ac:dyDescent="0.35">
      <c r="A111" s="278">
        <v>10</v>
      </c>
      <c r="B111" s="286" t="s">
        <v>497</v>
      </c>
      <c r="C111" s="286">
        <f>data!X65</f>
        <v>0</v>
      </c>
      <c r="D111" s="286">
        <f>data!Y65</f>
        <v>256.45000000000005</v>
      </c>
      <c r="E111" s="286">
        <f>data!Z65</f>
        <v>0</v>
      </c>
      <c r="F111" s="286">
        <f>data!AA65</f>
        <v>0</v>
      </c>
      <c r="G111" s="286">
        <f>data!AB65</f>
        <v>0</v>
      </c>
      <c r="H111" s="286">
        <f>data!AC65</f>
        <v>0</v>
      </c>
      <c r="I111" s="286">
        <f>data!AD65</f>
        <v>0</v>
      </c>
    </row>
    <row r="112" spans="1:9" ht="20.149999999999999" customHeight="1" x14ac:dyDescent="0.35">
      <c r="A112" s="278">
        <v>11</v>
      </c>
      <c r="B112" s="286" t="s">
        <v>498</v>
      </c>
      <c r="C112" s="286">
        <f>data!X66</f>
        <v>138544.92999999996</v>
      </c>
      <c r="D112" s="286">
        <f>data!Y66</f>
        <v>841366.05999999994</v>
      </c>
      <c r="E112" s="286">
        <f>data!Z66</f>
        <v>0</v>
      </c>
      <c r="F112" s="286">
        <f>data!AA66</f>
        <v>57524.969999999994</v>
      </c>
      <c r="G112" s="286">
        <f>data!AB66</f>
        <v>346920.72000000009</v>
      </c>
      <c r="H112" s="286">
        <f>data!AC66</f>
        <v>62882.7</v>
      </c>
      <c r="I112" s="286">
        <f>data!AD66</f>
        <v>0</v>
      </c>
    </row>
    <row r="113" spans="1:9" ht="20.149999999999999" customHeight="1" x14ac:dyDescent="0.35">
      <c r="A113" s="278">
        <v>12</v>
      </c>
      <c r="B113" s="286" t="s">
        <v>11</v>
      </c>
      <c r="C113" s="286">
        <f>data!X67</f>
        <v>26289</v>
      </c>
      <c r="D113" s="286">
        <f>data!Y67</f>
        <v>232188</v>
      </c>
      <c r="E113" s="286">
        <f>data!Z67</f>
        <v>0</v>
      </c>
      <c r="F113" s="286">
        <f>data!AA67</f>
        <v>22918</v>
      </c>
      <c r="G113" s="286">
        <f>data!AB67</f>
        <v>63836</v>
      </c>
      <c r="H113" s="286">
        <f>data!AC67</f>
        <v>26748</v>
      </c>
      <c r="I113" s="286">
        <f>data!AD67</f>
        <v>0</v>
      </c>
    </row>
    <row r="114" spans="1:9" ht="20.149999999999999" customHeight="1" x14ac:dyDescent="0.35">
      <c r="A114" s="278">
        <v>13</v>
      </c>
      <c r="B114" s="286" t="s">
        <v>977</v>
      </c>
      <c r="C114" s="286">
        <f>data!X68</f>
        <v>0</v>
      </c>
      <c r="D114" s="286">
        <f>data!Y68</f>
        <v>621.33000000000004</v>
      </c>
      <c r="E114" s="286">
        <f>data!Z68</f>
        <v>0</v>
      </c>
      <c r="F114" s="286">
        <f>data!AA68</f>
        <v>0</v>
      </c>
      <c r="G114" s="286">
        <f>data!AB68</f>
        <v>0</v>
      </c>
      <c r="H114" s="286">
        <f>data!AC68</f>
        <v>13127.39</v>
      </c>
      <c r="I114" s="286">
        <f>data!AD68</f>
        <v>0</v>
      </c>
    </row>
    <row r="115" spans="1:9" ht="20.149999999999999" customHeight="1" x14ac:dyDescent="0.35">
      <c r="A115" s="278">
        <v>14</v>
      </c>
      <c r="B115" s="286" t="s">
        <v>978</v>
      </c>
      <c r="C115" s="286">
        <f>data!X69</f>
        <v>0</v>
      </c>
      <c r="D115" s="286">
        <f>data!Y69</f>
        <v>1232.18</v>
      </c>
      <c r="E115" s="286">
        <f>data!Z69</f>
        <v>0</v>
      </c>
      <c r="F115" s="286">
        <f>data!AA69</f>
        <v>0</v>
      </c>
      <c r="G115" s="286">
        <f>data!AB69</f>
        <v>19335.89</v>
      </c>
      <c r="H115" s="286">
        <f>data!AC69</f>
        <v>5043.0200000000004</v>
      </c>
      <c r="I115" s="286">
        <f>data!AD69</f>
        <v>0</v>
      </c>
    </row>
    <row r="116" spans="1:9" ht="20.149999999999999" customHeight="1" x14ac:dyDescent="0.35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-2281079.1300000004</v>
      </c>
      <c r="H116" s="286">
        <f>-data!AC84</f>
        <v>6975.98</v>
      </c>
      <c r="I116" s="286">
        <f>-data!AD84</f>
        <v>0</v>
      </c>
    </row>
    <row r="117" spans="1:9" ht="20.149999999999999" customHeight="1" x14ac:dyDescent="0.35">
      <c r="A117" s="278">
        <v>16</v>
      </c>
      <c r="B117" s="294" t="s">
        <v>979</v>
      </c>
      <c r="C117" s="286">
        <f>data!X85</f>
        <v>915684.88</v>
      </c>
      <c r="D117" s="286">
        <f>data!Y85</f>
        <v>3913241.9800000009</v>
      </c>
      <c r="E117" s="286">
        <f>data!Z85</f>
        <v>0</v>
      </c>
      <c r="F117" s="286">
        <f>data!AA85</f>
        <v>113320.85999999999</v>
      </c>
      <c r="G117" s="286">
        <f>data!AB85</f>
        <v>2733655.4199999985</v>
      </c>
      <c r="H117" s="286">
        <f>data!AC85</f>
        <v>1497624.0099999998</v>
      </c>
      <c r="I117" s="286">
        <f>data!AD85</f>
        <v>0</v>
      </c>
    </row>
    <row r="118" spans="1:9" ht="20.149999999999999" customHeight="1" x14ac:dyDescent="0.35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49999999999999" customHeight="1" x14ac:dyDescent="0.35">
      <c r="A119" s="278">
        <v>18</v>
      </c>
      <c r="B119" s="286" t="s">
        <v>980</v>
      </c>
      <c r="C119" s="294">
        <f>+data!M689</f>
        <v>1798474</v>
      </c>
      <c r="D119" s="294">
        <f>+data!M690</f>
        <v>1984382</v>
      </c>
      <c r="E119" s="294">
        <f>+data!M691</f>
        <v>0</v>
      </c>
      <c r="F119" s="294">
        <f>+data!M692</f>
        <v>30486</v>
      </c>
      <c r="G119" s="294">
        <f>+data!M693</f>
        <v>1239082</v>
      </c>
      <c r="H119" s="294">
        <f>+data!M694</f>
        <v>731308</v>
      </c>
      <c r="I119" s="294">
        <f>+data!M695</f>
        <v>0</v>
      </c>
    </row>
    <row r="120" spans="1:9" ht="20.149999999999999" customHeight="1" x14ac:dyDescent="0.35">
      <c r="A120" s="278">
        <v>19</v>
      </c>
      <c r="B120" s="294" t="s">
        <v>981</v>
      </c>
      <c r="C120" s="286">
        <f>data!X87</f>
        <v>1081475.5</v>
      </c>
      <c r="D120" s="286">
        <f>data!Y87</f>
        <v>1386373.74</v>
      </c>
      <c r="E120" s="286">
        <f>data!Z87</f>
        <v>0</v>
      </c>
      <c r="F120" s="286">
        <f>data!AA87</f>
        <v>7607.4</v>
      </c>
      <c r="G120" s="286">
        <f>data!AB87</f>
        <v>3707824.8199999994</v>
      </c>
      <c r="H120" s="286">
        <f>data!AC87</f>
        <v>4921762.5</v>
      </c>
      <c r="I120" s="286">
        <f>data!AD87</f>
        <v>0</v>
      </c>
    </row>
    <row r="121" spans="1:9" ht="20.149999999999999" customHeight="1" x14ac:dyDescent="0.35">
      <c r="A121" s="278">
        <v>20</v>
      </c>
      <c r="B121" s="294" t="s">
        <v>982</v>
      </c>
      <c r="C121" s="286">
        <f>data!X88</f>
        <v>25869337.560000002</v>
      </c>
      <c r="D121" s="286">
        <f>data!Y88</f>
        <v>19624363.179999996</v>
      </c>
      <c r="E121" s="286">
        <f>data!Z88</f>
        <v>0</v>
      </c>
      <c r="F121" s="286">
        <f>data!AA88</f>
        <v>21347.69</v>
      </c>
      <c r="G121" s="286">
        <f>data!AB88</f>
        <v>7905514.4900000002</v>
      </c>
      <c r="H121" s="286">
        <f>data!AC88</f>
        <v>3639887.23</v>
      </c>
      <c r="I121" s="286">
        <f>data!AD88</f>
        <v>0</v>
      </c>
    </row>
    <row r="122" spans="1:9" ht="20.149999999999999" customHeight="1" x14ac:dyDescent="0.35">
      <c r="A122" s="278">
        <v>21</v>
      </c>
      <c r="B122" s="294" t="s">
        <v>983</v>
      </c>
      <c r="C122" s="286">
        <f>data!X89</f>
        <v>26950813.060000002</v>
      </c>
      <c r="D122" s="286">
        <f>data!Y89</f>
        <v>21010736.919999994</v>
      </c>
      <c r="E122" s="286">
        <f>data!Z89</f>
        <v>0</v>
      </c>
      <c r="F122" s="286">
        <f>data!AA89</f>
        <v>28955.089999999997</v>
      </c>
      <c r="G122" s="286">
        <f>data!AB89</f>
        <v>11613339.309999999</v>
      </c>
      <c r="H122" s="286">
        <f>data!AC89</f>
        <v>8561649.7300000004</v>
      </c>
      <c r="I122" s="286">
        <f>data!AD89</f>
        <v>0</v>
      </c>
    </row>
    <row r="123" spans="1:9" ht="20.149999999999999" customHeight="1" x14ac:dyDescent="0.35">
      <c r="A123" s="278" t="s">
        <v>984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49999999999999" customHeight="1" x14ac:dyDescent="0.35">
      <c r="A124" s="278">
        <v>22</v>
      </c>
      <c r="B124" s="286" t="s">
        <v>985</v>
      </c>
      <c r="C124" s="286">
        <f>data!X90</f>
        <v>791.67</v>
      </c>
      <c r="D124" s="286">
        <f>data!Y90</f>
        <v>6992.17</v>
      </c>
      <c r="E124" s="286">
        <f>data!Z90</f>
        <v>0</v>
      </c>
      <c r="F124" s="286">
        <f>data!AA90</f>
        <v>690.16</v>
      </c>
      <c r="G124" s="286">
        <f>data!AB90</f>
        <v>1922.3700000000001</v>
      </c>
      <c r="H124" s="286">
        <f>data!AC90</f>
        <v>805.5</v>
      </c>
      <c r="I124" s="286">
        <f>data!AD90</f>
        <v>0</v>
      </c>
    </row>
    <row r="125" spans="1:9" ht="20.149999999999999" customHeight="1" x14ac:dyDescent="0.35">
      <c r="A125" s="278">
        <v>23</v>
      </c>
      <c r="B125" s="286" t="s">
        <v>986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49999999999999" customHeight="1" x14ac:dyDescent="0.35">
      <c r="A126" s="278">
        <v>24</v>
      </c>
      <c r="B126" s="286" t="s">
        <v>987</v>
      </c>
      <c r="C126" s="286">
        <f>data!X92</f>
        <v>791.67</v>
      </c>
      <c r="D126" s="286">
        <f>data!Y92</f>
        <v>6992.17</v>
      </c>
      <c r="E126" s="286">
        <f>data!Z92</f>
        <v>0</v>
      </c>
      <c r="F126" s="286">
        <f>data!AA92</f>
        <v>690.16</v>
      </c>
      <c r="G126" s="286">
        <f>data!AB92</f>
        <v>1922.3700000000001</v>
      </c>
      <c r="H126" s="286">
        <f>data!AC92</f>
        <v>805.5</v>
      </c>
      <c r="I126" s="286">
        <f>data!AD92</f>
        <v>0</v>
      </c>
    </row>
    <row r="127" spans="1:9" ht="20.149999999999999" customHeight="1" x14ac:dyDescent="0.35">
      <c r="A127" s="278">
        <v>25</v>
      </c>
      <c r="B127" s="286" t="s">
        <v>988</v>
      </c>
      <c r="C127" s="286">
        <f>data!X93</f>
        <v>0</v>
      </c>
      <c r="D127" s="286">
        <f>data!Y93</f>
        <v>22696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49999999999999" customHeight="1" x14ac:dyDescent="0.35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49999999999999" customHeight="1" x14ac:dyDescent="0.35">
      <c r="A129" s="279" t="s">
        <v>970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49999999999999" customHeight="1" x14ac:dyDescent="0.35">
      <c r="D130" s="282"/>
      <c r="I130" s="283" t="s">
        <v>1001</v>
      </c>
    </row>
    <row r="131" spans="1:14" ht="20.149999999999999" customHeight="1" x14ac:dyDescent="0.35">
      <c r="A131" s="282"/>
    </row>
    <row r="132" spans="1:14" ht="20.149999999999999" customHeight="1" x14ac:dyDescent="0.35">
      <c r="A132" s="284" t="str">
        <f>"Hospital: "&amp;data!C98</f>
        <v>Hospital: Public Hospital District No 1 of Mason County, WA, DBA Mason Health</v>
      </c>
      <c r="G132" s="285"/>
      <c r="H132" s="284" t="str">
        <f>"FYE: "&amp;data!C96</f>
        <v>FYE: 12/31/2022</v>
      </c>
    </row>
    <row r="133" spans="1:14" ht="20.149999999999999" customHeight="1" x14ac:dyDescent="0.35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49999999999999" customHeight="1" x14ac:dyDescent="0.35">
      <c r="A134" s="289">
        <v>2</v>
      </c>
      <c r="B134" s="290" t="s">
        <v>972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1002</v>
      </c>
      <c r="H134" s="292"/>
      <c r="I134" s="292" t="s">
        <v>134</v>
      </c>
    </row>
    <row r="135" spans="1:14" ht="20.149999999999999" customHeight="1" x14ac:dyDescent="0.35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49999999999999" customHeight="1" x14ac:dyDescent="0.35">
      <c r="A136" s="278">
        <v>3</v>
      </c>
      <c r="B136" s="286" t="s">
        <v>976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1003</v>
      </c>
      <c r="H136" s="288" t="s">
        <v>240</v>
      </c>
      <c r="I136" s="288" t="s">
        <v>238</v>
      </c>
    </row>
    <row r="137" spans="1:14" ht="20.149999999999999" customHeight="1" x14ac:dyDescent="0.35">
      <c r="A137" s="278">
        <v>4</v>
      </c>
      <c r="B137" s="286" t="s">
        <v>246</v>
      </c>
      <c r="C137" s="286">
        <f>data!AE59</f>
        <v>19464</v>
      </c>
      <c r="D137" s="286">
        <f>data!AF59</f>
        <v>0</v>
      </c>
      <c r="E137" s="286">
        <f>data!AG59</f>
        <v>17670</v>
      </c>
      <c r="F137" s="286">
        <f>data!AH59</f>
        <v>0</v>
      </c>
      <c r="G137" s="286">
        <f>data!AI59</f>
        <v>0</v>
      </c>
      <c r="H137" s="286">
        <f>data!AJ59</f>
        <v>0</v>
      </c>
      <c r="I137" s="286">
        <f>data!AK59</f>
        <v>0</v>
      </c>
      <c r="K137" s="297"/>
      <c r="L137" s="299"/>
      <c r="M137" s="299"/>
      <c r="N137" s="299"/>
    </row>
    <row r="138" spans="1:14" ht="20.149999999999999" customHeight="1" x14ac:dyDescent="0.35">
      <c r="A138" s="278">
        <v>5</v>
      </c>
      <c r="B138" s="286" t="s">
        <v>247</v>
      </c>
      <c r="C138" s="293">
        <f>data!AE60</f>
        <v>20.92620639282967</v>
      </c>
      <c r="D138" s="293">
        <f>data!AF60</f>
        <v>0</v>
      </c>
      <c r="E138" s="293">
        <f>data!AG60</f>
        <v>31.635080711126374</v>
      </c>
      <c r="F138" s="293">
        <f>data!AH60</f>
        <v>0</v>
      </c>
      <c r="G138" s="293">
        <f>data!AI60</f>
        <v>0</v>
      </c>
      <c r="H138" s="293">
        <f>data!AJ60</f>
        <v>0</v>
      </c>
      <c r="I138" s="293">
        <f>data!AK60</f>
        <v>0</v>
      </c>
    </row>
    <row r="139" spans="1:14" ht="20.149999999999999" customHeight="1" x14ac:dyDescent="0.35">
      <c r="A139" s="278">
        <v>6</v>
      </c>
      <c r="B139" s="286" t="s">
        <v>248</v>
      </c>
      <c r="C139" s="286">
        <f>data!AE61</f>
        <v>1731002.1</v>
      </c>
      <c r="D139" s="286">
        <f>data!AF61</f>
        <v>0</v>
      </c>
      <c r="E139" s="286">
        <f>data!AG61</f>
        <v>4105518.49</v>
      </c>
      <c r="F139" s="286">
        <f>data!AH61</f>
        <v>0</v>
      </c>
      <c r="G139" s="286">
        <f>data!AI61</f>
        <v>0</v>
      </c>
      <c r="H139" s="286">
        <f>data!AJ61</f>
        <v>0</v>
      </c>
      <c r="I139" s="286">
        <f>data!AK61</f>
        <v>0</v>
      </c>
    </row>
    <row r="140" spans="1:14" ht="20.149999999999999" customHeight="1" x14ac:dyDescent="0.35">
      <c r="A140" s="278">
        <v>7</v>
      </c>
      <c r="B140" s="286" t="s">
        <v>9</v>
      </c>
      <c r="C140" s="286">
        <f>data!AE62</f>
        <v>642315</v>
      </c>
      <c r="D140" s="286">
        <f>data!AF62</f>
        <v>0</v>
      </c>
      <c r="E140" s="286">
        <f>data!AG62</f>
        <v>1019975</v>
      </c>
      <c r="F140" s="286">
        <f>data!AH62</f>
        <v>0</v>
      </c>
      <c r="G140" s="286">
        <f>data!AI62</f>
        <v>0</v>
      </c>
      <c r="H140" s="286">
        <f>data!AJ62</f>
        <v>0</v>
      </c>
      <c r="I140" s="286">
        <f>data!AK62</f>
        <v>0</v>
      </c>
    </row>
    <row r="141" spans="1:14" ht="20.149999999999999" customHeight="1" x14ac:dyDescent="0.35">
      <c r="A141" s="278">
        <v>8</v>
      </c>
      <c r="B141" s="286" t="s">
        <v>249</v>
      </c>
      <c r="C141" s="286">
        <f>data!AE63</f>
        <v>170574.64</v>
      </c>
      <c r="D141" s="286">
        <f>data!AF63</f>
        <v>0</v>
      </c>
      <c r="E141" s="286">
        <f>data!AG63</f>
        <v>2988005.5399999996</v>
      </c>
      <c r="F141" s="286">
        <f>data!AH63</f>
        <v>0</v>
      </c>
      <c r="G141" s="286">
        <f>data!AI63</f>
        <v>0</v>
      </c>
      <c r="H141" s="286">
        <f>data!AJ63</f>
        <v>0</v>
      </c>
      <c r="I141" s="286">
        <f>data!AK63</f>
        <v>0</v>
      </c>
    </row>
    <row r="142" spans="1:14" ht="20.149999999999999" customHeight="1" x14ac:dyDescent="0.35">
      <c r="A142" s="278">
        <v>9</v>
      </c>
      <c r="B142" s="286" t="s">
        <v>250</v>
      </c>
      <c r="C142" s="286">
        <f>data!AE64</f>
        <v>46843.630000000005</v>
      </c>
      <c r="D142" s="286">
        <f>data!AF64</f>
        <v>0</v>
      </c>
      <c r="E142" s="286">
        <f>data!AG64</f>
        <v>353423.28000000009</v>
      </c>
      <c r="F142" s="286">
        <f>data!AH64</f>
        <v>0</v>
      </c>
      <c r="G142" s="286">
        <f>data!AI64</f>
        <v>0</v>
      </c>
      <c r="H142" s="286">
        <f>data!AJ64</f>
        <v>0</v>
      </c>
      <c r="I142" s="286">
        <f>data!AK64</f>
        <v>0</v>
      </c>
    </row>
    <row r="143" spans="1:14" ht="20.149999999999999" customHeight="1" x14ac:dyDescent="0.35">
      <c r="A143" s="278">
        <v>10</v>
      </c>
      <c r="B143" s="286" t="s">
        <v>497</v>
      </c>
      <c r="C143" s="286">
        <f>data!AE65</f>
        <v>0</v>
      </c>
      <c r="D143" s="286">
        <f>data!AF65</f>
        <v>0</v>
      </c>
      <c r="E143" s="286">
        <f>data!AG65</f>
        <v>480.11999999999995</v>
      </c>
      <c r="F143" s="286">
        <f>data!AH65</f>
        <v>0</v>
      </c>
      <c r="G143" s="286">
        <f>data!AI65</f>
        <v>0</v>
      </c>
      <c r="H143" s="286">
        <f>data!AJ65</f>
        <v>0</v>
      </c>
      <c r="I143" s="286">
        <f>data!AK65</f>
        <v>0</v>
      </c>
    </row>
    <row r="144" spans="1:14" ht="20.149999999999999" customHeight="1" x14ac:dyDescent="0.35">
      <c r="A144" s="278">
        <v>11</v>
      </c>
      <c r="B144" s="286" t="s">
        <v>498</v>
      </c>
      <c r="C144" s="286">
        <f>data!AE66</f>
        <v>9393.43</v>
      </c>
      <c r="D144" s="286">
        <f>data!AF66</f>
        <v>0</v>
      </c>
      <c r="E144" s="286">
        <f>data!AG66</f>
        <v>453937.41000000003</v>
      </c>
      <c r="F144" s="286">
        <f>data!AH66</f>
        <v>0</v>
      </c>
      <c r="G144" s="286">
        <f>data!AI66</f>
        <v>0</v>
      </c>
      <c r="H144" s="286">
        <f>data!AJ66</f>
        <v>0</v>
      </c>
      <c r="I144" s="286">
        <f>data!AK66</f>
        <v>0</v>
      </c>
    </row>
    <row r="145" spans="1:9" ht="20.149999999999999" customHeight="1" x14ac:dyDescent="0.35">
      <c r="A145" s="278">
        <v>12</v>
      </c>
      <c r="B145" s="286" t="s">
        <v>11</v>
      </c>
      <c r="C145" s="286">
        <f>data!AE67</f>
        <v>119684</v>
      </c>
      <c r="D145" s="286">
        <f>data!AF67</f>
        <v>0</v>
      </c>
      <c r="E145" s="286">
        <f>data!AG67</f>
        <v>316895</v>
      </c>
      <c r="F145" s="286">
        <f>data!AH67</f>
        <v>0</v>
      </c>
      <c r="G145" s="286">
        <f>data!AI67</f>
        <v>0</v>
      </c>
      <c r="H145" s="286">
        <f>data!AJ67</f>
        <v>0</v>
      </c>
      <c r="I145" s="286">
        <f>data!AK67</f>
        <v>0</v>
      </c>
    </row>
    <row r="146" spans="1:9" ht="20.149999999999999" customHeight="1" x14ac:dyDescent="0.35">
      <c r="A146" s="278">
        <v>13</v>
      </c>
      <c r="B146" s="286" t="s">
        <v>977</v>
      </c>
      <c r="C146" s="286">
        <f>data!AE68</f>
        <v>36.99</v>
      </c>
      <c r="D146" s="286">
        <f>data!AF68</f>
        <v>0</v>
      </c>
      <c r="E146" s="286">
        <f>data!AG68</f>
        <v>159.77000000000001</v>
      </c>
      <c r="F146" s="286">
        <f>data!AH68</f>
        <v>0</v>
      </c>
      <c r="G146" s="286">
        <f>data!AI68</f>
        <v>0</v>
      </c>
      <c r="H146" s="286">
        <f>data!AJ68</f>
        <v>0</v>
      </c>
      <c r="I146" s="286">
        <f>data!AK68</f>
        <v>0</v>
      </c>
    </row>
    <row r="147" spans="1:9" ht="20.149999999999999" customHeight="1" x14ac:dyDescent="0.35">
      <c r="A147" s="278">
        <v>14</v>
      </c>
      <c r="B147" s="286" t="s">
        <v>978</v>
      </c>
      <c r="C147" s="286">
        <f>data!AE69</f>
        <v>13788.35</v>
      </c>
      <c r="D147" s="286">
        <f>data!AF69</f>
        <v>0</v>
      </c>
      <c r="E147" s="286">
        <f>data!AG69</f>
        <v>45397.2</v>
      </c>
      <c r="F147" s="286">
        <f>data!AH69</f>
        <v>0</v>
      </c>
      <c r="G147" s="286">
        <f>data!AI69</f>
        <v>0</v>
      </c>
      <c r="H147" s="286">
        <f>data!AJ69</f>
        <v>0</v>
      </c>
      <c r="I147" s="286">
        <f>data!AK69</f>
        <v>0</v>
      </c>
    </row>
    <row r="148" spans="1:9" ht="20.149999999999999" customHeight="1" x14ac:dyDescent="0.35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49999999999999" customHeight="1" x14ac:dyDescent="0.35">
      <c r="A149" s="278">
        <v>16</v>
      </c>
      <c r="B149" s="294" t="s">
        <v>979</v>
      </c>
      <c r="C149" s="286">
        <f>data!AE85</f>
        <v>2733638.1400000006</v>
      </c>
      <c r="D149" s="286">
        <f>data!AF85</f>
        <v>0</v>
      </c>
      <c r="E149" s="286">
        <f>data!AG85</f>
        <v>9283791.8099999968</v>
      </c>
      <c r="F149" s="286">
        <f>data!AH85</f>
        <v>0</v>
      </c>
      <c r="G149" s="286">
        <f>data!AI85</f>
        <v>0</v>
      </c>
      <c r="H149" s="286">
        <f>data!AJ85</f>
        <v>0</v>
      </c>
      <c r="I149" s="286">
        <f>data!AK85</f>
        <v>0</v>
      </c>
    </row>
    <row r="150" spans="1:9" ht="20.149999999999999" customHeight="1" x14ac:dyDescent="0.35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49999999999999" customHeight="1" x14ac:dyDescent="0.35">
      <c r="A151" s="278">
        <v>18</v>
      </c>
      <c r="B151" s="286" t="s">
        <v>980</v>
      </c>
      <c r="C151" s="294">
        <f>+data!M696</f>
        <v>905566</v>
      </c>
      <c r="D151" s="294">
        <f>+data!M697</f>
        <v>0</v>
      </c>
      <c r="E151" s="294">
        <f>+data!M698</f>
        <v>5827516</v>
      </c>
      <c r="F151" s="294">
        <f>+data!M699</f>
        <v>0</v>
      </c>
      <c r="G151" s="294">
        <f>+data!M700</f>
        <v>0</v>
      </c>
      <c r="H151" s="294">
        <f>+data!M701</f>
        <v>0</v>
      </c>
      <c r="I151" s="294">
        <f>+data!M702</f>
        <v>0</v>
      </c>
    </row>
    <row r="152" spans="1:9" ht="20.149999999999999" customHeight="1" x14ac:dyDescent="0.35">
      <c r="A152" s="278">
        <v>19</v>
      </c>
      <c r="B152" s="294" t="s">
        <v>981</v>
      </c>
      <c r="C152" s="286">
        <f>data!AE87</f>
        <v>577832.5</v>
      </c>
      <c r="D152" s="286">
        <f>data!AF87</f>
        <v>0</v>
      </c>
      <c r="E152" s="286">
        <f>data!AG87</f>
        <v>2509597.4899999998</v>
      </c>
      <c r="F152" s="286">
        <f>data!AH87</f>
        <v>0</v>
      </c>
      <c r="G152" s="286">
        <f>data!AI87</f>
        <v>0</v>
      </c>
      <c r="H152" s="286">
        <f>data!AJ87</f>
        <v>0</v>
      </c>
      <c r="I152" s="286">
        <f>data!AK87</f>
        <v>0</v>
      </c>
    </row>
    <row r="153" spans="1:9" ht="20.149999999999999" customHeight="1" x14ac:dyDescent="0.35">
      <c r="A153" s="278">
        <v>20</v>
      </c>
      <c r="B153" s="294" t="s">
        <v>982</v>
      </c>
      <c r="C153" s="286">
        <f>data!AE88</f>
        <v>6807777.3000000007</v>
      </c>
      <c r="D153" s="286">
        <f>data!AF88</f>
        <v>0</v>
      </c>
      <c r="E153" s="286">
        <f>data!AG88</f>
        <v>51207795.109999999</v>
      </c>
      <c r="F153" s="286">
        <f>data!AH88</f>
        <v>0</v>
      </c>
      <c r="G153" s="286">
        <f>data!AI88</f>
        <v>0</v>
      </c>
      <c r="H153" s="286">
        <f>data!AJ88</f>
        <v>0</v>
      </c>
      <c r="I153" s="286">
        <f>data!AK88</f>
        <v>0</v>
      </c>
    </row>
    <row r="154" spans="1:9" ht="20.149999999999999" customHeight="1" x14ac:dyDescent="0.35">
      <c r="A154" s="278">
        <v>21</v>
      </c>
      <c r="B154" s="294" t="s">
        <v>983</v>
      </c>
      <c r="C154" s="286">
        <f>data!AE89</f>
        <v>7385609.8000000007</v>
      </c>
      <c r="D154" s="286">
        <f>data!AF89</f>
        <v>0</v>
      </c>
      <c r="E154" s="286">
        <f>data!AG89</f>
        <v>53717392.600000001</v>
      </c>
      <c r="F154" s="286">
        <f>data!AH89</f>
        <v>0</v>
      </c>
      <c r="G154" s="286">
        <f>data!AI89</f>
        <v>0</v>
      </c>
      <c r="H154" s="286">
        <f>data!AJ89</f>
        <v>0</v>
      </c>
      <c r="I154" s="286">
        <f>data!AK89</f>
        <v>0</v>
      </c>
    </row>
    <row r="155" spans="1:9" ht="20.149999999999999" customHeight="1" x14ac:dyDescent="0.35">
      <c r="A155" s="278" t="s">
        <v>984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49999999999999" customHeight="1" x14ac:dyDescent="0.35">
      <c r="A156" s="278">
        <v>22</v>
      </c>
      <c r="B156" s="286" t="s">
        <v>985</v>
      </c>
      <c r="C156" s="286">
        <f>data!AE90</f>
        <v>3887</v>
      </c>
      <c r="D156" s="286">
        <f>data!AF90</f>
        <v>0</v>
      </c>
      <c r="E156" s="286">
        <f>data!AG90</f>
        <v>9543.0499999999993</v>
      </c>
      <c r="F156" s="286">
        <f>data!AH90</f>
        <v>0</v>
      </c>
      <c r="G156" s="286">
        <f>data!AI90</f>
        <v>0</v>
      </c>
      <c r="H156" s="286">
        <f>data!AJ90</f>
        <v>0</v>
      </c>
      <c r="I156" s="286">
        <f>data!AK90</f>
        <v>0</v>
      </c>
    </row>
    <row r="157" spans="1:9" ht="20.149999999999999" customHeight="1" x14ac:dyDescent="0.35">
      <c r="A157" s="278">
        <v>23</v>
      </c>
      <c r="B157" s="286" t="s">
        <v>986</v>
      </c>
      <c r="C157" s="286">
        <f>data!AE91</f>
        <v>0</v>
      </c>
      <c r="D157" s="286">
        <f>data!AF91</f>
        <v>0</v>
      </c>
      <c r="E157" s="286">
        <f>data!AG91</f>
        <v>1043.4681562661965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49999999999999" customHeight="1" x14ac:dyDescent="0.35">
      <c r="A158" s="278">
        <v>24</v>
      </c>
      <c r="B158" s="286" t="s">
        <v>987</v>
      </c>
      <c r="C158" s="286">
        <f>data!AE92</f>
        <v>3887</v>
      </c>
      <c r="D158" s="286">
        <f>data!AF92</f>
        <v>0</v>
      </c>
      <c r="E158" s="286">
        <f>data!AG92</f>
        <v>9543.0499999999993</v>
      </c>
      <c r="F158" s="286">
        <f>data!AH92</f>
        <v>0</v>
      </c>
      <c r="G158" s="286">
        <f>data!AI92</f>
        <v>0</v>
      </c>
      <c r="H158" s="286">
        <f>data!AJ92</f>
        <v>0</v>
      </c>
      <c r="I158" s="286">
        <f>data!AK92</f>
        <v>0</v>
      </c>
    </row>
    <row r="159" spans="1:9" ht="20.149999999999999" customHeight="1" x14ac:dyDescent="0.35">
      <c r="A159" s="278">
        <v>25</v>
      </c>
      <c r="B159" s="286" t="s">
        <v>988</v>
      </c>
      <c r="C159" s="286">
        <f>data!AE93</f>
        <v>3019</v>
      </c>
      <c r="D159" s="286">
        <f>data!AF93</f>
        <v>0</v>
      </c>
      <c r="E159" s="286">
        <f>data!AG93</f>
        <v>60119</v>
      </c>
      <c r="F159" s="286">
        <f>data!AH93</f>
        <v>0</v>
      </c>
      <c r="G159" s="286">
        <f>data!AI93</f>
        <v>0</v>
      </c>
      <c r="H159" s="286">
        <f>data!AJ93</f>
        <v>0</v>
      </c>
      <c r="I159" s="286">
        <f>data!AK93</f>
        <v>0</v>
      </c>
    </row>
    <row r="160" spans="1:9" ht="20.149999999999999" customHeight="1" x14ac:dyDescent="0.35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31.635080711126374</v>
      </c>
      <c r="F160" s="293">
        <f>data!AH94</f>
        <v>0</v>
      </c>
      <c r="G160" s="293">
        <f>data!AI94</f>
        <v>0</v>
      </c>
      <c r="H160" s="293">
        <f>data!AJ94</f>
        <v>0</v>
      </c>
      <c r="I160" s="293">
        <f>data!AK94</f>
        <v>0</v>
      </c>
    </row>
    <row r="161" spans="1:9" ht="20.149999999999999" customHeight="1" x14ac:dyDescent="0.35">
      <c r="A161" s="279" t="s">
        <v>970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49999999999999" customHeight="1" x14ac:dyDescent="0.35">
      <c r="D162" s="282"/>
      <c r="I162" s="283" t="s">
        <v>1004</v>
      </c>
    </row>
    <row r="163" spans="1:9" ht="20.149999999999999" customHeight="1" x14ac:dyDescent="0.35">
      <c r="A163" s="282"/>
    </row>
    <row r="164" spans="1:9" ht="20.149999999999999" customHeight="1" x14ac:dyDescent="0.35">
      <c r="A164" s="284" t="str">
        <f>"Hospital: "&amp;data!C98</f>
        <v>Hospital: Public Hospital District No 1 of Mason County, WA, DBA Mason Health</v>
      </c>
      <c r="G164" s="285"/>
      <c r="H164" s="284" t="str">
        <f>"FYE: "&amp;data!C96</f>
        <v>FYE: 12/31/2022</v>
      </c>
    </row>
    <row r="165" spans="1:9" ht="20.149999999999999" customHeight="1" x14ac:dyDescent="0.35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49999999999999" customHeight="1" x14ac:dyDescent="0.35">
      <c r="A166" s="289">
        <v>2</v>
      </c>
      <c r="B166" s="290" t="s">
        <v>972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1005</v>
      </c>
      <c r="H166" s="292" t="s">
        <v>139</v>
      </c>
      <c r="I166" s="292" t="s">
        <v>140</v>
      </c>
    </row>
    <row r="167" spans="1:9" ht="20.149999999999999" customHeight="1" x14ac:dyDescent="0.35">
      <c r="A167" s="289"/>
      <c r="B167" s="290"/>
      <c r="C167" s="292" t="s">
        <v>184</v>
      </c>
      <c r="D167" s="292" t="s">
        <v>184</v>
      </c>
      <c r="E167" s="292" t="s">
        <v>1006</v>
      </c>
      <c r="F167" s="292" t="s">
        <v>194</v>
      </c>
      <c r="G167" s="292" t="s">
        <v>133</v>
      </c>
      <c r="H167" s="291" t="s">
        <v>1007</v>
      </c>
      <c r="I167" s="292" t="s">
        <v>181</v>
      </c>
    </row>
    <row r="168" spans="1:9" ht="20.149999999999999" customHeight="1" x14ac:dyDescent="0.35">
      <c r="A168" s="278">
        <v>3</v>
      </c>
      <c r="B168" s="286" t="s">
        <v>976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49999999999999" customHeight="1" x14ac:dyDescent="0.35">
      <c r="A169" s="278">
        <v>4</v>
      </c>
      <c r="B169" s="286" t="s">
        <v>246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90556</v>
      </c>
      <c r="H169" s="286">
        <f>data!AQ59</f>
        <v>0</v>
      </c>
      <c r="I169" s="286">
        <f>data!AR59</f>
        <v>0</v>
      </c>
    </row>
    <row r="170" spans="1:9" ht="20.149999999999999" customHeight="1" x14ac:dyDescent="0.35">
      <c r="A170" s="278">
        <v>5</v>
      </c>
      <c r="B170" s="286" t="s">
        <v>247</v>
      </c>
      <c r="C170" s="293">
        <f>data!AL60</f>
        <v>0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159.31309956728023</v>
      </c>
      <c r="H170" s="293">
        <f>data!AQ60</f>
        <v>0</v>
      </c>
      <c r="I170" s="293">
        <f>data!AR60</f>
        <v>0</v>
      </c>
    </row>
    <row r="171" spans="1:9" ht="20.149999999999999" customHeight="1" x14ac:dyDescent="0.35">
      <c r="A171" s="278">
        <v>6</v>
      </c>
      <c r="B171" s="286" t="s">
        <v>248</v>
      </c>
      <c r="C171" s="286">
        <f>data!AL61</f>
        <v>0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17655396.73</v>
      </c>
      <c r="H171" s="286">
        <f>data!AQ61</f>
        <v>0</v>
      </c>
      <c r="I171" s="286">
        <f>data!AR61</f>
        <v>0</v>
      </c>
    </row>
    <row r="172" spans="1:9" ht="20.149999999999999" customHeight="1" x14ac:dyDescent="0.35">
      <c r="A172" s="278">
        <v>7</v>
      </c>
      <c r="B172" s="286" t="s">
        <v>9</v>
      </c>
      <c r="C172" s="286">
        <f>data!AL62</f>
        <v>0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5458445</v>
      </c>
      <c r="H172" s="286">
        <f>data!AQ62</f>
        <v>0</v>
      </c>
      <c r="I172" s="286">
        <f>data!AR62</f>
        <v>0</v>
      </c>
    </row>
    <row r="173" spans="1:9" ht="20.149999999999999" customHeight="1" x14ac:dyDescent="0.35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1587673.0699999998</v>
      </c>
      <c r="H173" s="286">
        <f>data!AQ63</f>
        <v>0</v>
      </c>
      <c r="I173" s="286">
        <f>data!AR63</f>
        <v>0</v>
      </c>
    </row>
    <row r="174" spans="1:9" ht="20.149999999999999" customHeight="1" x14ac:dyDescent="0.35">
      <c r="A174" s="278">
        <v>9</v>
      </c>
      <c r="B174" s="286" t="s">
        <v>250</v>
      </c>
      <c r="C174" s="286">
        <f>data!AL64</f>
        <v>0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1128107.4000000001</v>
      </c>
      <c r="H174" s="286">
        <f>data!AQ64</f>
        <v>0</v>
      </c>
      <c r="I174" s="286">
        <f>data!AR64</f>
        <v>0</v>
      </c>
    </row>
    <row r="175" spans="1:9" ht="20.149999999999999" customHeight="1" x14ac:dyDescent="0.35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21424.32</v>
      </c>
      <c r="H175" s="286">
        <f>data!AQ65</f>
        <v>0</v>
      </c>
      <c r="I175" s="286">
        <f>data!AR65</f>
        <v>0</v>
      </c>
    </row>
    <row r="176" spans="1:9" ht="20.149999999999999" customHeight="1" x14ac:dyDescent="0.35">
      <c r="A176" s="278">
        <v>11</v>
      </c>
      <c r="B176" s="286" t="s">
        <v>498</v>
      </c>
      <c r="C176" s="286">
        <f>data!AL66</f>
        <v>0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281662.35000000003</v>
      </c>
      <c r="H176" s="286">
        <f>data!AQ66</f>
        <v>0</v>
      </c>
      <c r="I176" s="286">
        <f>data!AR66</f>
        <v>0</v>
      </c>
    </row>
    <row r="177" spans="1:9" ht="20.149999999999999" customHeight="1" x14ac:dyDescent="0.35">
      <c r="A177" s="278">
        <v>12</v>
      </c>
      <c r="B177" s="286" t="s">
        <v>11</v>
      </c>
      <c r="C177" s="286">
        <f>data!AL67</f>
        <v>0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2920239</v>
      </c>
      <c r="H177" s="286">
        <f>data!AQ67</f>
        <v>0</v>
      </c>
      <c r="I177" s="286">
        <f>data!AR67</f>
        <v>0</v>
      </c>
    </row>
    <row r="178" spans="1:9" ht="20.149999999999999" customHeight="1" x14ac:dyDescent="0.35">
      <c r="A178" s="278">
        <v>13</v>
      </c>
      <c r="B178" s="286" t="s">
        <v>977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43293.68</v>
      </c>
      <c r="H178" s="286">
        <f>data!AQ68</f>
        <v>0</v>
      </c>
      <c r="I178" s="286">
        <f>data!AR68</f>
        <v>0</v>
      </c>
    </row>
    <row r="179" spans="1:9" ht="20.149999999999999" customHeight="1" x14ac:dyDescent="0.35">
      <c r="A179" s="278">
        <v>14</v>
      </c>
      <c r="B179" s="286" t="s">
        <v>978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461054.57</v>
      </c>
      <c r="H179" s="286">
        <f>data!AQ69</f>
        <v>0</v>
      </c>
      <c r="I179" s="286">
        <f>data!AR69</f>
        <v>0</v>
      </c>
    </row>
    <row r="180" spans="1:9" ht="20.149999999999999" customHeight="1" x14ac:dyDescent="0.35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49999999999999" customHeight="1" x14ac:dyDescent="0.35">
      <c r="A181" s="278">
        <v>16</v>
      </c>
      <c r="B181" s="294" t="s">
        <v>979</v>
      </c>
      <c r="C181" s="286">
        <f>data!AL85</f>
        <v>0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29485748.640000001</v>
      </c>
      <c r="H181" s="286">
        <f>data!AQ85</f>
        <v>0</v>
      </c>
      <c r="I181" s="286">
        <f>data!AR85</f>
        <v>0</v>
      </c>
    </row>
    <row r="182" spans="1:9" ht="20.149999999999999" customHeight="1" x14ac:dyDescent="0.35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49999999999999" customHeight="1" x14ac:dyDescent="0.35">
      <c r="A183" s="278">
        <v>18</v>
      </c>
      <c r="B183" s="286" t="s">
        <v>980</v>
      </c>
      <c r="C183" s="294">
        <f>+data!M703</f>
        <v>0</v>
      </c>
      <c r="D183" s="294">
        <f>+data!M704</f>
        <v>0</v>
      </c>
      <c r="E183" s="294">
        <f>+data!M705</f>
        <v>0</v>
      </c>
      <c r="F183" s="294">
        <f>+data!M706</f>
        <v>0</v>
      </c>
      <c r="G183" s="294">
        <f>+data!M707</f>
        <v>7701182</v>
      </c>
      <c r="H183" s="294">
        <f>+data!M708</f>
        <v>0</v>
      </c>
      <c r="I183" s="294">
        <f>+data!M709</f>
        <v>0</v>
      </c>
    </row>
    <row r="184" spans="1:9" ht="20.149999999999999" customHeight="1" x14ac:dyDescent="0.35">
      <c r="A184" s="278">
        <v>19</v>
      </c>
      <c r="B184" s="294" t="s">
        <v>981</v>
      </c>
      <c r="C184" s="286">
        <f>data!AL87</f>
        <v>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2995957.52</v>
      </c>
      <c r="H184" s="286">
        <f>data!AQ87</f>
        <v>0</v>
      </c>
      <c r="I184" s="286">
        <f>data!AR87</f>
        <v>0</v>
      </c>
    </row>
    <row r="185" spans="1:9" ht="20.149999999999999" customHeight="1" x14ac:dyDescent="0.35">
      <c r="A185" s="278">
        <v>20</v>
      </c>
      <c r="B185" s="294" t="s">
        <v>982</v>
      </c>
      <c r="C185" s="286">
        <f>data!AL88</f>
        <v>0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33511910.210000001</v>
      </c>
      <c r="H185" s="286">
        <f>data!AQ88</f>
        <v>0</v>
      </c>
      <c r="I185" s="286">
        <f>data!AR88</f>
        <v>0</v>
      </c>
    </row>
    <row r="186" spans="1:9" ht="20.149999999999999" customHeight="1" x14ac:dyDescent="0.35">
      <c r="A186" s="278">
        <v>21</v>
      </c>
      <c r="B186" s="294" t="s">
        <v>983</v>
      </c>
      <c r="C186" s="286">
        <f>data!AL89</f>
        <v>0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36507867.730000004</v>
      </c>
      <c r="H186" s="286">
        <f>data!AQ89</f>
        <v>0</v>
      </c>
      <c r="I186" s="286">
        <f>data!AR89</f>
        <v>0</v>
      </c>
    </row>
    <row r="187" spans="1:9" ht="20.149999999999999" customHeight="1" x14ac:dyDescent="0.35">
      <c r="A187" s="278" t="s">
        <v>984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49999999999999" customHeight="1" x14ac:dyDescent="0.35">
      <c r="A188" s="278">
        <v>22</v>
      </c>
      <c r="B188" s="286" t="s">
        <v>985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78245.09</v>
      </c>
      <c r="H188" s="286">
        <f>data!AQ90</f>
        <v>0</v>
      </c>
      <c r="I188" s="286">
        <f>data!AR90</f>
        <v>0</v>
      </c>
    </row>
    <row r="189" spans="1:9" ht="20.149999999999999" customHeight="1" x14ac:dyDescent="0.35">
      <c r="A189" s="278">
        <v>23</v>
      </c>
      <c r="B189" s="286" t="s">
        <v>986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49999999999999" customHeight="1" x14ac:dyDescent="0.35">
      <c r="A190" s="278">
        <v>24</v>
      </c>
      <c r="B190" s="286" t="s">
        <v>987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78245.09</v>
      </c>
      <c r="H190" s="286">
        <f>data!AQ92</f>
        <v>0</v>
      </c>
      <c r="I190" s="286">
        <f>data!AR92</f>
        <v>0</v>
      </c>
    </row>
    <row r="191" spans="1:9" ht="20.149999999999999" customHeight="1" x14ac:dyDescent="0.35">
      <c r="A191" s="278">
        <v>25</v>
      </c>
      <c r="B191" s="286" t="s">
        <v>988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49999999999999" customHeight="1" x14ac:dyDescent="0.35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ht="20.149999999999999" customHeight="1" x14ac:dyDescent="0.35">
      <c r="A193" s="279" t="s">
        <v>970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49999999999999" customHeight="1" x14ac:dyDescent="0.35">
      <c r="D194" s="282"/>
      <c r="I194" s="283" t="s">
        <v>1008</v>
      </c>
    </row>
    <row r="195" spans="1:9" ht="20.149999999999999" customHeight="1" x14ac:dyDescent="0.35">
      <c r="A195" s="282"/>
    </row>
    <row r="196" spans="1:9" ht="20.149999999999999" customHeight="1" x14ac:dyDescent="0.35">
      <c r="A196" s="284" t="str">
        <f>"Hospital: "&amp;data!C98</f>
        <v>Hospital: Public Hospital District No 1 of Mason County, WA, DBA Mason Health</v>
      </c>
      <c r="G196" s="285"/>
      <c r="H196" s="284" t="str">
        <f>"FYE: "&amp;data!C96</f>
        <v>FYE: 12/31/2022</v>
      </c>
    </row>
    <row r="197" spans="1:9" ht="20.149999999999999" customHeight="1" x14ac:dyDescent="0.35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49999999999999" customHeight="1" x14ac:dyDescent="0.35">
      <c r="A198" s="289">
        <v>2</v>
      </c>
      <c r="B198" s="290" t="s">
        <v>972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1009</v>
      </c>
      <c r="H198" s="292" t="s">
        <v>146</v>
      </c>
      <c r="I198" s="292"/>
    </row>
    <row r="199" spans="1:9" ht="20.149999999999999" customHeight="1" x14ac:dyDescent="0.35">
      <c r="A199" s="289"/>
      <c r="B199" s="290"/>
      <c r="C199" s="292" t="s">
        <v>141</v>
      </c>
      <c r="D199" s="292" t="s">
        <v>243</v>
      </c>
      <c r="E199" s="292" t="s">
        <v>1010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49999999999999" customHeight="1" x14ac:dyDescent="0.35">
      <c r="A200" s="278">
        <v>3</v>
      </c>
      <c r="B200" s="286" t="s">
        <v>976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49999999999999" customHeight="1" x14ac:dyDescent="0.35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33431.114391143914</v>
      </c>
    </row>
    <row r="202" spans="1:9" ht="20.149999999999999" customHeight="1" x14ac:dyDescent="0.35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4.5009676057692305</v>
      </c>
      <c r="G202" s="293">
        <f>data!AW60</f>
        <v>0</v>
      </c>
      <c r="H202" s="293">
        <f>data!AX60</f>
        <v>0</v>
      </c>
      <c r="I202" s="293">
        <f>data!AY60</f>
        <v>17.090655161456045</v>
      </c>
    </row>
    <row r="203" spans="1:9" ht="20.149999999999999" customHeight="1" x14ac:dyDescent="0.35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372072.87000000005</v>
      </c>
      <c r="G203" s="286">
        <f>data!AW61</f>
        <v>0</v>
      </c>
      <c r="H203" s="286">
        <f>data!AX61</f>
        <v>0</v>
      </c>
      <c r="I203" s="286">
        <f>data!AY61</f>
        <v>854813.09</v>
      </c>
    </row>
    <row r="204" spans="1:9" ht="20.149999999999999" customHeight="1" x14ac:dyDescent="0.35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156463</v>
      </c>
      <c r="G204" s="286">
        <f>data!AW62</f>
        <v>0</v>
      </c>
      <c r="H204" s="286">
        <f>data!AX62</f>
        <v>0</v>
      </c>
      <c r="I204" s="286">
        <f>data!AY62</f>
        <v>384769</v>
      </c>
    </row>
    <row r="205" spans="1:9" ht="20.149999999999999" customHeight="1" x14ac:dyDescent="0.35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ht="20.149999999999999" customHeight="1" x14ac:dyDescent="0.35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8538.0499999999975</v>
      </c>
      <c r="G206" s="286">
        <f>data!AW64</f>
        <v>0</v>
      </c>
      <c r="H206" s="286">
        <f>data!AX64</f>
        <v>0</v>
      </c>
      <c r="I206" s="286">
        <f>data!AY64</f>
        <v>777344.77999999991</v>
      </c>
    </row>
    <row r="207" spans="1:9" ht="20.149999999999999" customHeight="1" x14ac:dyDescent="0.35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49999999999999" customHeight="1" x14ac:dyDescent="0.35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3066</v>
      </c>
      <c r="G208" s="286">
        <f>data!AW66</f>
        <v>0</v>
      </c>
      <c r="H208" s="286">
        <f>data!AX66</f>
        <v>0</v>
      </c>
      <c r="I208" s="286">
        <f>data!AY66</f>
        <v>47904.91</v>
      </c>
    </row>
    <row r="209" spans="1:9" ht="20.149999999999999" customHeight="1" x14ac:dyDescent="0.35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8897</v>
      </c>
      <c r="G209" s="286">
        <f>data!AW67</f>
        <v>0</v>
      </c>
      <c r="H209" s="286">
        <f>data!AX67</f>
        <v>0</v>
      </c>
      <c r="I209" s="286">
        <f>data!AY67</f>
        <v>167360</v>
      </c>
    </row>
    <row r="210" spans="1:9" ht="20.149999999999999" customHeight="1" x14ac:dyDescent="0.35">
      <c r="A210" s="278">
        <v>13</v>
      </c>
      <c r="B210" s="286" t="s">
        <v>977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ht="20.149999999999999" customHeight="1" x14ac:dyDescent="0.35">
      <c r="A211" s="278">
        <v>14</v>
      </c>
      <c r="B211" s="286" t="s">
        <v>978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7868.9799999999987</v>
      </c>
      <c r="G211" s="286">
        <f>data!AW69</f>
        <v>0</v>
      </c>
      <c r="H211" s="286">
        <f>data!AX69</f>
        <v>0</v>
      </c>
      <c r="I211" s="286">
        <f>data!AY69</f>
        <v>13497.19</v>
      </c>
    </row>
    <row r="212" spans="1:9" ht="20.149999999999999" customHeight="1" x14ac:dyDescent="0.35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-370875.07</v>
      </c>
    </row>
    <row r="213" spans="1:9" ht="20.149999999999999" customHeight="1" x14ac:dyDescent="0.35">
      <c r="A213" s="278">
        <v>16</v>
      </c>
      <c r="B213" s="294" t="s">
        <v>979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556905.90000000014</v>
      </c>
      <c r="G213" s="286">
        <f>data!AW85</f>
        <v>0</v>
      </c>
      <c r="H213" s="286">
        <f>data!AX85</f>
        <v>0</v>
      </c>
      <c r="I213" s="286">
        <f>data!AY85</f>
        <v>1874813.8999999992</v>
      </c>
    </row>
    <row r="214" spans="1:9" ht="20.149999999999999" customHeight="1" x14ac:dyDescent="0.35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49999999999999" customHeight="1" x14ac:dyDescent="0.35">
      <c r="A215" s="278">
        <v>18</v>
      </c>
      <c r="B215" s="286" t="s">
        <v>980</v>
      </c>
      <c r="C215" s="294">
        <f>+data!M710</f>
        <v>0</v>
      </c>
      <c r="D215" s="294">
        <f>+data!M711</f>
        <v>0</v>
      </c>
      <c r="E215" s="294">
        <f>+data!M712</f>
        <v>0</v>
      </c>
      <c r="F215" s="294">
        <f>+data!M713</f>
        <v>100174</v>
      </c>
      <c r="G215" s="300"/>
      <c r="H215" s="286"/>
      <c r="I215" s="286"/>
    </row>
    <row r="216" spans="1:9" ht="20.149999999999999" customHeight="1" x14ac:dyDescent="0.35">
      <c r="A216" s="278">
        <v>19</v>
      </c>
      <c r="B216" s="294" t="s">
        <v>981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49999999999999" customHeight="1" x14ac:dyDescent="0.35">
      <c r="A217" s="278">
        <v>20</v>
      </c>
      <c r="B217" s="294" t="s">
        <v>982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341114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49999999999999" customHeight="1" x14ac:dyDescent="0.35">
      <c r="A218" s="278">
        <v>21</v>
      </c>
      <c r="B218" s="294" t="s">
        <v>983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341114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49999999999999" customHeight="1" x14ac:dyDescent="0.35">
      <c r="A219" s="278" t="s">
        <v>984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49999999999999" customHeight="1" x14ac:dyDescent="0.35">
      <c r="A220" s="278">
        <v>22</v>
      </c>
      <c r="B220" s="286" t="s">
        <v>985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267.94</v>
      </c>
      <c r="G220" s="286">
        <f>data!AW90</f>
        <v>0</v>
      </c>
      <c r="H220" s="286">
        <f>data!AX90</f>
        <v>0</v>
      </c>
      <c r="I220" s="286">
        <f>data!AY90</f>
        <v>5039.92</v>
      </c>
    </row>
    <row r="221" spans="1:9" ht="20.149999999999999" customHeight="1" x14ac:dyDescent="0.35">
      <c r="A221" s="278">
        <v>23</v>
      </c>
      <c r="B221" s="286" t="s">
        <v>986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49999999999999" customHeight="1" x14ac:dyDescent="0.35">
      <c r="A222" s="278">
        <v>24</v>
      </c>
      <c r="B222" s="286" t="s">
        <v>987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267.94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49999999999999" customHeight="1" x14ac:dyDescent="0.35">
      <c r="A223" s="278">
        <v>25</v>
      </c>
      <c r="B223" s="286" t="s">
        <v>988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49999999999999" customHeight="1" x14ac:dyDescent="0.35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49999999999999" customHeight="1" x14ac:dyDescent="0.35">
      <c r="A225" s="279" t="s">
        <v>970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49999999999999" customHeight="1" x14ac:dyDescent="0.35">
      <c r="D226" s="282"/>
      <c r="I226" s="283" t="s">
        <v>1011</v>
      </c>
    </row>
    <row r="227" spans="1:9" ht="20.149999999999999" customHeight="1" x14ac:dyDescent="0.35">
      <c r="A227" s="282"/>
    </row>
    <row r="228" spans="1:9" ht="20.149999999999999" customHeight="1" x14ac:dyDescent="0.35">
      <c r="A228" s="284" t="str">
        <f>"Hospital: "&amp;data!C98</f>
        <v>Hospital: Public Hospital District No 1 of Mason County, WA, DBA Mason Health</v>
      </c>
      <c r="G228" s="285"/>
      <c r="H228" s="284" t="str">
        <f>"FYE: "&amp;data!C96</f>
        <v>FYE: 12/31/2022</v>
      </c>
    </row>
    <row r="229" spans="1:9" ht="20.149999999999999" customHeight="1" x14ac:dyDescent="0.35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49999999999999" customHeight="1" x14ac:dyDescent="0.35">
      <c r="A230" s="289">
        <v>2</v>
      </c>
      <c r="B230" s="290" t="s">
        <v>972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49999999999999" customHeight="1" x14ac:dyDescent="0.35">
      <c r="A231" s="289"/>
      <c r="B231" s="290"/>
      <c r="C231" s="292" t="s">
        <v>148</v>
      </c>
      <c r="D231" s="292" t="s">
        <v>201</v>
      </c>
      <c r="E231" s="292" t="s">
        <v>1012</v>
      </c>
      <c r="F231" s="292" t="s">
        <v>1013</v>
      </c>
      <c r="G231" s="292" t="s">
        <v>151</v>
      </c>
      <c r="H231" s="292" t="s">
        <v>152</v>
      </c>
      <c r="I231" s="292" t="s">
        <v>153</v>
      </c>
    </row>
    <row r="232" spans="1:9" ht="20.149999999999999" customHeight="1" x14ac:dyDescent="0.35">
      <c r="A232" s="278">
        <v>3</v>
      </c>
      <c r="B232" s="286" t="s">
        <v>976</v>
      </c>
      <c r="C232" s="288" t="s">
        <v>1014</v>
      </c>
      <c r="D232" s="288" t="s">
        <v>1015</v>
      </c>
      <c r="E232" s="298"/>
      <c r="F232" s="298"/>
      <c r="G232" s="298"/>
      <c r="H232" s="288" t="s">
        <v>245</v>
      </c>
      <c r="I232" s="298"/>
    </row>
    <row r="233" spans="1:9" ht="20.149999999999999" customHeight="1" x14ac:dyDescent="0.35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241487</v>
      </c>
      <c r="I233" s="298"/>
    </row>
    <row r="234" spans="1:9" ht="20.149999999999999" customHeight="1" x14ac:dyDescent="0.35">
      <c r="A234" s="278">
        <v>5</v>
      </c>
      <c r="B234" s="286" t="s">
        <v>247</v>
      </c>
      <c r="C234" s="293">
        <f>data!AZ60</f>
        <v>0</v>
      </c>
      <c r="D234" s="293">
        <f>data!BA60</f>
        <v>1.0247097870879123</v>
      </c>
      <c r="E234" s="293">
        <f>data!BB60</f>
        <v>0</v>
      </c>
      <c r="F234" s="293">
        <f>data!BC60</f>
        <v>0</v>
      </c>
      <c r="G234" s="293">
        <f>data!BD60</f>
        <v>7.2392514958791221</v>
      </c>
      <c r="H234" s="293">
        <f>data!BE60</f>
        <v>11.77357475</v>
      </c>
      <c r="I234" s="293">
        <f>data!BF60</f>
        <v>29.672183696428572</v>
      </c>
    </row>
    <row r="235" spans="1:9" ht="20.149999999999999" customHeight="1" x14ac:dyDescent="0.35">
      <c r="A235" s="278">
        <v>6</v>
      </c>
      <c r="B235" s="286" t="s">
        <v>248</v>
      </c>
      <c r="C235" s="286">
        <f>data!AZ61</f>
        <v>0</v>
      </c>
      <c r="D235" s="286">
        <f>data!BA61</f>
        <v>51483.609999999993</v>
      </c>
      <c r="E235" s="286">
        <f>data!BB61</f>
        <v>0</v>
      </c>
      <c r="F235" s="286">
        <f>data!BC61</f>
        <v>0</v>
      </c>
      <c r="G235" s="286">
        <f>data!BD61</f>
        <v>495027.31999999995</v>
      </c>
      <c r="H235" s="286">
        <f>data!BE61</f>
        <v>862430.63</v>
      </c>
      <c r="I235" s="286">
        <f>data!BF61</f>
        <v>1447512.07</v>
      </c>
    </row>
    <row r="236" spans="1:9" ht="20.149999999999999" customHeight="1" x14ac:dyDescent="0.35">
      <c r="A236" s="278">
        <v>7</v>
      </c>
      <c r="B236" s="286" t="s">
        <v>9</v>
      </c>
      <c r="C236" s="286">
        <f>data!AZ62</f>
        <v>0</v>
      </c>
      <c r="D236" s="286">
        <f>data!BA62</f>
        <v>48915</v>
      </c>
      <c r="E236" s="286">
        <f>data!BB62</f>
        <v>0</v>
      </c>
      <c r="F236" s="286">
        <f>data!BC62</f>
        <v>0</v>
      </c>
      <c r="G236" s="286">
        <f>data!BD62</f>
        <v>172238</v>
      </c>
      <c r="H236" s="286">
        <f>data!BE62</f>
        <v>335073</v>
      </c>
      <c r="I236" s="286">
        <f>data!BF62</f>
        <v>646749</v>
      </c>
    </row>
    <row r="237" spans="1:9" ht="20.149999999999999" customHeight="1" x14ac:dyDescent="0.35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2545.4299999999998</v>
      </c>
      <c r="H237" s="286">
        <f>data!BE63</f>
        <v>0</v>
      </c>
      <c r="I237" s="286">
        <f>data!BF63</f>
        <v>0</v>
      </c>
    </row>
    <row r="238" spans="1:9" ht="20.149999999999999" customHeight="1" x14ac:dyDescent="0.35">
      <c r="A238" s="278">
        <v>9</v>
      </c>
      <c r="B238" s="286" t="s">
        <v>250</v>
      </c>
      <c r="C238" s="286">
        <f>data!AZ64</f>
        <v>0</v>
      </c>
      <c r="D238" s="286">
        <f>data!BA64</f>
        <v>24905.52</v>
      </c>
      <c r="E238" s="286">
        <f>data!BB64</f>
        <v>0</v>
      </c>
      <c r="F238" s="286">
        <f>data!BC64</f>
        <v>0</v>
      </c>
      <c r="G238" s="286">
        <f>data!BD64</f>
        <v>106892.28</v>
      </c>
      <c r="H238" s="286">
        <f>data!BE64</f>
        <v>80818.13</v>
      </c>
      <c r="I238" s="286">
        <f>data!BF64</f>
        <v>217290.98</v>
      </c>
    </row>
    <row r="239" spans="1:9" ht="20.149999999999999" customHeight="1" x14ac:dyDescent="0.35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3062.8800000000006</v>
      </c>
      <c r="H239" s="286">
        <f>data!BE65</f>
        <v>771044.92999999993</v>
      </c>
      <c r="I239" s="286">
        <f>data!BF65</f>
        <v>179680.90000000002</v>
      </c>
    </row>
    <row r="240" spans="1:9" ht="20.149999999999999" customHeight="1" x14ac:dyDescent="0.35">
      <c r="A240" s="278">
        <v>11</v>
      </c>
      <c r="B240" s="286" t="s">
        <v>498</v>
      </c>
      <c r="C240" s="286">
        <f>data!AZ66</f>
        <v>0</v>
      </c>
      <c r="D240" s="286">
        <f>data!BA66</f>
        <v>165180.48000000001</v>
      </c>
      <c r="E240" s="286">
        <f>data!BB66</f>
        <v>0</v>
      </c>
      <c r="F240" s="286">
        <f>data!BC66</f>
        <v>0</v>
      </c>
      <c r="G240" s="286">
        <f>data!BD66</f>
        <v>40173.99</v>
      </c>
      <c r="H240" s="286">
        <f>data!BE66</f>
        <v>837186.82</v>
      </c>
      <c r="I240" s="286">
        <f>data!BF66</f>
        <v>151888.18</v>
      </c>
    </row>
    <row r="241" spans="1:9" ht="20.149999999999999" customHeight="1" x14ac:dyDescent="0.35">
      <c r="A241" s="278">
        <v>12</v>
      </c>
      <c r="B241" s="286" t="s">
        <v>11</v>
      </c>
      <c r="C241" s="286">
        <f>data!AZ67</f>
        <v>0</v>
      </c>
      <c r="D241" s="286">
        <f>data!BA67</f>
        <v>48509</v>
      </c>
      <c r="E241" s="286">
        <f>data!BB67</f>
        <v>0</v>
      </c>
      <c r="F241" s="286">
        <f>data!BC67</f>
        <v>0</v>
      </c>
      <c r="G241" s="286">
        <f>data!BD67</f>
        <v>112980</v>
      </c>
      <c r="H241" s="286">
        <f>data!BE67</f>
        <v>671271</v>
      </c>
      <c r="I241" s="286">
        <f>data!BF67</f>
        <v>76210</v>
      </c>
    </row>
    <row r="242" spans="1:9" ht="20.149999999999999" customHeight="1" x14ac:dyDescent="0.35">
      <c r="A242" s="278">
        <v>13</v>
      </c>
      <c r="B242" s="286" t="s">
        <v>977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25397.74</v>
      </c>
      <c r="H242" s="286">
        <f>data!BE68</f>
        <v>3114.1199999999953</v>
      </c>
      <c r="I242" s="286">
        <f>data!BF68</f>
        <v>0</v>
      </c>
    </row>
    <row r="243" spans="1:9" ht="20.149999999999999" customHeight="1" x14ac:dyDescent="0.35">
      <c r="A243" s="278">
        <v>14</v>
      </c>
      <c r="B243" s="286" t="s">
        <v>978</v>
      </c>
      <c r="C243" s="286">
        <f>data!AZ69</f>
        <v>0</v>
      </c>
      <c r="D243" s="286">
        <f>data!BA69</f>
        <v>0</v>
      </c>
      <c r="E243" s="286">
        <f>data!BB69</f>
        <v>0</v>
      </c>
      <c r="F243" s="286">
        <f>data!BC69</f>
        <v>0</v>
      </c>
      <c r="G243" s="286">
        <f>data!BD69</f>
        <v>-64313.790000000008</v>
      </c>
      <c r="H243" s="286">
        <f>data!BE69</f>
        <v>23294.83</v>
      </c>
      <c r="I243" s="286">
        <f>data!BF69</f>
        <v>7762.0400000000009</v>
      </c>
    </row>
    <row r="244" spans="1:9" ht="20.149999999999999" customHeight="1" x14ac:dyDescent="0.35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4.26</v>
      </c>
      <c r="H244" s="286">
        <f>-data!BE84</f>
        <v>0</v>
      </c>
      <c r="I244" s="286">
        <f>-data!BF84</f>
        <v>0</v>
      </c>
    </row>
    <row r="245" spans="1:9" ht="20.149999999999999" customHeight="1" x14ac:dyDescent="0.35">
      <c r="A245" s="278">
        <v>16</v>
      </c>
      <c r="B245" s="294" t="s">
        <v>979</v>
      </c>
      <c r="C245" s="286">
        <f>data!AZ85</f>
        <v>0</v>
      </c>
      <c r="D245" s="286">
        <f>data!BA85</f>
        <v>338993.61</v>
      </c>
      <c r="E245" s="286">
        <f>data!BB85</f>
        <v>0</v>
      </c>
      <c r="F245" s="286">
        <f>data!BC85</f>
        <v>0</v>
      </c>
      <c r="G245" s="286">
        <f>data!BD85</f>
        <v>894008.11</v>
      </c>
      <c r="H245" s="286">
        <f>data!BE85</f>
        <v>3584233.46</v>
      </c>
      <c r="I245" s="286">
        <f>data!BF85</f>
        <v>2727093.1700000004</v>
      </c>
    </row>
    <row r="246" spans="1:9" ht="20.149999999999999" customHeight="1" x14ac:dyDescent="0.35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49999999999999" customHeight="1" x14ac:dyDescent="0.35">
      <c r="A247" s="278">
        <v>18</v>
      </c>
      <c r="B247" s="286" t="s">
        <v>980</v>
      </c>
      <c r="C247" s="286"/>
      <c r="D247" s="286"/>
      <c r="E247" s="286"/>
      <c r="F247" s="286"/>
      <c r="G247" s="286"/>
      <c r="H247" s="286"/>
      <c r="I247" s="286"/>
    </row>
    <row r="248" spans="1:9" ht="20.149999999999999" customHeight="1" x14ac:dyDescent="0.35">
      <c r="A248" s="278">
        <v>19</v>
      </c>
      <c r="B248" s="294" t="s">
        <v>981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49999999999999" customHeight="1" x14ac:dyDescent="0.35">
      <c r="A249" s="278">
        <v>20</v>
      </c>
      <c r="B249" s="294" t="s">
        <v>982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49999999999999" customHeight="1" x14ac:dyDescent="0.35">
      <c r="A250" s="278">
        <v>21</v>
      </c>
      <c r="B250" s="294" t="s">
        <v>983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49999999999999" customHeight="1" x14ac:dyDescent="0.35">
      <c r="A251" s="278" t="s">
        <v>984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49999999999999" customHeight="1" x14ac:dyDescent="0.35">
      <c r="A252" s="278">
        <v>22</v>
      </c>
      <c r="B252" s="286" t="s">
        <v>985</v>
      </c>
      <c r="C252" s="302">
        <f>data!AZ90</f>
        <v>0</v>
      </c>
      <c r="D252" s="302">
        <f>data!BA90</f>
        <v>1460.81</v>
      </c>
      <c r="E252" s="302">
        <f>data!BB90</f>
        <v>0</v>
      </c>
      <c r="F252" s="302">
        <f>data!BC90</f>
        <v>0</v>
      </c>
      <c r="G252" s="302">
        <f>data!BD90</f>
        <v>3402.32</v>
      </c>
      <c r="H252" s="302">
        <f>data!BE90</f>
        <v>28164</v>
      </c>
      <c r="I252" s="302">
        <f>data!BF90</f>
        <v>2295</v>
      </c>
    </row>
    <row r="253" spans="1:9" ht="20.149999999999999" customHeight="1" x14ac:dyDescent="0.35">
      <c r="A253" s="278">
        <v>23</v>
      </c>
      <c r="B253" s="286" t="s">
        <v>986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49999999999999" customHeight="1" x14ac:dyDescent="0.35">
      <c r="A254" s="278">
        <v>24</v>
      </c>
      <c r="B254" s="286" t="s">
        <v>987</v>
      </c>
      <c r="C254" s="301" t="str">
        <f>IF(data!AZ78&gt;0,data!AZ78,"")</f>
        <v/>
      </c>
      <c r="D254" s="302">
        <f>data!BA92</f>
        <v>1460.81</v>
      </c>
      <c r="E254" s="302">
        <f>data!BB92</f>
        <v>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49999999999999" customHeight="1" x14ac:dyDescent="0.35">
      <c r="A255" s="278">
        <v>25</v>
      </c>
      <c r="B255" s="286" t="s">
        <v>988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49999999999999" customHeight="1" x14ac:dyDescent="0.35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49999999999999" customHeight="1" x14ac:dyDescent="0.35">
      <c r="A257" s="279" t="s">
        <v>970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49999999999999" customHeight="1" x14ac:dyDescent="0.35">
      <c r="D258" s="282"/>
      <c r="I258" s="283" t="s">
        <v>1016</v>
      </c>
    </row>
    <row r="259" spans="1:9" ht="20.149999999999999" customHeight="1" x14ac:dyDescent="0.35">
      <c r="A259" s="282"/>
    </row>
    <row r="260" spans="1:9" ht="20.149999999999999" customHeight="1" x14ac:dyDescent="0.35">
      <c r="A260" s="284" t="str">
        <f>"Hospital: "&amp;data!C98</f>
        <v>Hospital: Public Hospital District No 1 of Mason County, WA, DBA Mason Health</v>
      </c>
      <c r="G260" s="285"/>
      <c r="H260" s="284" t="str">
        <f>"FYE: "&amp;data!C96</f>
        <v>FYE: 12/31/2022</v>
      </c>
    </row>
    <row r="261" spans="1:9" ht="20.149999999999999" customHeight="1" x14ac:dyDescent="0.35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49999999999999" customHeight="1" x14ac:dyDescent="0.35">
      <c r="A262" s="289">
        <v>2</v>
      </c>
      <c r="B262" s="290" t="s">
        <v>972</v>
      </c>
      <c r="C262" s="292" t="s">
        <v>1017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49999999999999" customHeight="1" x14ac:dyDescent="0.35">
      <c r="A263" s="289"/>
      <c r="B263" s="290"/>
      <c r="C263" s="292" t="s">
        <v>1018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1019</v>
      </c>
    </row>
    <row r="264" spans="1:9" ht="20.149999999999999" customHeight="1" x14ac:dyDescent="0.35">
      <c r="A264" s="278">
        <v>3</v>
      </c>
      <c r="B264" s="286" t="s">
        <v>976</v>
      </c>
      <c r="C264" s="298"/>
      <c r="D264" s="298"/>
      <c r="E264" s="298"/>
      <c r="F264" s="298"/>
      <c r="G264" s="298"/>
      <c r="H264" s="298"/>
      <c r="I264" s="298"/>
    </row>
    <row r="265" spans="1:9" ht="20.149999999999999" customHeight="1" x14ac:dyDescent="0.35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49999999999999" customHeight="1" x14ac:dyDescent="0.35">
      <c r="A266" s="278">
        <v>5</v>
      </c>
      <c r="B266" s="286" t="s">
        <v>247</v>
      </c>
      <c r="C266" s="293">
        <f>data!BG60</f>
        <v>0</v>
      </c>
      <c r="D266" s="293">
        <f>data!BH60</f>
        <v>0</v>
      </c>
      <c r="E266" s="293">
        <f>data!BI60</f>
        <v>0</v>
      </c>
      <c r="F266" s="293">
        <f>data!BJ60</f>
        <v>6.3559991222527481</v>
      </c>
      <c r="G266" s="293">
        <f>data!BK60</f>
        <v>22.425194930631868</v>
      </c>
      <c r="H266" s="293">
        <f>data!BL60</f>
        <v>23.205958408653846</v>
      </c>
      <c r="I266" s="293">
        <f>data!BM60</f>
        <v>0</v>
      </c>
    </row>
    <row r="267" spans="1:9" ht="20.149999999999999" customHeight="1" x14ac:dyDescent="0.35">
      <c r="A267" s="278">
        <v>6</v>
      </c>
      <c r="B267" s="286" t="s">
        <v>248</v>
      </c>
      <c r="C267" s="286">
        <f>data!BG61</f>
        <v>0</v>
      </c>
      <c r="D267" s="286">
        <f>data!BH61</f>
        <v>0</v>
      </c>
      <c r="E267" s="286">
        <f>data!BI61</f>
        <v>0</v>
      </c>
      <c r="F267" s="286">
        <f>data!BJ61</f>
        <v>531935.87999999989</v>
      </c>
      <c r="G267" s="286">
        <f>data!BK61</f>
        <v>1344505.7799999998</v>
      </c>
      <c r="H267" s="286">
        <f>data!BL61</f>
        <v>1170967.01</v>
      </c>
      <c r="I267" s="286">
        <f>data!BM61</f>
        <v>0</v>
      </c>
    </row>
    <row r="268" spans="1:9" ht="20.149999999999999" customHeight="1" x14ac:dyDescent="0.35">
      <c r="A268" s="278">
        <v>7</v>
      </c>
      <c r="B268" s="286" t="s">
        <v>9</v>
      </c>
      <c r="C268" s="286">
        <f>data!BG62</f>
        <v>0</v>
      </c>
      <c r="D268" s="286">
        <f>data!BH62</f>
        <v>0</v>
      </c>
      <c r="E268" s="286">
        <f>data!BI62</f>
        <v>0</v>
      </c>
      <c r="F268" s="286">
        <f>data!BJ62</f>
        <v>216120</v>
      </c>
      <c r="G268" s="286">
        <f>data!BK62</f>
        <v>625647</v>
      </c>
      <c r="H268" s="286">
        <f>data!BL62</f>
        <v>527097</v>
      </c>
      <c r="I268" s="286">
        <f>data!BM62</f>
        <v>0</v>
      </c>
    </row>
    <row r="269" spans="1:9" ht="20.149999999999999" customHeight="1" x14ac:dyDescent="0.35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0</v>
      </c>
      <c r="G269" s="286">
        <f>data!BK63</f>
        <v>102504.24999999999</v>
      </c>
      <c r="H269" s="286">
        <f>data!BL63</f>
        <v>0</v>
      </c>
      <c r="I269" s="286">
        <f>data!BM63</f>
        <v>0</v>
      </c>
    </row>
    <row r="270" spans="1:9" ht="20.149999999999999" customHeight="1" x14ac:dyDescent="0.35">
      <c r="A270" s="278">
        <v>9</v>
      </c>
      <c r="B270" s="286" t="s">
        <v>250</v>
      </c>
      <c r="C270" s="286">
        <f>data!BG64</f>
        <v>0</v>
      </c>
      <c r="D270" s="286">
        <f>data!BH64</f>
        <v>376927.79000000004</v>
      </c>
      <c r="E270" s="286">
        <f>data!BI64</f>
        <v>0</v>
      </c>
      <c r="F270" s="286">
        <f>data!BJ64</f>
        <v>4467.55</v>
      </c>
      <c r="G270" s="286">
        <f>data!BK64</f>
        <v>18315.079999999998</v>
      </c>
      <c r="H270" s="286">
        <f>data!BL64</f>
        <v>20616.47</v>
      </c>
      <c r="I270" s="286">
        <f>data!BM64</f>
        <v>0</v>
      </c>
    </row>
    <row r="271" spans="1:9" ht="20.149999999999999" customHeight="1" x14ac:dyDescent="0.35">
      <c r="A271" s="278">
        <v>10</v>
      </c>
      <c r="B271" s="286" t="s">
        <v>497</v>
      </c>
      <c r="C271" s="286">
        <f>data!BG65</f>
        <v>0</v>
      </c>
      <c r="D271" s="286">
        <f>data!BH65</f>
        <v>239032.47000000003</v>
      </c>
      <c r="E271" s="286">
        <f>data!BI65</f>
        <v>0</v>
      </c>
      <c r="F271" s="286">
        <f>data!BJ65</f>
        <v>1056.01</v>
      </c>
      <c r="G271" s="286">
        <f>data!BK65</f>
        <v>670.24</v>
      </c>
      <c r="H271" s="286">
        <f>data!BL65</f>
        <v>0</v>
      </c>
      <c r="I271" s="286">
        <f>data!BM65</f>
        <v>0</v>
      </c>
    </row>
    <row r="272" spans="1:9" ht="20.149999999999999" customHeight="1" x14ac:dyDescent="0.35">
      <c r="A272" s="278">
        <v>11</v>
      </c>
      <c r="B272" s="286" t="s">
        <v>498</v>
      </c>
      <c r="C272" s="286">
        <f>data!BG66</f>
        <v>0</v>
      </c>
      <c r="D272" s="286">
        <f>data!BH66</f>
        <v>8402745.8399999999</v>
      </c>
      <c r="E272" s="286">
        <f>data!BI66</f>
        <v>0</v>
      </c>
      <c r="F272" s="286">
        <f>data!BJ66</f>
        <v>5217.0599999999977</v>
      </c>
      <c r="G272" s="286">
        <f>data!BK66</f>
        <v>408345.52999999997</v>
      </c>
      <c r="H272" s="286">
        <f>data!BL66</f>
        <v>15877.990000000002</v>
      </c>
      <c r="I272" s="286">
        <f>data!BM66</f>
        <v>0</v>
      </c>
    </row>
    <row r="273" spans="1:9" ht="20.149999999999999" customHeight="1" x14ac:dyDescent="0.35">
      <c r="A273" s="278">
        <v>12</v>
      </c>
      <c r="B273" s="286" t="s">
        <v>11</v>
      </c>
      <c r="C273" s="286">
        <f>data!BG67</f>
        <v>0</v>
      </c>
      <c r="D273" s="286">
        <f>data!BH67</f>
        <v>108029</v>
      </c>
      <c r="E273" s="286">
        <f>data!BI67</f>
        <v>0</v>
      </c>
      <c r="F273" s="286">
        <f>data!BJ67</f>
        <v>65799</v>
      </c>
      <c r="G273" s="286">
        <f>data!BK67</f>
        <v>90804</v>
      </c>
      <c r="H273" s="286">
        <f>data!BL67</f>
        <v>63823</v>
      </c>
      <c r="I273" s="286">
        <f>data!BM67</f>
        <v>0</v>
      </c>
    </row>
    <row r="274" spans="1:9" ht="20.149999999999999" customHeight="1" x14ac:dyDescent="0.35">
      <c r="A274" s="278">
        <v>13</v>
      </c>
      <c r="B274" s="286" t="s">
        <v>977</v>
      </c>
      <c r="C274" s="286">
        <f>data!BG68</f>
        <v>0</v>
      </c>
      <c r="D274" s="286">
        <f>data!BH68</f>
        <v>91911.03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ht="20.149999999999999" customHeight="1" x14ac:dyDescent="0.35">
      <c r="A275" s="278">
        <v>14</v>
      </c>
      <c r="B275" s="286" t="s">
        <v>978</v>
      </c>
      <c r="C275" s="286">
        <f>data!BG69</f>
        <v>0</v>
      </c>
      <c r="D275" s="286">
        <f>data!BH69</f>
        <v>186243.44</v>
      </c>
      <c r="E275" s="286">
        <f>data!BI69</f>
        <v>0</v>
      </c>
      <c r="F275" s="286">
        <f>data!BJ69</f>
        <v>179594.16000000003</v>
      </c>
      <c r="G275" s="286">
        <f>data!BK69</f>
        <v>2904</v>
      </c>
      <c r="H275" s="286">
        <f>data!BL69</f>
        <v>3400.54</v>
      </c>
      <c r="I275" s="286">
        <f>data!BM69</f>
        <v>0</v>
      </c>
    </row>
    <row r="276" spans="1:9" ht="20.149999999999999" customHeight="1" x14ac:dyDescent="0.35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-11991.97</v>
      </c>
      <c r="H276" s="286">
        <f>-data!BL84</f>
        <v>0</v>
      </c>
      <c r="I276" s="286">
        <f>-data!BM84</f>
        <v>0</v>
      </c>
    </row>
    <row r="277" spans="1:9" ht="20.149999999999999" customHeight="1" x14ac:dyDescent="0.35">
      <c r="A277" s="278">
        <v>16</v>
      </c>
      <c r="B277" s="294" t="s">
        <v>979</v>
      </c>
      <c r="C277" s="286">
        <f>data!BG85</f>
        <v>0</v>
      </c>
      <c r="D277" s="286">
        <f>data!BH85</f>
        <v>9404889.5699999984</v>
      </c>
      <c r="E277" s="286">
        <f>data!BI85</f>
        <v>0</v>
      </c>
      <c r="F277" s="286">
        <f>data!BJ85</f>
        <v>1004189.66</v>
      </c>
      <c r="G277" s="286">
        <f>data!BK85</f>
        <v>2581703.9099999997</v>
      </c>
      <c r="H277" s="286">
        <f>data!BL85</f>
        <v>1801782.01</v>
      </c>
      <c r="I277" s="286">
        <f>data!BM85</f>
        <v>0</v>
      </c>
    </row>
    <row r="278" spans="1:9" ht="20.149999999999999" customHeight="1" x14ac:dyDescent="0.35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49999999999999" customHeight="1" x14ac:dyDescent="0.35">
      <c r="A279" s="278">
        <v>18</v>
      </c>
      <c r="B279" s="286" t="s">
        <v>980</v>
      </c>
      <c r="C279" s="286"/>
      <c r="D279" s="286"/>
      <c r="E279" s="286"/>
      <c r="F279" s="286"/>
      <c r="G279" s="286"/>
      <c r="H279" s="286"/>
      <c r="I279" s="286"/>
    </row>
    <row r="280" spans="1:9" ht="20.149999999999999" customHeight="1" x14ac:dyDescent="0.35">
      <c r="A280" s="278">
        <v>19</v>
      </c>
      <c r="B280" s="294" t="s">
        <v>981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49999999999999" customHeight="1" x14ac:dyDescent="0.35">
      <c r="A281" s="278">
        <v>20</v>
      </c>
      <c r="B281" s="294" t="s">
        <v>982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49999999999999" customHeight="1" x14ac:dyDescent="0.35">
      <c r="A282" s="278">
        <v>21</v>
      </c>
      <c r="B282" s="294" t="s">
        <v>983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49999999999999" customHeight="1" x14ac:dyDescent="0.35">
      <c r="A283" s="278" t="s">
        <v>984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49999999999999" customHeight="1" x14ac:dyDescent="0.35">
      <c r="A284" s="278">
        <v>22</v>
      </c>
      <c r="B284" s="286" t="s">
        <v>985</v>
      </c>
      <c r="C284" s="302">
        <f>data!BG90</f>
        <v>0</v>
      </c>
      <c r="D284" s="302">
        <f>data!BH90</f>
        <v>3253.2200000000003</v>
      </c>
      <c r="E284" s="302">
        <f>data!BI90</f>
        <v>0</v>
      </c>
      <c r="F284" s="302">
        <f>data!BJ90</f>
        <v>1981.5</v>
      </c>
      <c r="G284" s="302">
        <f>data!BK90</f>
        <v>2734.5</v>
      </c>
      <c r="H284" s="302">
        <f>data!BL90</f>
        <v>1921.97</v>
      </c>
      <c r="I284" s="302">
        <f>data!BM90</f>
        <v>0</v>
      </c>
    </row>
    <row r="285" spans="1:9" ht="20.149999999999999" customHeight="1" x14ac:dyDescent="0.35">
      <c r="A285" s="278">
        <v>23</v>
      </c>
      <c r="B285" s="286" t="s">
        <v>986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49999999999999" customHeight="1" x14ac:dyDescent="0.35">
      <c r="A286" s="278">
        <v>24</v>
      </c>
      <c r="B286" s="286" t="s">
        <v>987</v>
      </c>
      <c r="C286" s="301" t="str">
        <f>IF(data!BG78&gt;0,data!BG78,"")</f>
        <v/>
      </c>
      <c r="D286" s="302">
        <f>data!BH92</f>
        <v>3253.2200000000003</v>
      </c>
      <c r="E286" s="302">
        <f>data!BI92</f>
        <v>0</v>
      </c>
      <c r="F286" s="301" t="str">
        <f>IF(data!BJ78&gt;0,data!BJ78,"")</f>
        <v/>
      </c>
      <c r="G286" s="302">
        <f>data!BK92</f>
        <v>2734.5</v>
      </c>
      <c r="H286" s="302">
        <f>data!BL92</f>
        <v>1921.97</v>
      </c>
      <c r="I286" s="302">
        <f>data!BM92</f>
        <v>0</v>
      </c>
    </row>
    <row r="287" spans="1:9" ht="20.149999999999999" customHeight="1" x14ac:dyDescent="0.35">
      <c r="A287" s="278">
        <v>25</v>
      </c>
      <c r="B287" s="286" t="s">
        <v>988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49999999999999" customHeight="1" x14ac:dyDescent="0.35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49999999999999" customHeight="1" x14ac:dyDescent="0.35">
      <c r="A289" s="279" t="s">
        <v>970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49999999999999" customHeight="1" x14ac:dyDescent="0.35">
      <c r="D290" s="282"/>
      <c r="I290" s="283" t="s">
        <v>1020</v>
      </c>
    </row>
    <row r="291" spans="1:9" ht="20.149999999999999" customHeight="1" x14ac:dyDescent="0.35">
      <c r="A291" s="282"/>
    </row>
    <row r="292" spans="1:9" ht="20.149999999999999" customHeight="1" x14ac:dyDescent="0.35">
      <c r="A292" s="284" t="str">
        <f>"Hospital: "&amp;data!C98</f>
        <v>Hospital: Public Hospital District No 1 of Mason County, WA, DBA Mason Health</v>
      </c>
      <c r="G292" s="285"/>
      <c r="H292" s="284" t="str">
        <f>"FYE: "&amp;data!C96</f>
        <v>FYE: 12/31/2022</v>
      </c>
    </row>
    <row r="293" spans="1:9" ht="20.149999999999999" customHeight="1" x14ac:dyDescent="0.35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49999999999999" customHeight="1" x14ac:dyDescent="0.35">
      <c r="A294" s="289">
        <v>2</v>
      </c>
      <c r="B294" s="290" t="s">
        <v>972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49999999999999" customHeight="1" x14ac:dyDescent="0.35">
      <c r="A295" s="289"/>
      <c r="B295" s="290"/>
      <c r="C295" s="292" t="s">
        <v>1021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49999999999999" customHeight="1" x14ac:dyDescent="0.35">
      <c r="A296" s="278">
        <v>3</v>
      </c>
      <c r="B296" s="286" t="s">
        <v>976</v>
      </c>
      <c r="C296" s="298"/>
      <c r="D296" s="298"/>
      <c r="E296" s="298"/>
      <c r="F296" s="298"/>
      <c r="G296" s="298"/>
      <c r="H296" s="298"/>
      <c r="I296" s="298"/>
    </row>
    <row r="297" spans="1:9" ht="20.149999999999999" customHeight="1" x14ac:dyDescent="0.35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49999999999999" customHeight="1" x14ac:dyDescent="0.35">
      <c r="A298" s="278">
        <v>5</v>
      </c>
      <c r="B298" s="286" t="s">
        <v>247</v>
      </c>
      <c r="C298" s="293">
        <f>data!BN60</f>
        <v>11.219139061126373</v>
      </c>
      <c r="D298" s="293">
        <f>data!BO60</f>
        <v>1.9649964434065932</v>
      </c>
      <c r="E298" s="293">
        <f>data!BP60</f>
        <v>0</v>
      </c>
      <c r="F298" s="293">
        <f>data!BQ60</f>
        <v>0</v>
      </c>
      <c r="G298" s="293">
        <f>data!BR60</f>
        <v>6.7729531826923086</v>
      </c>
      <c r="H298" s="293">
        <f>data!BS60</f>
        <v>0</v>
      </c>
      <c r="I298" s="293">
        <f>data!BT60</f>
        <v>0</v>
      </c>
    </row>
    <row r="299" spans="1:9" ht="20.149999999999999" customHeight="1" x14ac:dyDescent="0.35">
      <c r="A299" s="278">
        <v>6</v>
      </c>
      <c r="B299" s="286" t="s">
        <v>248</v>
      </c>
      <c r="C299" s="286">
        <f>data!BN61</f>
        <v>2230097.59</v>
      </c>
      <c r="D299" s="286">
        <f>data!BO61</f>
        <v>175349.36</v>
      </c>
      <c r="E299" s="286">
        <f>data!BP61</f>
        <v>0</v>
      </c>
      <c r="F299" s="286">
        <f>data!BQ61</f>
        <v>0</v>
      </c>
      <c r="G299" s="286">
        <f>data!BR61</f>
        <v>679043.17</v>
      </c>
      <c r="H299" s="286">
        <f>data!BS61</f>
        <v>0</v>
      </c>
      <c r="I299" s="286">
        <f>data!BT61</f>
        <v>0</v>
      </c>
    </row>
    <row r="300" spans="1:9" ht="20.149999999999999" customHeight="1" x14ac:dyDescent="0.35">
      <c r="A300" s="278">
        <v>7</v>
      </c>
      <c r="B300" s="286" t="s">
        <v>9</v>
      </c>
      <c r="C300" s="286">
        <f>data!BN62</f>
        <v>599700</v>
      </c>
      <c r="D300" s="286">
        <f>data!BO62</f>
        <v>49676</v>
      </c>
      <c r="E300" s="286">
        <f>data!BP62</f>
        <v>0</v>
      </c>
      <c r="F300" s="286">
        <f>data!BQ62</f>
        <v>0</v>
      </c>
      <c r="G300" s="286">
        <f>data!BR62</f>
        <v>213163</v>
      </c>
      <c r="H300" s="286">
        <f>data!BS62</f>
        <v>0</v>
      </c>
      <c r="I300" s="286">
        <f>data!BT62</f>
        <v>0</v>
      </c>
    </row>
    <row r="301" spans="1:9" ht="20.149999999999999" customHeight="1" x14ac:dyDescent="0.35">
      <c r="A301" s="278">
        <v>8</v>
      </c>
      <c r="B301" s="286" t="s">
        <v>249</v>
      </c>
      <c r="C301" s="286">
        <f>data!BN63</f>
        <v>219301.95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0</v>
      </c>
      <c r="H301" s="286">
        <f>data!BS63</f>
        <v>0</v>
      </c>
      <c r="I301" s="286">
        <f>data!BT63</f>
        <v>0</v>
      </c>
    </row>
    <row r="302" spans="1:9" ht="20.149999999999999" customHeight="1" x14ac:dyDescent="0.35">
      <c r="A302" s="278">
        <v>9</v>
      </c>
      <c r="B302" s="286" t="s">
        <v>250</v>
      </c>
      <c r="C302" s="286">
        <f>data!BN64</f>
        <v>38971.589999999997</v>
      </c>
      <c r="D302" s="286">
        <f>data!BO64</f>
        <v>12493.18</v>
      </c>
      <c r="E302" s="286">
        <f>data!BP64</f>
        <v>3336.17</v>
      </c>
      <c r="F302" s="286">
        <f>data!BQ64</f>
        <v>0</v>
      </c>
      <c r="G302" s="286">
        <f>data!BR64</f>
        <v>21679.93</v>
      </c>
      <c r="H302" s="286">
        <f>data!BS64</f>
        <v>0</v>
      </c>
      <c r="I302" s="286">
        <f>data!BT64</f>
        <v>0</v>
      </c>
    </row>
    <row r="303" spans="1:9" ht="20.149999999999999" customHeight="1" x14ac:dyDescent="0.35">
      <c r="A303" s="278">
        <v>10</v>
      </c>
      <c r="B303" s="286" t="s">
        <v>497</v>
      </c>
      <c r="C303" s="286">
        <f>data!BN65</f>
        <v>1079.29</v>
      </c>
      <c r="D303" s="286">
        <f>data!BO65</f>
        <v>1048.5</v>
      </c>
      <c r="E303" s="286">
        <f>data!BP65</f>
        <v>0</v>
      </c>
      <c r="F303" s="286">
        <f>data!BQ65</f>
        <v>0</v>
      </c>
      <c r="G303" s="286">
        <f>data!BR65</f>
        <v>1052.08</v>
      </c>
      <c r="H303" s="286">
        <f>data!BS65</f>
        <v>0</v>
      </c>
      <c r="I303" s="286">
        <f>data!BT65</f>
        <v>0</v>
      </c>
    </row>
    <row r="304" spans="1:9" ht="20.149999999999999" customHeight="1" x14ac:dyDescent="0.35">
      <c r="A304" s="278">
        <v>11</v>
      </c>
      <c r="B304" s="286" t="s">
        <v>498</v>
      </c>
      <c r="C304" s="286">
        <f>data!BN66</f>
        <v>729209.49999999988</v>
      </c>
      <c r="D304" s="286">
        <f>data!BO66</f>
        <v>22856.2</v>
      </c>
      <c r="E304" s="286">
        <f>data!BP66</f>
        <v>246991.35</v>
      </c>
      <c r="F304" s="286">
        <f>data!BQ66</f>
        <v>0</v>
      </c>
      <c r="G304" s="286">
        <f>data!BR66</f>
        <v>116035.51</v>
      </c>
      <c r="H304" s="286">
        <f>data!BS66</f>
        <v>0</v>
      </c>
      <c r="I304" s="286">
        <f>data!BT66</f>
        <v>0</v>
      </c>
    </row>
    <row r="305" spans="1:9" ht="20.149999999999999" customHeight="1" x14ac:dyDescent="0.35">
      <c r="A305" s="278">
        <v>12</v>
      </c>
      <c r="B305" s="286" t="s">
        <v>11</v>
      </c>
      <c r="C305" s="286">
        <f>data!BN67</f>
        <v>178736</v>
      </c>
      <c r="D305" s="286">
        <f>data!BO67</f>
        <v>9274</v>
      </c>
      <c r="E305" s="286">
        <f>data!BP67</f>
        <v>94578</v>
      </c>
      <c r="F305" s="286">
        <f>data!BQ67</f>
        <v>0</v>
      </c>
      <c r="G305" s="286">
        <f>data!BR67</f>
        <v>70700</v>
      </c>
      <c r="H305" s="286">
        <f>data!BS67</f>
        <v>0</v>
      </c>
      <c r="I305" s="286">
        <f>data!BT67</f>
        <v>0</v>
      </c>
    </row>
    <row r="306" spans="1:9" ht="20.149999999999999" customHeight="1" x14ac:dyDescent="0.35">
      <c r="A306" s="278">
        <v>13</v>
      </c>
      <c r="B306" s="286" t="s">
        <v>977</v>
      </c>
      <c r="C306" s="286">
        <f>data!BN68</f>
        <v>0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16310</v>
      </c>
      <c r="H306" s="286">
        <f>data!BS68</f>
        <v>0</v>
      </c>
      <c r="I306" s="286">
        <f>data!BT68</f>
        <v>0</v>
      </c>
    </row>
    <row r="307" spans="1:9" ht="20.149999999999999" customHeight="1" x14ac:dyDescent="0.35">
      <c r="A307" s="278">
        <v>14</v>
      </c>
      <c r="B307" s="286" t="s">
        <v>978</v>
      </c>
      <c r="C307" s="286">
        <f>data!BN69</f>
        <v>471889.58999999997</v>
      </c>
      <c r="D307" s="286">
        <f>data!BO69</f>
        <v>0</v>
      </c>
      <c r="E307" s="286">
        <f>data!BP69</f>
        <v>77800.41</v>
      </c>
      <c r="F307" s="286">
        <f>data!BQ69</f>
        <v>0</v>
      </c>
      <c r="G307" s="286">
        <f>data!BR69</f>
        <v>295450.65000000002</v>
      </c>
      <c r="H307" s="286">
        <f>data!BS69</f>
        <v>0</v>
      </c>
      <c r="I307" s="286">
        <f>data!BT69</f>
        <v>0</v>
      </c>
    </row>
    <row r="308" spans="1:9" ht="20.149999999999999" customHeight="1" x14ac:dyDescent="0.35">
      <c r="A308" s="278">
        <v>15</v>
      </c>
      <c r="B308" s="286" t="s">
        <v>269</v>
      </c>
      <c r="C308" s="286">
        <f>-data!BN84</f>
        <v>0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49999999999999" customHeight="1" x14ac:dyDescent="0.35">
      <c r="A309" s="278">
        <v>16</v>
      </c>
      <c r="B309" s="294" t="s">
        <v>979</v>
      </c>
      <c r="C309" s="286">
        <f>data!BN85</f>
        <v>4468985.51</v>
      </c>
      <c r="D309" s="286">
        <f>data!BO85</f>
        <v>270697.24</v>
      </c>
      <c r="E309" s="286">
        <f>data!BP85</f>
        <v>422705.93000000005</v>
      </c>
      <c r="F309" s="286">
        <f>data!BQ85</f>
        <v>0</v>
      </c>
      <c r="G309" s="286">
        <f>data!BR85</f>
        <v>1413434.3399999999</v>
      </c>
      <c r="H309" s="286">
        <f>data!BS85</f>
        <v>0</v>
      </c>
      <c r="I309" s="286">
        <f>data!BT85</f>
        <v>0</v>
      </c>
    </row>
    <row r="310" spans="1:9" ht="20.149999999999999" customHeight="1" x14ac:dyDescent="0.35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49999999999999" customHeight="1" x14ac:dyDescent="0.35">
      <c r="A311" s="278">
        <v>18</v>
      </c>
      <c r="B311" s="286" t="s">
        <v>980</v>
      </c>
      <c r="C311" s="286"/>
      <c r="D311" s="286"/>
      <c r="E311" s="286"/>
      <c r="F311" s="286"/>
      <c r="G311" s="286"/>
      <c r="H311" s="286"/>
      <c r="I311" s="286"/>
    </row>
    <row r="312" spans="1:9" ht="20.149999999999999" customHeight="1" x14ac:dyDescent="0.35">
      <c r="A312" s="278">
        <v>19</v>
      </c>
      <c r="B312" s="294" t="s">
        <v>981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49999999999999" customHeight="1" x14ac:dyDescent="0.35">
      <c r="A313" s="278">
        <v>20</v>
      </c>
      <c r="B313" s="294" t="s">
        <v>982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49999999999999" customHeight="1" x14ac:dyDescent="0.35">
      <c r="A314" s="278">
        <v>21</v>
      </c>
      <c r="B314" s="294" t="s">
        <v>983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49999999999999" customHeight="1" x14ac:dyDescent="0.35">
      <c r="A315" s="278" t="s">
        <v>984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49999999999999" customHeight="1" x14ac:dyDescent="0.35">
      <c r="A316" s="278">
        <v>22</v>
      </c>
      <c r="B316" s="286" t="s">
        <v>985</v>
      </c>
      <c r="C316" s="302">
        <f>data!BN90</f>
        <v>5382.5</v>
      </c>
      <c r="D316" s="302">
        <f>data!BO90</f>
        <v>279.27</v>
      </c>
      <c r="E316" s="302">
        <f>data!BP90</f>
        <v>2848.15</v>
      </c>
      <c r="F316" s="302">
        <f>data!BQ90</f>
        <v>0</v>
      </c>
      <c r="G316" s="302">
        <f>data!BR90</f>
        <v>2129.09</v>
      </c>
      <c r="H316" s="302">
        <f>data!BS90</f>
        <v>0</v>
      </c>
      <c r="I316" s="302">
        <f>data!BT90</f>
        <v>0</v>
      </c>
    </row>
    <row r="317" spans="1:9" ht="20.149999999999999" customHeight="1" x14ac:dyDescent="0.35">
      <c r="A317" s="278">
        <v>23</v>
      </c>
      <c r="B317" s="286" t="s">
        <v>986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49999999999999" customHeight="1" x14ac:dyDescent="0.35">
      <c r="A318" s="278">
        <v>24</v>
      </c>
      <c r="B318" s="286" t="s">
        <v>987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49999999999999" customHeight="1" x14ac:dyDescent="0.35">
      <c r="A319" s="278">
        <v>25</v>
      </c>
      <c r="B319" s="286" t="s">
        <v>988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49999999999999" customHeight="1" x14ac:dyDescent="0.35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49999999999999" customHeight="1" x14ac:dyDescent="0.35">
      <c r="A321" s="279" t="s">
        <v>970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49999999999999" customHeight="1" x14ac:dyDescent="0.35">
      <c r="D322" s="282"/>
      <c r="I322" s="283" t="s">
        <v>1022</v>
      </c>
    </row>
    <row r="323" spans="1:9" ht="20.149999999999999" customHeight="1" x14ac:dyDescent="0.35">
      <c r="A323" s="282"/>
    </row>
    <row r="324" spans="1:9" ht="20.149999999999999" customHeight="1" x14ac:dyDescent="0.35">
      <c r="A324" s="284" t="str">
        <f>"Hospital: "&amp;data!C98</f>
        <v>Hospital: Public Hospital District No 1 of Mason County, WA, DBA Mason Health</v>
      </c>
      <c r="G324" s="285"/>
      <c r="H324" s="284" t="str">
        <f>"FYE: "&amp;data!C96</f>
        <v>FYE: 12/31/2022</v>
      </c>
    </row>
    <row r="325" spans="1:9" ht="20.149999999999999" customHeight="1" x14ac:dyDescent="0.35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49999999999999" customHeight="1" x14ac:dyDescent="0.35">
      <c r="A326" s="289">
        <v>2</v>
      </c>
      <c r="B326" s="290" t="s">
        <v>972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49999999999999" customHeight="1" x14ac:dyDescent="0.35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1021</v>
      </c>
      <c r="H327" s="292" t="s">
        <v>164</v>
      </c>
      <c r="I327" s="292" t="s">
        <v>213</v>
      </c>
    </row>
    <row r="328" spans="1:9" ht="20.149999999999999" customHeight="1" x14ac:dyDescent="0.35">
      <c r="A328" s="278">
        <v>3</v>
      </c>
      <c r="B328" s="286" t="s">
        <v>976</v>
      </c>
      <c r="C328" s="298"/>
      <c r="D328" s="298"/>
      <c r="E328" s="298"/>
      <c r="F328" s="298"/>
      <c r="G328" s="298"/>
      <c r="H328" s="298"/>
      <c r="I328" s="298"/>
    </row>
    <row r="329" spans="1:9" ht="20.149999999999999" customHeight="1" x14ac:dyDescent="0.35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49999999999999" customHeight="1" x14ac:dyDescent="0.35">
      <c r="A330" s="278">
        <v>5</v>
      </c>
      <c r="B330" s="286" t="s">
        <v>247</v>
      </c>
      <c r="C330" s="293">
        <f>data!BU60</f>
        <v>0</v>
      </c>
      <c r="D330" s="293">
        <f>data!BV60</f>
        <v>22.169668415137366</v>
      </c>
      <c r="E330" s="293">
        <f>data!BW60</f>
        <v>2.0256898997252746</v>
      </c>
      <c r="F330" s="293">
        <f>data!BX60</f>
        <v>0</v>
      </c>
      <c r="G330" s="293">
        <f>data!BY60</f>
        <v>21.815177200549446</v>
      </c>
      <c r="H330" s="293">
        <f>data!BZ60</f>
        <v>0</v>
      </c>
      <c r="I330" s="293">
        <f>data!CA60</f>
        <v>1.2126852657967035</v>
      </c>
    </row>
    <row r="331" spans="1:9" ht="20.149999999999999" customHeight="1" x14ac:dyDescent="0.35">
      <c r="A331" s="278">
        <v>6</v>
      </c>
      <c r="B331" s="286" t="s">
        <v>248</v>
      </c>
      <c r="C331" s="305">
        <f>data!BU61</f>
        <v>0</v>
      </c>
      <c r="D331" s="305">
        <f>data!BV61</f>
        <v>1315662.3500000001</v>
      </c>
      <c r="E331" s="305">
        <f>data!BW61</f>
        <v>211391.13</v>
      </c>
      <c r="F331" s="305">
        <f>data!BX61</f>
        <v>0</v>
      </c>
      <c r="G331" s="305">
        <f>data!BY61</f>
        <v>2379239.6100000003</v>
      </c>
      <c r="H331" s="305">
        <f>data!BZ61</f>
        <v>0</v>
      </c>
      <c r="I331" s="305">
        <f>data!CA61</f>
        <v>91627.450000000012</v>
      </c>
    </row>
    <row r="332" spans="1:9" ht="20.149999999999999" customHeight="1" x14ac:dyDescent="0.35">
      <c r="A332" s="278">
        <v>7</v>
      </c>
      <c r="B332" s="286" t="s">
        <v>9</v>
      </c>
      <c r="C332" s="305">
        <f>data!BU62</f>
        <v>0</v>
      </c>
      <c r="D332" s="305">
        <f>data!BV62</f>
        <v>641982</v>
      </c>
      <c r="E332" s="305">
        <f>data!BW62</f>
        <v>66031</v>
      </c>
      <c r="F332" s="305">
        <f>data!BX62</f>
        <v>0</v>
      </c>
      <c r="G332" s="305">
        <f>data!BY62</f>
        <v>746917</v>
      </c>
      <c r="H332" s="305">
        <f>data!BZ62</f>
        <v>0</v>
      </c>
      <c r="I332" s="305">
        <f>data!CA62</f>
        <v>28999</v>
      </c>
    </row>
    <row r="333" spans="1:9" ht="20.149999999999999" customHeight="1" x14ac:dyDescent="0.35">
      <c r="A333" s="278">
        <v>8</v>
      </c>
      <c r="B333" s="286" t="s">
        <v>249</v>
      </c>
      <c r="C333" s="305">
        <f>data!BU63</f>
        <v>0</v>
      </c>
      <c r="D333" s="305">
        <f>data!BV63</f>
        <v>333177.5</v>
      </c>
      <c r="E333" s="305">
        <f>data!BW63</f>
        <v>0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ht="20.149999999999999" customHeight="1" x14ac:dyDescent="0.35">
      <c r="A334" s="278">
        <v>9</v>
      </c>
      <c r="B334" s="286" t="s">
        <v>250</v>
      </c>
      <c r="C334" s="305">
        <f>data!BU64</f>
        <v>0</v>
      </c>
      <c r="D334" s="305">
        <f>data!BV64</f>
        <v>667.07999999999959</v>
      </c>
      <c r="E334" s="305">
        <f>data!BW64</f>
        <v>3294.75</v>
      </c>
      <c r="F334" s="305">
        <f>data!BX64</f>
        <v>0</v>
      </c>
      <c r="G334" s="305">
        <f>data!BY64</f>
        <v>6888.38</v>
      </c>
      <c r="H334" s="305">
        <f>data!BZ64</f>
        <v>0</v>
      </c>
      <c r="I334" s="305">
        <f>data!CA64</f>
        <v>8032.0200000000013</v>
      </c>
    </row>
    <row r="335" spans="1:9" ht="20.149999999999999" customHeight="1" x14ac:dyDescent="0.35">
      <c r="A335" s="278">
        <v>10</v>
      </c>
      <c r="B335" s="286" t="s">
        <v>497</v>
      </c>
      <c r="C335" s="305">
        <f>data!BU65</f>
        <v>0</v>
      </c>
      <c r="D335" s="305">
        <f>data!BV65</f>
        <v>386.39999999999992</v>
      </c>
      <c r="E335" s="305">
        <f>data!BW65</f>
        <v>0</v>
      </c>
      <c r="F335" s="305">
        <f>data!BX65</f>
        <v>0</v>
      </c>
      <c r="G335" s="305">
        <f>data!BY65</f>
        <v>4702.72</v>
      </c>
      <c r="H335" s="305">
        <f>data!BZ65</f>
        <v>0</v>
      </c>
      <c r="I335" s="305">
        <f>data!CA65</f>
        <v>0</v>
      </c>
    </row>
    <row r="336" spans="1:9" ht="20.149999999999999" customHeight="1" x14ac:dyDescent="0.35">
      <c r="A336" s="278">
        <v>11</v>
      </c>
      <c r="B336" s="286" t="s">
        <v>498</v>
      </c>
      <c r="C336" s="305">
        <f>data!BU66</f>
        <v>0</v>
      </c>
      <c r="D336" s="305">
        <f>data!BV66</f>
        <v>0</v>
      </c>
      <c r="E336" s="305">
        <f>data!BW66</f>
        <v>31896.18</v>
      </c>
      <c r="F336" s="305">
        <f>data!BX66</f>
        <v>0</v>
      </c>
      <c r="G336" s="305">
        <f>data!BY66</f>
        <v>363659.02</v>
      </c>
      <c r="H336" s="305">
        <f>data!BZ66</f>
        <v>0</v>
      </c>
      <c r="I336" s="305">
        <f>data!CA66</f>
        <v>53933.99</v>
      </c>
    </row>
    <row r="337" spans="1:9" ht="20.149999999999999" customHeight="1" x14ac:dyDescent="0.35">
      <c r="A337" s="278">
        <v>12</v>
      </c>
      <c r="B337" s="286" t="s">
        <v>11</v>
      </c>
      <c r="C337" s="305">
        <f>data!BU67</f>
        <v>0</v>
      </c>
      <c r="D337" s="305">
        <f>data!BV67</f>
        <v>150948</v>
      </c>
      <c r="E337" s="305">
        <f>data!BW67</f>
        <v>33932</v>
      </c>
      <c r="F337" s="305">
        <f>data!BX67</f>
        <v>0</v>
      </c>
      <c r="G337" s="305">
        <f>data!BY67</f>
        <v>57468</v>
      </c>
      <c r="H337" s="305">
        <f>data!BZ67</f>
        <v>0</v>
      </c>
      <c r="I337" s="305">
        <f>data!CA67</f>
        <v>34734</v>
      </c>
    </row>
    <row r="338" spans="1:9" ht="20.149999999999999" customHeight="1" x14ac:dyDescent="0.35">
      <c r="A338" s="278">
        <v>13</v>
      </c>
      <c r="B338" s="286" t="s">
        <v>977</v>
      </c>
      <c r="C338" s="305">
        <f>data!BU68</f>
        <v>0</v>
      </c>
      <c r="D338" s="305">
        <f>data!BV68</f>
        <v>0</v>
      </c>
      <c r="E338" s="305">
        <f>data!BW68</f>
        <v>779.84999999999991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-1.8189999999999998E-12</v>
      </c>
    </row>
    <row r="339" spans="1:9" ht="20.149999999999999" customHeight="1" x14ac:dyDescent="0.35">
      <c r="A339" s="278">
        <v>14</v>
      </c>
      <c r="B339" s="286" t="s">
        <v>978</v>
      </c>
      <c r="C339" s="305">
        <f>data!BU69</f>
        <v>0</v>
      </c>
      <c r="D339" s="305">
        <f>data!BV69</f>
        <v>3954.23</v>
      </c>
      <c r="E339" s="305">
        <f>data!BW69</f>
        <v>45772.12999999999</v>
      </c>
      <c r="F339" s="305">
        <f>data!BX69</f>
        <v>0</v>
      </c>
      <c r="G339" s="305">
        <f>data!BY69</f>
        <v>15509.34</v>
      </c>
      <c r="H339" s="305">
        <f>data!BZ69</f>
        <v>0</v>
      </c>
      <c r="I339" s="305">
        <f>data!CA69</f>
        <v>14946.45</v>
      </c>
    </row>
    <row r="340" spans="1:9" ht="20.149999999999999" customHeight="1" x14ac:dyDescent="0.35">
      <c r="A340" s="278">
        <v>15</v>
      </c>
      <c r="B340" s="286" t="s">
        <v>269</v>
      </c>
      <c r="C340" s="286">
        <f>-data!BU84</f>
        <v>0</v>
      </c>
      <c r="D340" s="286">
        <f>-data!BV84</f>
        <v>-21835.32</v>
      </c>
      <c r="E340" s="286">
        <f>-data!BW84</f>
        <v>-8575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49999999999999" customHeight="1" x14ac:dyDescent="0.35">
      <c r="A341" s="278">
        <v>16</v>
      </c>
      <c r="B341" s="294" t="s">
        <v>979</v>
      </c>
      <c r="C341" s="286">
        <f>data!BU85</f>
        <v>0</v>
      </c>
      <c r="D341" s="286">
        <f>data!BV85</f>
        <v>2424942.2400000002</v>
      </c>
      <c r="E341" s="286">
        <f>data!BW85</f>
        <v>384522.04</v>
      </c>
      <c r="F341" s="286">
        <f>data!BX85</f>
        <v>0</v>
      </c>
      <c r="G341" s="286">
        <f>data!BY85</f>
        <v>3574384.0700000003</v>
      </c>
      <c r="H341" s="286">
        <f>data!BZ85</f>
        <v>0</v>
      </c>
      <c r="I341" s="286">
        <f>data!CA85</f>
        <v>232272.91000000003</v>
      </c>
    </row>
    <row r="342" spans="1:9" ht="20.149999999999999" customHeight="1" x14ac:dyDescent="0.35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49999999999999" customHeight="1" x14ac:dyDescent="0.35">
      <c r="A343" s="278">
        <v>18</v>
      </c>
      <c r="B343" s="286" t="s">
        <v>980</v>
      </c>
      <c r="C343" s="286"/>
      <c r="D343" s="286"/>
      <c r="E343" s="286"/>
      <c r="F343" s="286"/>
      <c r="G343" s="286"/>
      <c r="H343" s="286"/>
      <c r="I343" s="286"/>
    </row>
    <row r="344" spans="1:9" ht="20.149999999999999" customHeight="1" x14ac:dyDescent="0.35">
      <c r="A344" s="278">
        <v>19</v>
      </c>
      <c r="B344" s="294" t="s">
        <v>981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49999999999999" customHeight="1" x14ac:dyDescent="0.35">
      <c r="A345" s="278">
        <v>20</v>
      </c>
      <c r="B345" s="294" t="s">
        <v>982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49999999999999" customHeight="1" x14ac:dyDescent="0.35">
      <c r="A346" s="278">
        <v>21</v>
      </c>
      <c r="B346" s="294" t="s">
        <v>983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49999999999999" customHeight="1" x14ac:dyDescent="0.35">
      <c r="A347" s="278" t="s">
        <v>984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49999999999999" customHeight="1" x14ac:dyDescent="0.35">
      <c r="A348" s="278">
        <v>22</v>
      </c>
      <c r="B348" s="286" t="s">
        <v>985</v>
      </c>
      <c r="C348" s="302">
        <f>data!BU90</f>
        <v>0</v>
      </c>
      <c r="D348" s="302">
        <f>data!BV90</f>
        <v>4545.67</v>
      </c>
      <c r="E348" s="302">
        <f>data!BW90</f>
        <v>1021.84</v>
      </c>
      <c r="F348" s="302">
        <f>data!BX90</f>
        <v>0</v>
      </c>
      <c r="G348" s="302">
        <f>data!BY90</f>
        <v>1730.5900000000001</v>
      </c>
      <c r="H348" s="302">
        <f>data!BZ90</f>
        <v>0</v>
      </c>
      <c r="I348" s="302">
        <f>data!CA90</f>
        <v>1046</v>
      </c>
    </row>
    <row r="349" spans="1:9" ht="20.149999999999999" customHeight="1" x14ac:dyDescent="0.35">
      <c r="A349" s="278">
        <v>23</v>
      </c>
      <c r="B349" s="286" t="s">
        <v>986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49999999999999" customHeight="1" x14ac:dyDescent="0.35">
      <c r="A350" s="278">
        <v>24</v>
      </c>
      <c r="B350" s="286" t="s">
        <v>987</v>
      </c>
      <c r="C350" s="302">
        <f>data!BU92</f>
        <v>0</v>
      </c>
      <c r="D350" s="302">
        <f>data!BV92</f>
        <v>4545.67</v>
      </c>
      <c r="E350" s="302">
        <f>data!BW92</f>
        <v>1021.84</v>
      </c>
      <c r="F350" s="302">
        <f>data!BX92</f>
        <v>0</v>
      </c>
      <c r="G350" s="302">
        <f>data!BY92</f>
        <v>1730.5900000000001</v>
      </c>
      <c r="H350" s="302">
        <f>data!BZ92</f>
        <v>0</v>
      </c>
      <c r="I350" s="302">
        <f>data!CA92</f>
        <v>1046</v>
      </c>
    </row>
    <row r="351" spans="1:9" ht="20.149999999999999" customHeight="1" x14ac:dyDescent="0.35">
      <c r="A351" s="278">
        <v>25</v>
      </c>
      <c r="B351" s="286" t="s">
        <v>988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49999999999999" customHeight="1" x14ac:dyDescent="0.35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49999999999999" customHeight="1" x14ac:dyDescent="0.35">
      <c r="A353" s="279" t="s">
        <v>970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49999999999999" customHeight="1" x14ac:dyDescent="0.35">
      <c r="D354" s="282"/>
      <c r="I354" s="283" t="s">
        <v>1023</v>
      </c>
    </row>
    <row r="355" spans="1:9" ht="20.149999999999999" customHeight="1" x14ac:dyDescent="0.35">
      <c r="A355" s="282"/>
    </row>
    <row r="356" spans="1:9" ht="20.149999999999999" customHeight="1" x14ac:dyDescent="0.35">
      <c r="A356" s="284" t="str">
        <f>"Hospital: "&amp;data!C98</f>
        <v>Hospital: Public Hospital District No 1 of Mason County, WA, DBA Mason Health</v>
      </c>
      <c r="G356" s="285"/>
      <c r="H356" s="284" t="str">
        <f>"FYE: "&amp;data!C96</f>
        <v>FYE: 12/31/2022</v>
      </c>
    </row>
    <row r="357" spans="1:9" ht="20.149999999999999" customHeight="1" x14ac:dyDescent="0.35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49999999999999" customHeight="1" x14ac:dyDescent="0.35">
      <c r="A358" s="289">
        <v>2</v>
      </c>
      <c r="B358" s="290" t="s">
        <v>972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49999999999999" customHeight="1" x14ac:dyDescent="0.35">
      <c r="A359" s="289"/>
      <c r="B359" s="290"/>
      <c r="C359" s="292" t="s">
        <v>213</v>
      </c>
      <c r="D359" s="292" t="s">
        <v>1024</v>
      </c>
      <c r="E359" s="292" t="s">
        <v>225</v>
      </c>
      <c r="F359" s="307"/>
      <c r="G359" s="307"/>
      <c r="H359" s="307"/>
      <c r="I359" s="292" t="s">
        <v>215</v>
      </c>
    </row>
    <row r="360" spans="1:9" ht="20.149999999999999" customHeight="1" x14ac:dyDescent="0.35">
      <c r="A360" s="278">
        <v>3</v>
      </c>
      <c r="B360" s="286" t="s">
        <v>976</v>
      </c>
      <c r="C360" s="298"/>
      <c r="D360" s="298"/>
      <c r="E360" s="298"/>
      <c r="F360" s="298"/>
      <c r="G360" s="298"/>
      <c r="H360" s="298"/>
      <c r="I360" s="298"/>
    </row>
    <row r="361" spans="1:9" ht="20.149999999999999" customHeight="1" x14ac:dyDescent="0.35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49999999999999" customHeight="1" x14ac:dyDescent="0.35">
      <c r="A362" s="278">
        <v>5</v>
      </c>
      <c r="B362" s="286" t="s">
        <v>247</v>
      </c>
      <c r="C362" s="293">
        <f>data!CB60</f>
        <v>0</v>
      </c>
      <c r="D362" s="293">
        <f>data!CC60</f>
        <v>17.111894063186813</v>
      </c>
      <c r="E362" s="308"/>
      <c r="F362" s="296"/>
      <c r="G362" s="296"/>
      <c r="H362" s="296"/>
      <c r="I362" s="309">
        <f>data!CE60</f>
        <v>592.65182838005489</v>
      </c>
    </row>
    <row r="363" spans="1:9" ht="20.149999999999999" customHeight="1" x14ac:dyDescent="0.35">
      <c r="A363" s="278">
        <v>6</v>
      </c>
      <c r="B363" s="286" t="s">
        <v>248</v>
      </c>
      <c r="C363" s="305">
        <f>data!CB61</f>
        <v>0</v>
      </c>
      <c r="D363" s="305">
        <f>data!CC61</f>
        <v>1554031.8699999999</v>
      </c>
      <c r="E363" s="310"/>
      <c r="F363" s="310"/>
      <c r="G363" s="310"/>
      <c r="H363" s="310"/>
      <c r="I363" s="305">
        <f>data!CE61</f>
        <v>56776899.430000015</v>
      </c>
    </row>
    <row r="364" spans="1:9" ht="20.149999999999999" customHeight="1" x14ac:dyDescent="0.35">
      <c r="A364" s="278">
        <v>7</v>
      </c>
      <c r="B364" s="286" t="s">
        <v>9</v>
      </c>
      <c r="C364" s="305">
        <f>data!CB62</f>
        <v>0</v>
      </c>
      <c r="D364" s="305">
        <f>data!CC62</f>
        <v>520975</v>
      </c>
      <c r="E364" s="310"/>
      <c r="F364" s="310"/>
      <c r="G364" s="310"/>
      <c r="H364" s="310"/>
      <c r="I364" s="305">
        <f>data!CE62</f>
        <v>19086136</v>
      </c>
    </row>
    <row r="365" spans="1:9" ht="20.149999999999999" customHeight="1" x14ac:dyDescent="0.35">
      <c r="A365" s="278">
        <v>8</v>
      </c>
      <c r="B365" s="286" t="s">
        <v>249</v>
      </c>
      <c r="C365" s="305">
        <f>data!CB63</f>
        <v>0</v>
      </c>
      <c r="D365" s="305">
        <f>data!CC63</f>
        <v>1136567.5900000001</v>
      </c>
      <c r="E365" s="310"/>
      <c r="F365" s="310"/>
      <c r="G365" s="310"/>
      <c r="H365" s="310"/>
      <c r="I365" s="305">
        <f>data!CE63</f>
        <v>9730443.7899999991</v>
      </c>
    </row>
    <row r="366" spans="1:9" ht="20.149999999999999" customHeight="1" x14ac:dyDescent="0.35">
      <c r="A366" s="278">
        <v>9</v>
      </c>
      <c r="B366" s="286" t="s">
        <v>250</v>
      </c>
      <c r="C366" s="305">
        <f>data!CB64</f>
        <v>0</v>
      </c>
      <c r="D366" s="305">
        <f>data!CC64</f>
        <v>182137.2</v>
      </c>
      <c r="E366" s="310"/>
      <c r="F366" s="310"/>
      <c r="G366" s="310"/>
      <c r="H366" s="310"/>
      <c r="I366" s="305">
        <f>data!CE64</f>
        <v>16221264.090000002</v>
      </c>
    </row>
    <row r="367" spans="1:9" ht="20.149999999999999" customHeight="1" x14ac:dyDescent="0.35">
      <c r="A367" s="278">
        <v>10</v>
      </c>
      <c r="B367" s="286" t="s">
        <v>497</v>
      </c>
      <c r="C367" s="305">
        <f>data!CB65</f>
        <v>0</v>
      </c>
      <c r="D367" s="305">
        <f>data!CC65</f>
        <v>3965.5199999999995</v>
      </c>
      <c r="E367" s="310"/>
      <c r="F367" s="310"/>
      <c r="G367" s="310"/>
      <c r="H367" s="310"/>
      <c r="I367" s="305">
        <f>data!CE65</f>
        <v>1232378.6299999999</v>
      </c>
    </row>
    <row r="368" spans="1:9" ht="20.149999999999999" customHeight="1" x14ac:dyDescent="0.35">
      <c r="A368" s="278">
        <v>11</v>
      </c>
      <c r="B368" s="286" t="s">
        <v>498</v>
      </c>
      <c r="C368" s="305">
        <f>data!CB66</f>
        <v>0</v>
      </c>
      <c r="D368" s="305">
        <f>data!CC66</f>
        <v>1045653.53</v>
      </c>
      <c r="E368" s="310"/>
      <c r="F368" s="310"/>
      <c r="G368" s="310"/>
      <c r="H368" s="310"/>
      <c r="I368" s="305">
        <f>data!CE66</f>
        <v>16709954.819999998</v>
      </c>
    </row>
    <row r="369" spans="1:9" ht="20.149999999999999" customHeight="1" x14ac:dyDescent="0.35">
      <c r="A369" s="278">
        <v>12</v>
      </c>
      <c r="B369" s="286" t="s">
        <v>11</v>
      </c>
      <c r="C369" s="305">
        <f>data!CB67</f>
        <v>0</v>
      </c>
      <c r="D369" s="305">
        <f>data!CC67</f>
        <v>606077</v>
      </c>
      <c r="E369" s="310"/>
      <c r="F369" s="310"/>
      <c r="G369" s="310"/>
      <c r="H369" s="310"/>
      <c r="I369" s="305">
        <f>data!CE67</f>
        <v>8067632</v>
      </c>
    </row>
    <row r="370" spans="1:9" ht="20.149999999999999" customHeight="1" x14ac:dyDescent="0.35">
      <c r="A370" s="278">
        <v>13</v>
      </c>
      <c r="B370" s="286" t="s">
        <v>977</v>
      </c>
      <c r="C370" s="305">
        <f>data!CB68</f>
        <v>0</v>
      </c>
      <c r="D370" s="305">
        <f>data!CC68</f>
        <v>64213.64</v>
      </c>
      <c r="E370" s="310"/>
      <c r="F370" s="310"/>
      <c r="G370" s="310"/>
      <c r="H370" s="310"/>
      <c r="I370" s="305">
        <f>data!CE68</f>
        <v>360858.38</v>
      </c>
    </row>
    <row r="371" spans="1:9" ht="20.149999999999999" customHeight="1" x14ac:dyDescent="0.35">
      <c r="A371" s="278">
        <v>14</v>
      </c>
      <c r="B371" s="286" t="s">
        <v>978</v>
      </c>
      <c r="C371" s="305">
        <f>data!CB69</f>
        <v>0</v>
      </c>
      <c r="D371" s="305">
        <f>data!CC69</f>
        <v>47524.24</v>
      </c>
      <c r="E371" s="305">
        <f>data!CD69</f>
        <v>3790587.9899999998</v>
      </c>
      <c r="F371" s="310"/>
      <c r="G371" s="310"/>
      <c r="H371" s="310"/>
      <c r="I371" s="305">
        <f>data!CE69</f>
        <v>16925959.350000001</v>
      </c>
    </row>
    <row r="372" spans="1:9" ht="20.149999999999999" customHeight="1" x14ac:dyDescent="0.35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-6364382.54</v>
      </c>
      <c r="F372" s="296"/>
      <c r="G372" s="296"/>
      <c r="H372" s="296"/>
      <c r="I372" s="286">
        <f>-data!CE84</f>
        <v>-11211022.210000001</v>
      </c>
    </row>
    <row r="373" spans="1:9" ht="20.149999999999999" customHeight="1" x14ac:dyDescent="0.35">
      <c r="A373" s="278">
        <v>16</v>
      </c>
      <c r="B373" s="294" t="s">
        <v>979</v>
      </c>
      <c r="C373" s="305">
        <f>data!CB85</f>
        <v>0</v>
      </c>
      <c r="D373" s="305">
        <f>data!CC85</f>
        <v>5161145.59</v>
      </c>
      <c r="E373" s="305">
        <f>data!CD85</f>
        <v>-2573794.5500000003</v>
      </c>
      <c r="F373" s="310"/>
      <c r="G373" s="310"/>
      <c r="H373" s="310"/>
      <c r="I373" s="286">
        <f>data!CE85</f>
        <v>122689482.07000001</v>
      </c>
    </row>
    <row r="374" spans="1:9" ht="20.149999999999999" customHeight="1" x14ac:dyDescent="0.35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2391215.5600000005</v>
      </c>
    </row>
    <row r="375" spans="1:9" ht="20.149999999999999" customHeight="1" x14ac:dyDescent="0.35">
      <c r="A375" s="278">
        <v>18</v>
      </c>
      <c r="B375" s="286" t="s">
        <v>980</v>
      </c>
      <c r="C375" s="286"/>
      <c r="D375" s="286"/>
      <c r="E375" s="286"/>
      <c r="F375" s="286"/>
      <c r="G375" s="286"/>
      <c r="H375" s="286"/>
      <c r="I375" s="286"/>
    </row>
    <row r="376" spans="1:9" ht="20.149999999999999" customHeight="1" x14ac:dyDescent="0.35">
      <c r="A376" s="278">
        <v>19</v>
      </c>
      <c r="B376" s="294" t="s">
        <v>981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68330368.319999993</v>
      </c>
    </row>
    <row r="377" spans="1:9" ht="20.149999999999999" customHeight="1" x14ac:dyDescent="0.35">
      <c r="A377" s="278">
        <v>20</v>
      </c>
      <c r="B377" s="294" t="s">
        <v>982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237173546.66999999</v>
      </c>
    </row>
    <row r="378" spans="1:9" ht="20.149999999999999" customHeight="1" x14ac:dyDescent="0.35">
      <c r="A378" s="278">
        <v>21</v>
      </c>
      <c r="B378" s="294" t="s">
        <v>983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305503914.99000001</v>
      </c>
    </row>
    <row r="379" spans="1:9" ht="20.149999999999999" customHeight="1" x14ac:dyDescent="0.35">
      <c r="A379" s="278" t="s">
        <v>984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49999999999999" customHeight="1" x14ac:dyDescent="0.35">
      <c r="A380" s="278">
        <v>22</v>
      </c>
      <c r="B380" s="286" t="s">
        <v>985</v>
      </c>
      <c r="C380" s="302">
        <f>data!CB90</f>
        <v>0</v>
      </c>
      <c r="D380" s="302">
        <f>data!CC90</f>
        <v>18251.54</v>
      </c>
      <c r="E380" s="296"/>
      <c r="F380" s="296"/>
      <c r="G380" s="296"/>
      <c r="H380" s="296"/>
      <c r="I380" s="286">
        <f>data!CE90</f>
        <v>241486.87000000002</v>
      </c>
    </row>
    <row r="381" spans="1:9" ht="20.149999999999999" customHeight="1" x14ac:dyDescent="0.35">
      <c r="A381" s="278">
        <v>23</v>
      </c>
      <c r="B381" s="286" t="s">
        <v>986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33431.114391143914</v>
      </c>
    </row>
    <row r="382" spans="1:9" ht="20.149999999999999" customHeight="1" x14ac:dyDescent="0.35">
      <c r="A382" s="278">
        <v>24</v>
      </c>
      <c r="B382" s="286" t="s">
        <v>987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223235.33000000002</v>
      </c>
    </row>
    <row r="383" spans="1:9" ht="20.149999999999999" customHeight="1" x14ac:dyDescent="0.35">
      <c r="A383" s="278">
        <v>25</v>
      </c>
      <c r="B383" s="286" t="s">
        <v>988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257176</v>
      </c>
    </row>
    <row r="384" spans="1:9" ht="20.149999999999999" customHeight="1" x14ac:dyDescent="0.35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130.15226619527471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204" transitionEvaluation="1" transitionEntry="1" codeName="Sheet12">
    <tabColor rgb="FF92D050"/>
    <pageSetUpPr autoPageBreaks="0" fitToPage="1"/>
  </sheetPr>
  <dimension ref="A1:CF717"/>
  <sheetViews>
    <sheetView topLeftCell="A204" zoomScaleNormal="100" workbookViewId="0">
      <selection activeCell="E217" sqref="E217:E21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1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2" t="s">
        <v>18</v>
      </c>
      <c r="B37" s="333"/>
      <c r="C37" s="334"/>
      <c r="D37" s="333"/>
      <c r="E37" s="333"/>
      <c r="F37" s="333"/>
      <c r="G37" s="333"/>
    </row>
    <row r="38" spans="1:83" x14ac:dyDescent="0.35">
      <c r="A38" s="335" t="s">
        <v>1342</v>
      </c>
      <c r="B38" s="336"/>
      <c r="C38" s="334"/>
      <c r="D38" s="333"/>
      <c r="E38" s="333"/>
      <c r="F38" s="333"/>
      <c r="G38" s="333"/>
    </row>
    <row r="39" spans="1:83" x14ac:dyDescent="0.35">
      <c r="A39" s="337" t="s">
        <v>1340</v>
      </c>
      <c r="B39" s="336"/>
      <c r="C39" s="334"/>
      <c r="D39" s="333"/>
      <c r="E39" s="333"/>
      <c r="F39" s="333"/>
      <c r="G39" s="333"/>
    </row>
    <row r="40" spans="1:83" x14ac:dyDescent="0.35">
      <c r="A40" s="338" t="s">
        <v>1343</v>
      </c>
      <c r="B40" s="333"/>
      <c r="C40" s="334"/>
      <c r="D40" s="333"/>
      <c r="E40" s="333"/>
      <c r="F40" s="333"/>
      <c r="G40" s="333"/>
    </row>
    <row r="41" spans="1:83" x14ac:dyDescent="0.35">
      <c r="A41" s="337" t="s">
        <v>1341</v>
      </c>
      <c r="B41" s="333"/>
      <c r="C41" s="334"/>
      <c r="D41" s="333"/>
      <c r="E41" s="333"/>
      <c r="F41" s="333"/>
      <c r="G41" s="333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>
        <v>686355.76</v>
      </c>
      <c r="D48" s="213"/>
      <c r="E48" s="213">
        <v>1567618.1</v>
      </c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>
        <v>490976.43</v>
      </c>
      <c r="Q48" s="213">
        <v>484608.93999999994</v>
      </c>
      <c r="R48" s="213">
        <v>209111.28999999998</v>
      </c>
      <c r="S48" s="213"/>
      <c r="T48" s="213"/>
      <c r="U48" s="213">
        <v>708879.66</v>
      </c>
      <c r="V48" s="213"/>
      <c r="W48" s="213">
        <v>83905.12000000001</v>
      </c>
      <c r="X48" s="213">
        <v>148908.13</v>
      </c>
      <c r="Y48" s="213">
        <v>707662.34</v>
      </c>
      <c r="Z48" s="213"/>
      <c r="AA48" s="213">
        <v>29715.789999999997</v>
      </c>
      <c r="AB48" s="213">
        <v>549092.24000000011</v>
      </c>
      <c r="AC48" s="213">
        <v>310348.45</v>
      </c>
      <c r="AD48" s="213"/>
      <c r="AE48" s="213">
        <v>566369.41999999993</v>
      </c>
      <c r="AF48" s="213"/>
      <c r="AG48" s="213">
        <v>938344.39000000013</v>
      </c>
      <c r="AH48" s="213"/>
      <c r="AI48" s="213"/>
      <c r="AJ48" s="213"/>
      <c r="AK48" s="213"/>
      <c r="AL48" s="213"/>
      <c r="AM48" s="213"/>
      <c r="AN48" s="213"/>
      <c r="AO48" s="213"/>
      <c r="AP48" s="213">
        <v>4881682.84</v>
      </c>
      <c r="AQ48" s="213"/>
      <c r="AR48" s="213"/>
      <c r="AS48" s="213"/>
      <c r="AT48" s="213"/>
      <c r="AU48" s="213"/>
      <c r="AV48" s="213">
        <v>98605.73</v>
      </c>
      <c r="AW48" s="213"/>
      <c r="AX48" s="213"/>
      <c r="AY48" s="213">
        <v>449300.24</v>
      </c>
      <c r="AZ48" s="213"/>
      <c r="BA48" s="213">
        <v>45144.999999999993</v>
      </c>
      <c r="BB48" s="213"/>
      <c r="BC48" s="213"/>
      <c r="BD48" s="213">
        <v>122869.95</v>
      </c>
      <c r="BE48" s="213">
        <v>322272.66999999993</v>
      </c>
      <c r="BF48" s="213">
        <v>644212.52999999991</v>
      </c>
      <c r="BG48" s="213"/>
      <c r="BH48" s="213">
        <v>0</v>
      </c>
      <c r="BI48" s="213"/>
      <c r="BJ48" s="213">
        <v>198068.69</v>
      </c>
      <c r="BK48" s="213">
        <v>594825</v>
      </c>
      <c r="BL48" s="213">
        <v>536121.79999999993</v>
      </c>
      <c r="BM48" s="213"/>
      <c r="BN48" s="213">
        <v>560851.14999999991</v>
      </c>
      <c r="BO48" s="213">
        <v>41889.839999999997</v>
      </c>
      <c r="BP48" s="213"/>
      <c r="BQ48" s="213"/>
      <c r="BR48" s="213">
        <v>157000.64000000001</v>
      </c>
      <c r="BS48" s="213"/>
      <c r="BT48" s="213"/>
      <c r="BU48" s="213"/>
      <c r="BV48" s="213">
        <v>539962.70000000007</v>
      </c>
      <c r="BW48" s="213">
        <v>60518.28</v>
      </c>
      <c r="BX48" s="213"/>
      <c r="BY48" s="213">
        <v>973980.52</v>
      </c>
      <c r="BZ48" s="213"/>
      <c r="CA48" s="213">
        <v>29612.01</v>
      </c>
      <c r="CB48" s="213"/>
      <c r="CC48" s="213">
        <v>421978.81</v>
      </c>
      <c r="CD48" s="20"/>
      <c r="CE48" s="32">
        <f>SUM(C48:CC48)</f>
        <v>18160794.460000001</v>
      </c>
    </row>
    <row r="49" spans="1:83" x14ac:dyDescent="0.35">
      <c r="A49" s="32" t="s">
        <v>217</v>
      </c>
      <c r="B49" s="215"/>
      <c r="C49" s="269" t="b">
        <f>IF($B$49,(ROUND((($B$49/$CE$62)*C62),0)))</f>
        <v>0</v>
      </c>
      <c r="D49" s="269" t="b">
        <f t="shared" ref="D49:BO49" si="0">IF($B$49,(ROUND((($B$49/$CE$62)*D62),0)))</f>
        <v>0</v>
      </c>
      <c r="E49" s="269" t="b">
        <f t="shared" si="0"/>
        <v>0</v>
      </c>
      <c r="F49" s="269" t="b">
        <f t="shared" si="0"/>
        <v>0</v>
      </c>
      <c r="G49" s="269" t="b">
        <f t="shared" si="0"/>
        <v>0</v>
      </c>
      <c r="H49" s="269" t="b">
        <f t="shared" si="0"/>
        <v>0</v>
      </c>
      <c r="I49" s="269" t="b">
        <f t="shared" si="0"/>
        <v>0</v>
      </c>
      <c r="J49" s="269" t="b">
        <f t="shared" si="0"/>
        <v>0</v>
      </c>
      <c r="K49" s="269" t="b">
        <f t="shared" si="0"/>
        <v>0</v>
      </c>
      <c r="L49" s="269" t="b">
        <f t="shared" si="0"/>
        <v>0</v>
      </c>
      <c r="M49" s="269" t="b">
        <f t="shared" si="0"/>
        <v>0</v>
      </c>
      <c r="N49" s="269" t="b">
        <f t="shared" si="0"/>
        <v>0</v>
      </c>
      <c r="O49" s="269" t="b">
        <f t="shared" si="0"/>
        <v>0</v>
      </c>
      <c r="P49" s="269" t="b">
        <f t="shared" si="0"/>
        <v>0</v>
      </c>
      <c r="Q49" s="269" t="b">
        <f t="shared" si="0"/>
        <v>0</v>
      </c>
      <c r="R49" s="269" t="b">
        <f t="shared" si="0"/>
        <v>0</v>
      </c>
      <c r="S49" s="269" t="b">
        <f t="shared" si="0"/>
        <v>0</v>
      </c>
      <c r="T49" s="269" t="b">
        <f t="shared" si="0"/>
        <v>0</v>
      </c>
      <c r="U49" s="269" t="b">
        <f t="shared" si="0"/>
        <v>0</v>
      </c>
      <c r="V49" s="269" t="b">
        <f t="shared" si="0"/>
        <v>0</v>
      </c>
      <c r="W49" s="269" t="b">
        <f t="shared" si="0"/>
        <v>0</v>
      </c>
      <c r="X49" s="269" t="b">
        <f t="shared" si="0"/>
        <v>0</v>
      </c>
      <c r="Y49" s="269" t="b">
        <f t="shared" si="0"/>
        <v>0</v>
      </c>
      <c r="Z49" s="269" t="b">
        <f t="shared" si="0"/>
        <v>0</v>
      </c>
      <c r="AA49" s="269" t="b">
        <f t="shared" si="0"/>
        <v>0</v>
      </c>
      <c r="AB49" s="269" t="b">
        <f t="shared" si="0"/>
        <v>0</v>
      </c>
      <c r="AC49" s="269" t="b">
        <f t="shared" si="0"/>
        <v>0</v>
      </c>
      <c r="AD49" s="269" t="b">
        <f t="shared" si="0"/>
        <v>0</v>
      </c>
      <c r="AE49" s="269" t="b">
        <f t="shared" si="0"/>
        <v>0</v>
      </c>
      <c r="AF49" s="269" t="b">
        <f t="shared" si="0"/>
        <v>0</v>
      </c>
      <c r="AG49" s="269" t="b">
        <f t="shared" si="0"/>
        <v>0</v>
      </c>
      <c r="AH49" s="269" t="b">
        <f t="shared" si="0"/>
        <v>0</v>
      </c>
      <c r="AI49" s="269" t="b">
        <f t="shared" si="0"/>
        <v>0</v>
      </c>
      <c r="AJ49" s="269" t="b">
        <f t="shared" si="0"/>
        <v>0</v>
      </c>
      <c r="AK49" s="269" t="b">
        <f t="shared" si="0"/>
        <v>0</v>
      </c>
      <c r="AL49" s="269" t="b">
        <f t="shared" si="0"/>
        <v>0</v>
      </c>
      <c r="AM49" s="269" t="b">
        <f t="shared" si="0"/>
        <v>0</v>
      </c>
      <c r="AN49" s="269" t="b">
        <f t="shared" si="0"/>
        <v>0</v>
      </c>
      <c r="AO49" s="269" t="b">
        <f t="shared" si="0"/>
        <v>0</v>
      </c>
      <c r="AP49" s="269" t="b">
        <f t="shared" si="0"/>
        <v>0</v>
      </c>
      <c r="AQ49" s="269" t="b">
        <f t="shared" si="0"/>
        <v>0</v>
      </c>
      <c r="AR49" s="269" t="b">
        <f t="shared" si="0"/>
        <v>0</v>
      </c>
      <c r="AS49" s="269" t="b">
        <f t="shared" si="0"/>
        <v>0</v>
      </c>
      <c r="AT49" s="269" t="b">
        <f t="shared" si="0"/>
        <v>0</v>
      </c>
      <c r="AU49" s="269" t="b">
        <f t="shared" si="0"/>
        <v>0</v>
      </c>
      <c r="AV49" s="269" t="b">
        <f t="shared" si="0"/>
        <v>0</v>
      </c>
      <c r="AW49" s="269" t="b">
        <f t="shared" si="0"/>
        <v>0</v>
      </c>
      <c r="AX49" s="269" t="b">
        <f t="shared" si="0"/>
        <v>0</v>
      </c>
      <c r="AY49" s="269" t="b">
        <f t="shared" si="0"/>
        <v>0</v>
      </c>
      <c r="AZ49" s="269" t="b">
        <f t="shared" si="0"/>
        <v>0</v>
      </c>
      <c r="BA49" s="269" t="b">
        <f t="shared" si="0"/>
        <v>0</v>
      </c>
      <c r="BB49" s="269" t="b">
        <f t="shared" si="0"/>
        <v>0</v>
      </c>
      <c r="BC49" s="269" t="b">
        <f t="shared" si="0"/>
        <v>0</v>
      </c>
      <c r="BD49" s="269" t="b">
        <f t="shared" si="0"/>
        <v>0</v>
      </c>
      <c r="BE49" s="269" t="b">
        <f t="shared" si="0"/>
        <v>0</v>
      </c>
      <c r="BF49" s="269" t="b">
        <f t="shared" si="0"/>
        <v>0</v>
      </c>
      <c r="BG49" s="269" t="b">
        <f t="shared" si="0"/>
        <v>0</v>
      </c>
      <c r="BH49" s="269" t="b">
        <f t="shared" si="0"/>
        <v>0</v>
      </c>
      <c r="BI49" s="269" t="b">
        <f t="shared" si="0"/>
        <v>0</v>
      </c>
      <c r="BJ49" s="269" t="b">
        <f t="shared" si="0"/>
        <v>0</v>
      </c>
      <c r="BK49" s="269" t="b">
        <f t="shared" si="0"/>
        <v>0</v>
      </c>
      <c r="BL49" s="269" t="b">
        <f t="shared" si="0"/>
        <v>0</v>
      </c>
      <c r="BM49" s="269" t="b">
        <f t="shared" si="0"/>
        <v>0</v>
      </c>
      <c r="BN49" s="269" t="b">
        <f t="shared" si="0"/>
        <v>0</v>
      </c>
      <c r="BO49" s="269" t="b">
        <f t="shared" si="0"/>
        <v>0</v>
      </c>
      <c r="BP49" s="269" t="b">
        <f t="shared" ref="BP49:CD49" si="1">IF($B$49,(ROUND((($B$49/$CE$62)*BP62),0)))</f>
        <v>0</v>
      </c>
      <c r="BQ49" s="269" t="b">
        <f t="shared" si="1"/>
        <v>0</v>
      </c>
      <c r="BR49" s="269" t="b">
        <f t="shared" si="1"/>
        <v>0</v>
      </c>
      <c r="BS49" s="269" t="b">
        <f t="shared" si="1"/>
        <v>0</v>
      </c>
      <c r="BT49" s="269" t="b">
        <f t="shared" si="1"/>
        <v>0</v>
      </c>
      <c r="BU49" s="269" t="b">
        <f t="shared" si="1"/>
        <v>0</v>
      </c>
      <c r="BV49" s="269" t="b">
        <f t="shared" si="1"/>
        <v>0</v>
      </c>
      <c r="BW49" s="269" t="b">
        <f t="shared" si="1"/>
        <v>0</v>
      </c>
      <c r="BX49" s="269" t="b">
        <f t="shared" si="1"/>
        <v>0</v>
      </c>
      <c r="BY49" s="269" t="b">
        <f t="shared" si="1"/>
        <v>0</v>
      </c>
      <c r="BZ49" s="269" t="b">
        <f t="shared" si="1"/>
        <v>0</v>
      </c>
      <c r="CA49" s="269" t="b">
        <f t="shared" si="1"/>
        <v>0</v>
      </c>
      <c r="CB49" s="269" t="b">
        <f t="shared" si="1"/>
        <v>0</v>
      </c>
      <c r="CC49" s="269" t="b">
        <f t="shared" si="1"/>
        <v>0</v>
      </c>
      <c r="CD49" s="269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69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>
        <v>7902106.0799999991</v>
      </c>
      <c r="C52" s="213">
        <v>200723.61368719503</v>
      </c>
      <c r="D52" s="213"/>
      <c r="E52" s="213">
        <v>592913.34961133101</v>
      </c>
      <c r="F52" s="213"/>
      <c r="G52" s="213"/>
      <c r="H52" s="213"/>
      <c r="I52" s="213"/>
      <c r="J52" s="213">
        <v>14843.951180114329</v>
      </c>
      <c r="K52" s="213"/>
      <c r="L52" s="213"/>
      <c r="M52" s="213"/>
      <c r="N52" s="213"/>
      <c r="O52" s="213">
        <v>30021.716502071366</v>
      </c>
      <c r="P52" s="213">
        <v>202182.3568513176</v>
      </c>
      <c r="Q52" s="213">
        <v>223176.92597887141</v>
      </c>
      <c r="R52" s="213">
        <v>9595.9247914765201</v>
      </c>
      <c r="S52" s="213">
        <v>91472.465583908895</v>
      </c>
      <c r="T52" s="213"/>
      <c r="U52" s="213">
        <v>135279.72071488301</v>
      </c>
      <c r="V52" s="213"/>
      <c r="W52" s="213">
        <v>65822.667321450892</v>
      </c>
      <c r="X52" s="213">
        <v>24379.210486403568</v>
      </c>
      <c r="Y52" s="213">
        <v>215321.51551368175</v>
      </c>
      <c r="Z52" s="213"/>
      <c r="AA52" s="213">
        <v>21253.244292819338</v>
      </c>
      <c r="AB52" s="213">
        <v>59198.735410900539</v>
      </c>
      <c r="AC52" s="213">
        <v>24805.100669215801</v>
      </c>
      <c r="AD52" s="213"/>
      <c r="AE52" s="213">
        <v>119684.37976899727</v>
      </c>
      <c r="AF52" s="213"/>
      <c r="AG52" s="213">
        <v>293875.00427232753</v>
      </c>
      <c r="AH52" s="213"/>
      <c r="AI52" s="213"/>
      <c r="AJ52" s="213"/>
      <c r="AK52" s="213"/>
      <c r="AL52" s="213"/>
      <c r="AM52" s="213"/>
      <c r="AN52" s="213"/>
      <c r="AO52" s="213"/>
      <c r="AP52" s="213">
        <v>2875129.63</v>
      </c>
      <c r="AQ52" s="213"/>
      <c r="AR52" s="213"/>
      <c r="AS52" s="213"/>
      <c r="AT52" s="213"/>
      <c r="AU52" s="213"/>
      <c r="AV52" s="213">
        <v>8251.1218787208963</v>
      </c>
      <c r="AW52" s="213"/>
      <c r="AX52" s="213"/>
      <c r="AY52" s="213">
        <v>155202.63558633658</v>
      </c>
      <c r="AZ52" s="213"/>
      <c r="BA52" s="213">
        <v>44985.150972808362</v>
      </c>
      <c r="BB52" s="213"/>
      <c r="BC52" s="213"/>
      <c r="BD52" s="213">
        <v>104773.29622456401</v>
      </c>
      <c r="BE52" s="213">
        <v>867316.27287166787</v>
      </c>
      <c r="BF52" s="213">
        <v>70673.750510056198</v>
      </c>
      <c r="BG52" s="213"/>
      <c r="BH52" s="213">
        <v>100181.81204110023</v>
      </c>
      <c r="BI52" s="213"/>
      <c r="BJ52" s="213">
        <v>61019.623806394928</v>
      </c>
      <c r="BK52" s="213">
        <v>84208.004692700939</v>
      </c>
      <c r="BL52" s="213">
        <v>59186.417545887889</v>
      </c>
      <c r="BM52" s="213"/>
      <c r="BN52" s="213">
        <v>165752.27107641721</v>
      </c>
      <c r="BO52" s="213">
        <v>8600.0254052040927</v>
      </c>
      <c r="BP52" s="213">
        <v>87707.818089418986</v>
      </c>
      <c r="BQ52" s="213"/>
      <c r="BR52" s="213">
        <v>65564.608049435978</v>
      </c>
      <c r="BS52" s="213"/>
      <c r="BT52" s="213"/>
      <c r="BU52" s="213"/>
      <c r="BV52" s="213">
        <v>139982.3736300859</v>
      </c>
      <c r="BW52" s="213">
        <v>31467.21796130537</v>
      </c>
      <c r="BX52" s="213"/>
      <c r="BY52" s="213">
        <v>53292.935030587432</v>
      </c>
      <c r="BZ52" s="213"/>
      <c r="CA52" s="213">
        <v>32211.217008069187</v>
      </c>
      <c r="CB52" s="213"/>
      <c r="CC52" s="213">
        <v>562050.01498227066</v>
      </c>
      <c r="CD52" s="20"/>
      <c r="CE52" s="32">
        <f>SUM(C52:CD52)</f>
        <v>7902106.0799999982</v>
      </c>
    </row>
    <row r="53" spans="1:83" x14ac:dyDescent="0.35">
      <c r="A53" s="39" t="s">
        <v>220</v>
      </c>
      <c r="B53" s="270"/>
      <c r="C53" s="269" t="b">
        <f>IF($B$53,ROUND(($B$53/($CE$91+$CF$91)*C91),0))</f>
        <v>0</v>
      </c>
      <c r="D53" s="269" t="b">
        <f t="shared" ref="D53:BO53" si="2">IF($B$53,ROUND(($B$53/($CE$91+$CF$91)*D91),0))</f>
        <v>0</v>
      </c>
      <c r="E53" s="269" t="b">
        <f t="shared" si="2"/>
        <v>0</v>
      </c>
      <c r="F53" s="269" t="b">
        <f t="shared" si="2"/>
        <v>0</v>
      </c>
      <c r="G53" s="269" t="b">
        <f t="shared" si="2"/>
        <v>0</v>
      </c>
      <c r="H53" s="269" t="b">
        <f t="shared" si="2"/>
        <v>0</v>
      </c>
      <c r="I53" s="269" t="b">
        <f t="shared" si="2"/>
        <v>0</v>
      </c>
      <c r="J53" s="269" t="b">
        <f t="shared" si="2"/>
        <v>0</v>
      </c>
      <c r="K53" s="269" t="b">
        <f t="shared" si="2"/>
        <v>0</v>
      </c>
      <c r="L53" s="269" t="b">
        <f t="shared" si="2"/>
        <v>0</v>
      </c>
      <c r="M53" s="269" t="b">
        <f t="shared" si="2"/>
        <v>0</v>
      </c>
      <c r="N53" s="269" t="b">
        <f t="shared" si="2"/>
        <v>0</v>
      </c>
      <c r="O53" s="269" t="b">
        <f t="shared" si="2"/>
        <v>0</v>
      </c>
      <c r="P53" s="269" t="b">
        <f t="shared" si="2"/>
        <v>0</v>
      </c>
      <c r="Q53" s="269" t="b">
        <f t="shared" si="2"/>
        <v>0</v>
      </c>
      <c r="R53" s="269" t="b">
        <f t="shared" si="2"/>
        <v>0</v>
      </c>
      <c r="S53" s="269" t="b">
        <f t="shared" si="2"/>
        <v>0</v>
      </c>
      <c r="T53" s="269" t="b">
        <f t="shared" si="2"/>
        <v>0</v>
      </c>
      <c r="U53" s="269" t="b">
        <f t="shared" si="2"/>
        <v>0</v>
      </c>
      <c r="V53" s="269" t="b">
        <f t="shared" si="2"/>
        <v>0</v>
      </c>
      <c r="W53" s="269" t="b">
        <f t="shared" si="2"/>
        <v>0</v>
      </c>
      <c r="X53" s="269" t="b">
        <f t="shared" si="2"/>
        <v>0</v>
      </c>
      <c r="Y53" s="269" t="b">
        <f t="shared" si="2"/>
        <v>0</v>
      </c>
      <c r="Z53" s="269" t="b">
        <f t="shared" si="2"/>
        <v>0</v>
      </c>
      <c r="AA53" s="269" t="b">
        <f t="shared" si="2"/>
        <v>0</v>
      </c>
      <c r="AB53" s="269" t="b">
        <f t="shared" si="2"/>
        <v>0</v>
      </c>
      <c r="AC53" s="269" t="b">
        <f t="shared" si="2"/>
        <v>0</v>
      </c>
      <c r="AD53" s="269" t="b">
        <f t="shared" si="2"/>
        <v>0</v>
      </c>
      <c r="AE53" s="269" t="b">
        <f t="shared" si="2"/>
        <v>0</v>
      </c>
      <c r="AF53" s="269" t="b">
        <f t="shared" si="2"/>
        <v>0</v>
      </c>
      <c r="AG53" s="269" t="b">
        <f t="shared" si="2"/>
        <v>0</v>
      </c>
      <c r="AH53" s="269" t="b">
        <f t="shared" si="2"/>
        <v>0</v>
      </c>
      <c r="AI53" s="269" t="b">
        <f t="shared" si="2"/>
        <v>0</v>
      </c>
      <c r="AJ53" s="269" t="b">
        <f t="shared" si="2"/>
        <v>0</v>
      </c>
      <c r="AK53" s="269" t="b">
        <f t="shared" si="2"/>
        <v>0</v>
      </c>
      <c r="AL53" s="269" t="b">
        <f t="shared" si="2"/>
        <v>0</v>
      </c>
      <c r="AM53" s="269" t="b">
        <f t="shared" si="2"/>
        <v>0</v>
      </c>
      <c r="AN53" s="269" t="b">
        <f t="shared" si="2"/>
        <v>0</v>
      </c>
      <c r="AO53" s="269" t="b">
        <f t="shared" si="2"/>
        <v>0</v>
      </c>
      <c r="AP53" s="269" t="b">
        <f t="shared" si="2"/>
        <v>0</v>
      </c>
      <c r="AQ53" s="269" t="b">
        <f t="shared" si="2"/>
        <v>0</v>
      </c>
      <c r="AR53" s="269" t="b">
        <f t="shared" si="2"/>
        <v>0</v>
      </c>
      <c r="AS53" s="269" t="b">
        <f t="shared" si="2"/>
        <v>0</v>
      </c>
      <c r="AT53" s="269" t="b">
        <f t="shared" si="2"/>
        <v>0</v>
      </c>
      <c r="AU53" s="269" t="b">
        <f t="shared" si="2"/>
        <v>0</v>
      </c>
      <c r="AV53" s="269" t="b">
        <f t="shared" si="2"/>
        <v>0</v>
      </c>
      <c r="AW53" s="269" t="b">
        <f t="shared" si="2"/>
        <v>0</v>
      </c>
      <c r="AX53" s="269" t="b">
        <f t="shared" si="2"/>
        <v>0</v>
      </c>
      <c r="AY53" s="269" t="b">
        <f t="shared" si="2"/>
        <v>0</v>
      </c>
      <c r="AZ53" s="269" t="b">
        <f t="shared" si="2"/>
        <v>0</v>
      </c>
      <c r="BA53" s="269" t="b">
        <f t="shared" si="2"/>
        <v>0</v>
      </c>
      <c r="BB53" s="269" t="b">
        <f t="shared" si="2"/>
        <v>0</v>
      </c>
      <c r="BC53" s="269" t="b">
        <f t="shared" si="2"/>
        <v>0</v>
      </c>
      <c r="BD53" s="269" t="b">
        <f t="shared" si="2"/>
        <v>0</v>
      </c>
      <c r="BE53" s="269" t="b">
        <f t="shared" si="2"/>
        <v>0</v>
      </c>
      <c r="BF53" s="269" t="b">
        <f t="shared" si="2"/>
        <v>0</v>
      </c>
      <c r="BG53" s="269" t="b">
        <f t="shared" si="2"/>
        <v>0</v>
      </c>
      <c r="BH53" s="269" t="b">
        <f t="shared" si="2"/>
        <v>0</v>
      </c>
      <c r="BI53" s="269" t="b">
        <f t="shared" si="2"/>
        <v>0</v>
      </c>
      <c r="BJ53" s="269" t="b">
        <f t="shared" si="2"/>
        <v>0</v>
      </c>
      <c r="BK53" s="269" t="b">
        <f t="shared" si="2"/>
        <v>0</v>
      </c>
      <c r="BL53" s="269" t="b">
        <f t="shared" si="2"/>
        <v>0</v>
      </c>
      <c r="BM53" s="269" t="b">
        <f t="shared" si="2"/>
        <v>0</v>
      </c>
      <c r="BN53" s="269" t="b">
        <f t="shared" si="2"/>
        <v>0</v>
      </c>
      <c r="BO53" s="269" t="b">
        <f t="shared" si="2"/>
        <v>0</v>
      </c>
      <c r="BP53" s="269" t="b">
        <f t="shared" ref="BP53:CD53" si="3">IF($B$53,ROUND(($B$53/($CE$91+$CF$91)*BP91),0))</f>
        <v>0</v>
      </c>
      <c r="BQ53" s="269" t="b">
        <f t="shared" si="3"/>
        <v>0</v>
      </c>
      <c r="BR53" s="269" t="b">
        <f t="shared" si="3"/>
        <v>0</v>
      </c>
      <c r="BS53" s="269" t="b">
        <f t="shared" si="3"/>
        <v>0</v>
      </c>
      <c r="BT53" s="269" t="b">
        <f t="shared" si="3"/>
        <v>0</v>
      </c>
      <c r="BU53" s="269" t="b">
        <f t="shared" si="3"/>
        <v>0</v>
      </c>
      <c r="BV53" s="269" t="b">
        <f t="shared" si="3"/>
        <v>0</v>
      </c>
      <c r="BW53" s="269" t="b">
        <f t="shared" si="3"/>
        <v>0</v>
      </c>
      <c r="BX53" s="269" t="b">
        <f t="shared" si="3"/>
        <v>0</v>
      </c>
      <c r="BY53" s="269" t="b">
        <f t="shared" si="3"/>
        <v>0</v>
      </c>
      <c r="BZ53" s="269" t="b">
        <f t="shared" si="3"/>
        <v>0</v>
      </c>
      <c r="CA53" s="269" t="b">
        <f t="shared" si="3"/>
        <v>0</v>
      </c>
      <c r="CB53" s="269" t="b">
        <f t="shared" si="3"/>
        <v>0</v>
      </c>
      <c r="CC53" s="269" t="b">
        <f t="shared" si="3"/>
        <v>0</v>
      </c>
      <c r="CD53" s="269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69">
        <f>B52+B53</f>
        <v>7902106.0799999991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1166</v>
      </c>
      <c r="D60" s="213"/>
      <c r="E60" s="213">
        <v>4272</v>
      </c>
      <c r="F60" s="213"/>
      <c r="G60" s="213"/>
      <c r="H60" s="213"/>
      <c r="I60" s="213"/>
      <c r="J60" s="213">
        <v>619</v>
      </c>
      <c r="K60" s="213"/>
      <c r="L60" s="213"/>
      <c r="M60" s="213"/>
      <c r="N60" s="213"/>
      <c r="O60" s="213">
        <v>883</v>
      </c>
      <c r="P60" s="214">
        <v>133270</v>
      </c>
      <c r="Q60" s="214">
        <v>121066</v>
      </c>
      <c r="R60" s="214">
        <v>133270</v>
      </c>
      <c r="S60" s="262"/>
      <c r="T60" s="262"/>
      <c r="U60" s="227">
        <v>263013</v>
      </c>
      <c r="V60" s="214"/>
      <c r="W60" s="214">
        <v>2000</v>
      </c>
      <c r="X60" s="214">
        <v>33716</v>
      </c>
      <c r="Y60" s="214">
        <v>23754</v>
      </c>
      <c r="Z60" s="214"/>
      <c r="AA60" s="214">
        <v>1696</v>
      </c>
      <c r="AB60" s="262"/>
      <c r="AC60" s="214">
        <v>5325</v>
      </c>
      <c r="AD60" s="214"/>
      <c r="AE60" s="214">
        <v>20118</v>
      </c>
      <c r="AF60" s="214"/>
      <c r="AG60" s="214">
        <v>17349</v>
      </c>
      <c r="AH60" s="214"/>
      <c r="AI60" s="214"/>
      <c r="AJ60" s="214"/>
      <c r="AK60" s="214"/>
      <c r="AL60" s="214"/>
      <c r="AM60" s="214"/>
      <c r="AN60" s="214"/>
      <c r="AO60" s="214"/>
      <c r="AP60" s="214">
        <v>84202</v>
      </c>
      <c r="AQ60" s="214"/>
      <c r="AR60" s="214"/>
      <c r="AS60" s="214"/>
      <c r="AT60" s="214"/>
      <c r="AU60" s="214"/>
      <c r="AV60" s="262"/>
      <c r="AW60" s="262"/>
      <c r="AX60" s="262"/>
      <c r="AY60" s="214">
        <v>33137.114391143914</v>
      </c>
      <c r="AZ60" s="214"/>
      <c r="BA60" s="262"/>
      <c r="BB60" s="262"/>
      <c r="BC60" s="262"/>
      <c r="BD60" s="262"/>
      <c r="BE60" s="214">
        <v>241486.90000000002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35">
      <c r="A61" s="240" t="s">
        <v>247</v>
      </c>
      <c r="B61" s="241"/>
      <c r="C61" s="242">
        <v>19.982597130494504</v>
      </c>
      <c r="D61" s="242"/>
      <c r="E61" s="242">
        <v>48.04791311195055</v>
      </c>
      <c r="F61" s="242"/>
      <c r="G61" s="242"/>
      <c r="H61" s="242"/>
      <c r="I61" s="242"/>
      <c r="J61" s="242">
        <v>0</v>
      </c>
      <c r="K61" s="242"/>
      <c r="L61" s="242"/>
      <c r="M61" s="242"/>
      <c r="N61" s="242"/>
      <c r="O61" s="242">
        <v>0</v>
      </c>
      <c r="P61" s="243">
        <v>16.607230490899724</v>
      </c>
      <c r="Q61" s="243">
        <v>13.104546598729398</v>
      </c>
      <c r="R61" s="243">
        <v>3.9400814835164826</v>
      </c>
      <c r="S61" s="244"/>
      <c r="T61" s="244"/>
      <c r="U61" s="245">
        <v>27.920440970975271</v>
      </c>
      <c r="V61" s="243"/>
      <c r="W61" s="243">
        <v>2.0669674196428574</v>
      </c>
      <c r="X61" s="243">
        <v>3.9518429646291207</v>
      </c>
      <c r="Y61" s="243">
        <v>23.596347804429946</v>
      </c>
      <c r="Z61" s="243"/>
      <c r="AA61" s="243">
        <v>0.90204462293956034</v>
      </c>
      <c r="AB61" s="244">
        <v>13.614623397493132</v>
      </c>
      <c r="AC61" s="243">
        <v>8.5926150630151099</v>
      </c>
      <c r="AD61" s="243"/>
      <c r="AE61" s="243">
        <v>19.669580366414834</v>
      </c>
      <c r="AF61" s="243"/>
      <c r="AG61" s="243">
        <v>30.697131251263738</v>
      </c>
      <c r="AH61" s="243"/>
      <c r="AI61" s="243"/>
      <c r="AJ61" s="243"/>
      <c r="AK61" s="243"/>
      <c r="AL61" s="243"/>
      <c r="AM61" s="243"/>
      <c r="AN61" s="243"/>
      <c r="AO61" s="243"/>
      <c r="AP61" s="243">
        <v>152.94978771897664</v>
      </c>
      <c r="AQ61" s="243"/>
      <c r="AR61" s="243"/>
      <c r="AS61" s="243"/>
      <c r="AT61" s="243"/>
      <c r="AU61" s="243"/>
      <c r="AV61" s="244">
        <v>3.0691837087912091</v>
      </c>
      <c r="AW61" s="244"/>
      <c r="AX61" s="244"/>
      <c r="AY61" s="243">
        <v>17.278887445329666</v>
      </c>
      <c r="AZ61" s="243"/>
      <c r="BA61" s="244">
        <v>1.0092477106799449</v>
      </c>
      <c r="BB61" s="244"/>
      <c r="BC61" s="244"/>
      <c r="BD61" s="244">
        <v>5.8210046710164827</v>
      </c>
      <c r="BE61" s="243">
        <v>11.239351844436813</v>
      </c>
      <c r="BF61" s="244">
        <v>29.426277298420327</v>
      </c>
      <c r="BG61" s="244"/>
      <c r="BH61" s="244">
        <v>0</v>
      </c>
      <c r="BI61" s="244"/>
      <c r="BJ61" s="244">
        <v>6.2639791149587909</v>
      </c>
      <c r="BK61" s="244">
        <v>22.266723634271976</v>
      </c>
      <c r="BL61" s="244">
        <v>23.099238414313188</v>
      </c>
      <c r="BM61" s="244"/>
      <c r="BN61" s="244">
        <v>10.796932541380494</v>
      </c>
      <c r="BO61" s="244">
        <v>1.8538233598214284</v>
      </c>
      <c r="BP61" s="244"/>
      <c r="BQ61" s="244"/>
      <c r="BR61" s="244">
        <v>5.5315300978708777</v>
      </c>
      <c r="BS61" s="244"/>
      <c r="BT61" s="244"/>
      <c r="BU61" s="244"/>
      <c r="BV61" s="244">
        <v>19.895381862293956</v>
      </c>
      <c r="BW61" s="244">
        <v>2.0088628571428573</v>
      </c>
      <c r="BX61" s="244"/>
      <c r="BY61" s="244">
        <v>29.996631211366754</v>
      </c>
      <c r="BZ61" s="244"/>
      <c r="CA61" s="244">
        <v>1.1600067922390112</v>
      </c>
      <c r="CB61" s="244"/>
      <c r="CC61" s="244">
        <v>14.169508336881867</v>
      </c>
      <c r="CD61" s="246" t="s">
        <v>233</v>
      </c>
      <c r="CE61" s="267">
        <f t="shared" ref="CE61:CE69" si="4">SUM(C61:CD61)</f>
        <v>590.53032129658641</v>
      </c>
    </row>
    <row r="62" spans="1:83" x14ac:dyDescent="0.35">
      <c r="A62" s="39" t="s">
        <v>248</v>
      </c>
      <c r="B62" s="20"/>
      <c r="C62" s="213">
        <v>2122612.08</v>
      </c>
      <c r="D62" s="213"/>
      <c r="E62" s="213">
        <v>4659053.33</v>
      </c>
      <c r="F62" s="213"/>
      <c r="G62" s="213"/>
      <c r="H62" s="213"/>
      <c r="I62" s="213"/>
      <c r="J62" s="213">
        <v>0</v>
      </c>
      <c r="K62" s="213"/>
      <c r="L62" s="213"/>
      <c r="M62" s="213"/>
      <c r="N62" s="213"/>
      <c r="O62" s="213">
        <v>0</v>
      </c>
      <c r="P62" s="214">
        <v>1410228.5899999999</v>
      </c>
      <c r="Q62" s="214">
        <v>1401259.7799999998</v>
      </c>
      <c r="R62" s="214">
        <v>903136.77</v>
      </c>
      <c r="S62" s="228"/>
      <c r="T62" s="228"/>
      <c r="U62" s="227">
        <v>1925402.5099999998</v>
      </c>
      <c r="V62" s="214"/>
      <c r="W62" s="214">
        <v>209439.83</v>
      </c>
      <c r="X62" s="214">
        <v>432158.98</v>
      </c>
      <c r="Y62" s="214">
        <v>1942598.86</v>
      </c>
      <c r="Z62" s="214"/>
      <c r="AA62" s="214">
        <v>92301.07</v>
      </c>
      <c r="AB62" s="239">
        <v>1573055.8599999999</v>
      </c>
      <c r="AC62" s="214">
        <v>766905.3400000002</v>
      </c>
      <c r="AD62" s="214"/>
      <c r="AE62" s="214">
        <v>1563883.07</v>
      </c>
      <c r="AF62" s="214"/>
      <c r="AG62" s="214">
        <v>3736888.7199999997</v>
      </c>
      <c r="AH62" s="214"/>
      <c r="AI62" s="214"/>
      <c r="AJ62" s="214"/>
      <c r="AK62" s="214"/>
      <c r="AL62" s="214"/>
      <c r="AM62" s="214"/>
      <c r="AN62" s="214"/>
      <c r="AO62" s="214"/>
      <c r="AP62" s="214">
        <v>15750609.6</v>
      </c>
      <c r="AQ62" s="214"/>
      <c r="AR62" s="214"/>
      <c r="AS62" s="214"/>
      <c r="AT62" s="214"/>
      <c r="AU62" s="214"/>
      <c r="AV62" s="228">
        <v>269586.37</v>
      </c>
      <c r="AW62" s="228"/>
      <c r="AX62" s="228"/>
      <c r="AY62" s="214">
        <v>794769.24</v>
      </c>
      <c r="AZ62" s="214"/>
      <c r="BA62" s="228">
        <v>45416.990000000005</v>
      </c>
      <c r="BB62" s="228"/>
      <c r="BC62" s="228"/>
      <c r="BD62" s="228">
        <v>358491.97000000003</v>
      </c>
      <c r="BE62" s="214">
        <v>774954.44000000006</v>
      </c>
      <c r="BF62" s="228">
        <v>1305266.6099999999</v>
      </c>
      <c r="BG62" s="228"/>
      <c r="BH62" s="228">
        <v>0</v>
      </c>
      <c r="BI62" s="228"/>
      <c r="BJ62" s="228">
        <v>484822.19999999995</v>
      </c>
      <c r="BK62" s="228">
        <v>1322442.7600000002</v>
      </c>
      <c r="BL62" s="228">
        <v>1171736.93</v>
      </c>
      <c r="BM62" s="228"/>
      <c r="BN62" s="228">
        <v>1874858.84</v>
      </c>
      <c r="BO62" s="228">
        <v>165680.26</v>
      </c>
      <c r="BP62" s="228"/>
      <c r="BQ62" s="228"/>
      <c r="BR62" s="228">
        <v>554537.4</v>
      </c>
      <c r="BS62" s="228"/>
      <c r="BT62" s="228"/>
      <c r="BU62" s="228"/>
      <c r="BV62" s="228">
        <v>1174868.96</v>
      </c>
      <c r="BW62" s="228">
        <v>170400.12</v>
      </c>
      <c r="BX62" s="228"/>
      <c r="BY62" s="228">
        <v>2937477.21</v>
      </c>
      <c r="BZ62" s="228"/>
      <c r="CA62" s="228">
        <v>75829.249999999985</v>
      </c>
      <c r="CB62" s="228"/>
      <c r="CC62" s="228">
        <v>1050522.67</v>
      </c>
      <c r="CD62" s="29" t="s">
        <v>233</v>
      </c>
      <c r="CE62" s="32">
        <f t="shared" si="4"/>
        <v>53021196.609999999</v>
      </c>
    </row>
    <row r="63" spans="1:83" x14ac:dyDescent="0.35">
      <c r="A63" s="39" t="s">
        <v>9</v>
      </c>
      <c r="B63" s="20"/>
      <c r="C63" s="268">
        <f>ROUND(C48+C49,0)</f>
        <v>686356</v>
      </c>
      <c r="D63" s="268">
        <f t="shared" ref="D63:BO63" si="5">ROUND(D48+D49,0)</f>
        <v>0</v>
      </c>
      <c r="E63" s="268">
        <f t="shared" si="5"/>
        <v>1567618</v>
      </c>
      <c r="F63" s="268">
        <f t="shared" si="5"/>
        <v>0</v>
      </c>
      <c r="G63" s="268">
        <f t="shared" si="5"/>
        <v>0</v>
      </c>
      <c r="H63" s="268">
        <f t="shared" si="5"/>
        <v>0</v>
      </c>
      <c r="I63" s="268">
        <f t="shared" si="5"/>
        <v>0</v>
      </c>
      <c r="J63" s="268">
        <f t="shared" si="5"/>
        <v>0</v>
      </c>
      <c r="K63" s="268">
        <f t="shared" si="5"/>
        <v>0</v>
      </c>
      <c r="L63" s="268">
        <f t="shared" si="5"/>
        <v>0</v>
      </c>
      <c r="M63" s="268">
        <f t="shared" si="5"/>
        <v>0</v>
      </c>
      <c r="N63" s="268">
        <f t="shared" si="5"/>
        <v>0</v>
      </c>
      <c r="O63" s="268">
        <f t="shared" si="5"/>
        <v>0</v>
      </c>
      <c r="P63" s="268">
        <f t="shared" si="5"/>
        <v>490976</v>
      </c>
      <c r="Q63" s="268">
        <f t="shared" si="5"/>
        <v>484609</v>
      </c>
      <c r="R63" s="268">
        <f t="shared" si="5"/>
        <v>209111</v>
      </c>
      <c r="S63" s="268">
        <f t="shared" si="5"/>
        <v>0</v>
      </c>
      <c r="T63" s="268">
        <f t="shared" si="5"/>
        <v>0</v>
      </c>
      <c r="U63" s="268">
        <f t="shared" si="5"/>
        <v>708880</v>
      </c>
      <c r="V63" s="268">
        <f t="shared" si="5"/>
        <v>0</v>
      </c>
      <c r="W63" s="268">
        <f t="shared" si="5"/>
        <v>83905</v>
      </c>
      <c r="X63" s="268">
        <f t="shared" si="5"/>
        <v>148908</v>
      </c>
      <c r="Y63" s="268">
        <f t="shared" si="5"/>
        <v>707662</v>
      </c>
      <c r="Z63" s="268">
        <f t="shared" si="5"/>
        <v>0</v>
      </c>
      <c r="AA63" s="268">
        <f t="shared" si="5"/>
        <v>29716</v>
      </c>
      <c r="AB63" s="268">
        <f t="shared" si="5"/>
        <v>549092</v>
      </c>
      <c r="AC63" s="268">
        <f t="shared" si="5"/>
        <v>310348</v>
      </c>
      <c r="AD63" s="268">
        <f t="shared" si="5"/>
        <v>0</v>
      </c>
      <c r="AE63" s="268">
        <f t="shared" si="5"/>
        <v>566369</v>
      </c>
      <c r="AF63" s="268">
        <f t="shared" si="5"/>
        <v>0</v>
      </c>
      <c r="AG63" s="268">
        <f t="shared" si="5"/>
        <v>938344</v>
      </c>
      <c r="AH63" s="268">
        <f t="shared" si="5"/>
        <v>0</v>
      </c>
      <c r="AI63" s="268">
        <f t="shared" si="5"/>
        <v>0</v>
      </c>
      <c r="AJ63" s="268">
        <f t="shared" si="5"/>
        <v>0</v>
      </c>
      <c r="AK63" s="268">
        <f t="shared" si="5"/>
        <v>0</v>
      </c>
      <c r="AL63" s="268">
        <f t="shared" si="5"/>
        <v>0</v>
      </c>
      <c r="AM63" s="268">
        <f t="shared" si="5"/>
        <v>0</v>
      </c>
      <c r="AN63" s="268">
        <f t="shared" si="5"/>
        <v>0</v>
      </c>
      <c r="AO63" s="268">
        <f t="shared" si="5"/>
        <v>0</v>
      </c>
      <c r="AP63" s="268">
        <f t="shared" si="5"/>
        <v>4881683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98606</v>
      </c>
      <c r="AW63" s="268">
        <f t="shared" si="5"/>
        <v>0</v>
      </c>
      <c r="AX63" s="268">
        <f t="shared" si="5"/>
        <v>0</v>
      </c>
      <c r="AY63" s="268">
        <f t="shared" si="5"/>
        <v>449300</v>
      </c>
      <c r="AZ63" s="268">
        <f t="shared" si="5"/>
        <v>0</v>
      </c>
      <c r="BA63" s="268">
        <f t="shared" si="5"/>
        <v>45145</v>
      </c>
      <c r="BB63" s="268">
        <f t="shared" si="5"/>
        <v>0</v>
      </c>
      <c r="BC63" s="268">
        <f t="shared" si="5"/>
        <v>0</v>
      </c>
      <c r="BD63" s="268">
        <f t="shared" si="5"/>
        <v>122870</v>
      </c>
      <c r="BE63" s="268">
        <f t="shared" si="5"/>
        <v>322273</v>
      </c>
      <c r="BF63" s="268">
        <f t="shared" si="5"/>
        <v>644213</v>
      </c>
      <c r="BG63" s="268">
        <f t="shared" si="5"/>
        <v>0</v>
      </c>
      <c r="BH63" s="268">
        <f t="shared" si="5"/>
        <v>0</v>
      </c>
      <c r="BI63" s="268">
        <f t="shared" si="5"/>
        <v>0</v>
      </c>
      <c r="BJ63" s="268">
        <f t="shared" si="5"/>
        <v>198069</v>
      </c>
      <c r="BK63" s="268">
        <f t="shared" si="5"/>
        <v>594825</v>
      </c>
      <c r="BL63" s="268">
        <f t="shared" si="5"/>
        <v>536122</v>
      </c>
      <c r="BM63" s="268">
        <f t="shared" si="5"/>
        <v>0</v>
      </c>
      <c r="BN63" s="268">
        <f t="shared" si="5"/>
        <v>560851</v>
      </c>
      <c r="BO63" s="268">
        <f t="shared" si="5"/>
        <v>41890</v>
      </c>
      <c r="BP63" s="268">
        <f t="shared" ref="BP63:CC63" si="6">ROUND(BP48+BP49,0)</f>
        <v>0</v>
      </c>
      <c r="BQ63" s="268">
        <f t="shared" si="6"/>
        <v>0</v>
      </c>
      <c r="BR63" s="268">
        <f t="shared" si="6"/>
        <v>157001</v>
      </c>
      <c r="BS63" s="268">
        <f t="shared" si="6"/>
        <v>0</v>
      </c>
      <c r="BT63" s="268">
        <f t="shared" si="6"/>
        <v>0</v>
      </c>
      <c r="BU63" s="268">
        <f t="shared" si="6"/>
        <v>0</v>
      </c>
      <c r="BV63" s="268">
        <f t="shared" si="6"/>
        <v>539963</v>
      </c>
      <c r="BW63" s="268">
        <f t="shared" si="6"/>
        <v>60518</v>
      </c>
      <c r="BX63" s="268">
        <f t="shared" si="6"/>
        <v>0</v>
      </c>
      <c r="BY63" s="268">
        <f t="shared" si="6"/>
        <v>973981</v>
      </c>
      <c r="BZ63" s="268">
        <f t="shared" si="6"/>
        <v>0</v>
      </c>
      <c r="CA63" s="268">
        <f t="shared" si="6"/>
        <v>29612</v>
      </c>
      <c r="CB63" s="268">
        <f t="shared" si="6"/>
        <v>0</v>
      </c>
      <c r="CC63" s="268">
        <f t="shared" si="6"/>
        <v>421979</v>
      </c>
      <c r="CD63" s="29" t="s">
        <v>233</v>
      </c>
      <c r="CE63" s="32">
        <f t="shared" si="4"/>
        <v>18160795</v>
      </c>
    </row>
    <row r="64" spans="1:83" x14ac:dyDescent="0.35">
      <c r="A64" s="39" t="s">
        <v>249</v>
      </c>
      <c r="B64" s="20"/>
      <c r="C64" s="213">
        <v>186078.75</v>
      </c>
      <c r="D64" s="213"/>
      <c r="E64" s="213">
        <v>964317.81</v>
      </c>
      <c r="F64" s="213"/>
      <c r="G64" s="213"/>
      <c r="H64" s="213"/>
      <c r="I64" s="213"/>
      <c r="J64" s="213">
        <v>0</v>
      </c>
      <c r="K64" s="213"/>
      <c r="L64" s="213"/>
      <c r="M64" s="213"/>
      <c r="N64" s="213"/>
      <c r="O64" s="213">
        <v>0</v>
      </c>
      <c r="P64" s="214">
        <v>223065.42</v>
      </c>
      <c r="Q64" s="214">
        <v>0</v>
      </c>
      <c r="R64" s="214">
        <v>113557.82</v>
      </c>
      <c r="S64" s="228">
        <v>0</v>
      </c>
      <c r="T64" s="228"/>
      <c r="U64" s="227">
        <v>164966.19</v>
      </c>
      <c r="V64" s="214"/>
      <c r="W64" s="214">
        <v>0</v>
      </c>
      <c r="X64" s="214">
        <v>0</v>
      </c>
      <c r="Y64" s="214">
        <v>0</v>
      </c>
      <c r="Z64" s="214"/>
      <c r="AA64" s="214">
        <v>0</v>
      </c>
      <c r="AB64" s="239">
        <v>0</v>
      </c>
      <c r="AC64" s="214">
        <v>0</v>
      </c>
      <c r="AD64" s="214"/>
      <c r="AE64" s="214">
        <v>194654.37000000002</v>
      </c>
      <c r="AF64" s="214"/>
      <c r="AG64" s="214">
        <v>3259513.88</v>
      </c>
      <c r="AH64" s="214"/>
      <c r="AI64" s="214"/>
      <c r="AJ64" s="214"/>
      <c r="AK64" s="214"/>
      <c r="AL64" s="214"/>
      <c r="AM64" s="214"/>
      <c r="AN64" s="214"/>
      <c r="AO64" s="214"/>
      <c r="AP64" s="214">
        <v>2578624.7600000002</v>
      </c>
      <c r="AQ64" s="214"/>
      <c r="AR64" s="214"/>
      <c r="AS64" s="214"/>
      <c r="AT64" s="214"/>
      <c r="AU64" s="214"/>
      <c r="AV64" s="228">
        <v>0</v>
      </c>
      <c r="AW64" s="228"/>
      <c r="AX64" s="228"/>
      <c r="AY64" s="214">
        <v>0</v>
      </c>
      <c r="AZ64" s="214"/>
      <c r="BA64" s="228">
        <v>0</v>
      </c>
      <c r="BB64" s="228"/>
      <c r="BC64" s="228"/>
      <c r="BD64" s="228">
        <v>45972.7</v>
      </c>
      <c r="BE64" s="214">
        <v>6764.33</v>
      </c>
      <c r="BF64" s="228">
        <v>0</v>
      </c>
      <c r="BG64" s="228"/>
      <c r="BH64" s="228">
        <v>0</v>
      </c>
      <c r="BI64" s="228"/>
      <c r="BJ64" s="228">
        <v>0</v>
      </c>
      <c r="BK64" s="228">
        <v>63573.099999999991</v>
      </c>
      <c r="BL64" s="228">
        <v>0</v>
      </c>
      <c r="BM64" s="228"/>
      <c r="BN64" s="228">
        <v>182343.24</v>
      </c>
      <c r="BO64" s="228">
        <v>0</v>
      </c>
      <c r="BP64" s="228">
        <v>0</v>
      </c>
      <c r="BQ64" s="228"/>
      <c r="BR64" s="228">
        <v>0</v>
      </c>
      <c r="BS64" s="228"/>
      <c r="BT64" s="228"/>
      <c r="BU64" s="228"/>
      <c r="BV64" s="228">
        <v>0</v>
      </c>
      <c r="BW64" s="228">
        <v>20000</v>
      </c>
      <c r="BX64" s="228"/>
      <c r="BY64" s="228">
        <v>102844.76</v>
      </c>
      <c r="BZ64" s="228"/>
      <c r="CA64" s="228">
        <v>0</v>
      </c>
      <c r="CB64" s="228"/>
      <c r="CC64" s="228">
        <v>38318.300000000003</v>
      </c>
      <c r="CD64" s="29" t="s">
        <v>233</v>
      </c>
      <c r="CE64" s="32">
        <f t="shared" si="4"/>
        <v>8144595.4299999997</v>
      </c>
    </row>
    <row r="65" spans="1:83" x14ac:dyDescent="0.35">
      <c r="A65" s="39" t="s">
        <v>250</v>
      </c>
      <c r="B65" s="20"/>
      <c r="C65" s="213">
        <v>320092.3899999999</v>
      </c>
      <c r="D65" s="213"/>
      <c r="E65" s="213">
        <v>218344.20000000004</v>
      </c>
      <c r="F65" s="213"/>
      <c r="G65" s="213"/>
      <c r="H65" s="213"/>
      <c r="I65" s="213"/>
      <c r="J65" s="213">
        <v>30400.47</v>
      </c>
      <c r="K65" s="213"/>
      <c r="L65" s="213"/>
      <c r="M65" s="213"/>
      <c r="N65" s="213"/>
      <c r="O65" s="213">
        <v>75112.350000000006</v>
      </c>
      <c r="P65" s="214">
        <v>852488.84000000008</v>
      </c>
      <c r="Q65" s="214">
        <v>108313.24</v>
      </c>
      <c r="R65" s="214">
        <v>55471.08</v>
      </c>
      <c r="S65" s="228">
        <v>4611449.82</v>
      </c>
      <c r="T65" s="228"/>
      <c r="U65" s="227">
        <v>2026808.92</v>
      </c>
      <c r="V65" s="214"/>
      <c r="W65" s="214">
        <v>23972.94</v>
      </c>
      <c r="X65" s="214">
        <v>152405.16999999998</v>
      </c>
      <c r="Y65" s="214">
        <v>65569.100000000006</v>
      </c>
      <c r="Z65" s="214"/>
      <c r="AA65" s="214">
        <v>40181.019999999997</v>
      </c>
      <c r="AB65" s="239">
        <v>2757108.99</v>
      </c>
      <c r="AC65" s="214">
        <v>130772.86999999998</v>
      </c>
      <c r="AD65" s="214"/>
      <c r="AE65" s="214">
        <v>43315.14</v>
      </c>
      <c r="AF65" s="214"/>
      <c r="AG65" s="214">
        <v>345947.80000000005</v>
      </c>
      <c r="AH65" s="214"/>
      <c r="AI65" s="214"/>
      <c r="AJ65" s="214"/>
      <c r="AK65" s="214"/>
      <c r="AL65" s="214"/>
      <c r="AM65" s="214"/>
      <c r="AN65" s="214"/>
      <c r="AO65" s="214"/>
      <c r="AP65" s="214">
        <v>1121849.08</v>
      </c>
      <c r="AQ65" s="214"/>
      <c r="AR65" s="214"/>
      <c r="AS65" s="214"/>
      <c r="AT65" s="214"/>
      <c r="AU65" s="214"/>
      <c r="AV65" s="228">
        <v>12196.120000000003</v>
      </c>
      <c r="AW65" s="228"/>
      <c r="AX65" s="228"/>
      <c r="AY65" s="214">
        <v>688351.21</v>
      </c>
      <c r="AZ65" s="214"/>
      <c r="BA65" s="228">
        <v>69746.699999999983</v>
      </c>
      <c r="BB65" s="228"/>
      <c r="BC65" s="228"/>
      <c r="BD65" s="228">
        <v>-15059.340000000006</v>
      </c>
      <c r="BE65" s="214">
        <v>78154.100000000006</v>
      </c>
      <c r="BF65" s="228">
        <v>159695.83000000002</v>
      </c>
      <c r="BG65" s="228"/>
      <c r="BH65" s="228">
        <v>448344.9200000001</v>
      </c>
      <c r="BI65" s="228"/>
      <c r="BJ65" s="228">
        <v>8501.1</v>
      </c>
      <c r="BK65" s="228">
        <v>14164.03</v>
      </c>
      <c r="BL65" s="228">
        <v>19339.04</v>
      </c>
      <c r="BM65" s="228"/>
      <c r="BN65" s="228">
        <v>50668.72</v>
      </c>
      <c r="BO65" s="228">
        <v>1497.0300000000004</v>
      </c>
      <c r="BP65" s="228">
        <v>1166.77</v>
      </c>
      <c r="BQ65" s="228"/>
      <c r="BR65" s="228">
        <v>10050.629999999999</v>
      </c>
      <c r="BS65" s="228"/>
      <c r="BT65" s="228"/>
      <c r="BU65" s="228"/>
      <c r="BV65" s="228">
        <v>8734.14</v>
      </c>
      <c r="BW65" s="228">
        <v>1744.7</v>
      </c>
      <c r="BX65" s="228"/>
      <c r="BY65" s="228">
        <v>8591.0300000000007</v>
      </c>
      <c r="BZ65" s="228"/>
      <c r="CA65" s="228">
        <v>2481.7400000000007</v>
      </c>
      <c r="CB65" s="228"/>
      <c r="CC65" s="228">
        <v>143286.66</v>
      </c>
      <c r="CD65" s="29" t="s">
        <v>233</v>
      </c>
      <c r="CE65" s="32">
        <f t="shared" si="4"/>
        <v>14691258.549999997</v>
      </c>
    </row>
    <row r="66" spans="1:83" x14ac:dyDescent="0.35">
      <c r="A66" s="39" t="s">
        <v>251</v>
      </c>
      <c r="B66" s="20"/>
      <c r="C66" s="213">
        <v>615.27</v>
      </c>
      <c r="D66" s="213"/>
      <c r="E66" s="213">
        <v>1139.0999999999999</v>
      </c>
      <c r="F66" s="213"/>
      <c r="G66" s="213"/>
      <c r="H66" s="213"/>
      <c r="I66" s="213"/>
      <c r="J66" s="213">
        <v>0</v>
      </c>
      <c r="K66" s="213"/>
      <c r="L66" s="213"/>
      <c r="M66" s="213"/>
      <c r="N66" s="213"/>
      <c r="O66" s="213">
        <v>0</v>
      </c>
      <c r="P66" s="214">
        <v>615.27</v>
      </c>
      <c r="Q66" s="214">
        <v>0</v>
      </c>
      <c r="R66" s="214">
        <v>0</v>
      </c>
      <c r="S66" s="228">
        <v>0</v>
      </c>
      <c r="T66" s="228"/>
      <c r="U66" s="227">
        <v>107.52</v>
      </c>
      <c r="V66" s="214"/>
      <c r="W66" s="214">
        <v>0</v>
      </c>
      <c r="X66" s="214">
        <v>0</v>
      </c>
      <c r="Y66" s="214">
        <v>0</v>
      </c>
      <c r="Z66" s="214"/>
      <c r="AA66" s="214">
        <v>0</v>
      </c>
      <c r="AB66" s="239">
        <v>0</v>
      </c>
      <c r="AC66" s="214">
        <v>0</v>
      </c>
      <c r="AD66" s="214"/>
      <c r="AE66" s="214">
        <v>0</v>
      </c>
      <c r="AF66" s="214"/>
      <c r="AG66" s="214">
        <v>480.11999999999995</v>
      </c>
      <c r="AH66" s="214"/>
      <c r="AI66" s="214"/>
      <c r="AJ66" s="214"/>
      <c r="AK66" s="214"/>
      <c r="AL66" s="214"/>
      <c r="AM66" s="214"/>
      <c r="AN66" s="214"/>
      <c r="AO66" s="214"/>
      <c r="AP66" s="214">
        <v>45085.54</v>
      </c>
      <c r="AQ66" s="214"/>
      <c r="AR66" s="214"/>
      <c r="AS66" s="214"/>
      <c r="AT66" s="214"/>
      <c r="AU66" s="214"/>
      <c r="AV66" s="228">
        <v>0</v>
      </c>
      <c r="AW66" s="228"/>
      <c r="AX66" s="228"/>
      <c r="AY66" s="214">
        <v>0</v>
      </c>
      <c r="AZ66" s="214"/>
      <c r="BA66" s="228">
        <v>0</v>
      </c>
      <c r="BB66" s="228"/>
      <c r="BC66" s="228"/>
      <c r="BD66" s="228">
        <v>2428.17</v>
      </c>
      <c r="BE66" s="214">
        <v>745510.20000000007</v>
      </c>
      <c r="BF66" s="228">
        <v>151235.51</v>
      </c>
      <c r="BG66" s="228"/>
      <c r="BH66" s="228">
        <v>274571.53999999998</v>
      </c>
      <c r="BI66" s="228"/>
      <c r="BJ66" s="228">
        <v>434.91999999999985</v>
      </c>
      <c r="BK66" s="228">
        <v>0</v>
      </c>
      <c r="BL66" s="228">
        <v>0</v>
      </c>
      <c r="BM66" s="228"/>
      <c r="BN66" s="228">
        <v>949.43999999999983</v>
      </c>
      <c r="BO66" s="228">
        <v>959.24000000000012</v>
      </c>
      <c r="BP66" s="228">
        <v>0</v>
      </c>
      <c r="BQ66" s="228"/>
      <c r="BR66" s="228">
        <v>998.80999999999983</v>
      </c>
      <c r="BS66" s="228"/>
      <c r="BT66" s="228"/>
      <c r="BU66" s="228"/>
      <c r="BV66" s="228">
        <v>5014.0000000000009</v>
      </c>
      <c r="BW66" s="228">
        <v>0</v>
      </c>
      <c r="BX66" s="228"/>
      <c r="BY66" s="228">
        <v>5520.6999999999989</v>
      </c>
      <c r="BZ66" s="228"/>
      <c r="CA66" s="228">
        <v>0</v>
      </c>
      <c r="CB66" s="228"/>
      <c r="CC66" s="228">
        <v>3941.07</v>
      </c>
      <c r="CD66" s="29" t="s">
        <v>233</v>
      </c>
      <c r="CE66" s="32">
        <f t="shared" si="4"/>
        <v>1239606.42</v>
      </c>
    </row>
    <row r="67" spans="1:83" x14ac:dyDescent="0.35">
      <c r="A67" s="39" t="s">
        <v>252</v>
      </c>
      <c r="B67" s="20"/>
      <c r="C67" s="213">
        <v>5725</v>
      </c>
      <c r="D67" s="213"/>
      <c r="E67" s="213">
        <v>10523.729999999998</v>
      </c>
      <c r="F67" s="213"/>
      <c r="G67" s="213"/>
      <c r="H67" s="213"/>
      <c r="I67" s="213"/>
      <c r="J67" s="213">
        <v>3220.5799999999995</v>
      </c>
      <c r="K67" s="213"/>
      <c r="L67" s="213"/>
      <c r="M67" s="213"/>
      <c r="N67" s="213"/>
      <c r="O67" s="213">
        <v>8662.19</v>
      </c>
      <c r="P67" s="214">
        <v>198000.58</v>
      </c>
      <c r="Q67" s="214">
        <v>6785.8</v>
      </c>
      <c r="R67" s="214">
        <v>58159.54</v>
      </c>
      <c r="S67" s="228">
        <v>109.67</v>
      </c>
      <c r="T67" s="228"/>
      <c r="U67" s="227">
        <v>1089953.4100000001</v>
      </c>
      <c r="V67" s="214"/>
      <c r="W67" s="214">
        <v>10729.4</v>
      </c>
      <c r="X67" s="214">
        <v>90981.610000000015</v>
      </c>
      <c r="Y67" s="214">
        <v>663580.61</v>
      </c>
      <c r="Z67" s="214"/>
      <c r="AA67" s="214">
        <v>38541.49</v>
      </c>
      <c r="AB67" s="239">
        <v>345399.45999999996</v>
      </c>
      <c r="AC67" s="214">
        <v>43134.950000000012</v>
      </c>
      <c r="AD67" s="214"/>
      <c r="AE67" s="214">
        <v>8388.2099999999991</v>
      </c>
      <c r="AF67" s="214"/>
      <c r="AG67" s="214">
        <v>397398.25</v>
      </c>
      <c r="AH67" s="214"/>
      <c r="AI67" s="214"/>
      <c r="AJ67" s="214"/>
      <c r="AK67" s="214"/>
      <c r="AL67" s="214"/>
      <c r="AM67" s="214"/>
      <c r="AN67" s="214"/>
      <c r="AO67" s="214"/>
      <c r="AP67" s="214">
        <v>363737.28</v>
      </c>
      <c r="AQ67" s="214"/>
      <c r="AR67" s="214"/>
      <c r="AS67" s="214"/>
      <c r="AT67" s="214"/>
      <c r="AU67" s="214"/>
      <c r="AV67" s="228">
        <v>11392.93</v>
      </c>
      <c r="AW67" s="228"/>
      <c r="AX67" s="228"/>
      <c r="AY67" s="214">
        <v>24410.720000000001</v>
      </c>
      <c r="AZ67" s="214"/>
      <c r="BA67" s="228">
        <v>166382.35999999999</v>
      </c>
      <c r="BB67" s="228"/>
      <c r="BC67" s="228"/>
      <c r="BD67" s="228">
        <v>1096.52</v>
      </c>
      <c r="BE67" s="214">
        <v>456236.45000000007</v>
      </c>
      <c r="BF67" s="228">
        <v>84397.86</v>
      </c>
      <c r="BG67" s="228"/>
      <c r="BH67" s="228">
        <v>8225096.8300000001</v>
      </c>
      <c r="BI67" s="228"/>
      <c r="BJ67" s="228">
        <v>15649.89</v>
      </c>
      <c r="BK67" s="228">
        <v>318344.02999999997</v>
      </c>
      <c r="BL67" s="228">
        <v>15377.300000000005</v>
      </c>
      <c r="BM67" s="228"/>
      <c r="BN67" s="228">
        <v>461077.06</v>
      </c>
      <c r="BO67" s="228">
        <v>40033</v>
      </c>
      <c r="BP67" s="228">
        <v>175231</v>
      </c>
      <c r="BQ67" s="228"/>
      <c r="BR67" s="228">
        <v>65374.429999999993</v>
      </c>
      <c r="BS67" s="228"/>
      <c r="BT67" s="228"/>
      <c r="BU67" s="228"/>
      <c r="BV67" s="228">
        <v>504142.78</v>
      </c>
      <c r="BW67" s="228">
        <v>13380.04</v>
      </c>
      <c r="BX67" s="228"/>
      <c r="BY67" s="228">
        <v>254018.65</v>
      </c>
      <c r="BZ67" s="228"/>
      <c r="CA67" s="228">
        <v>43841.16</v>
      </c>
      <c r="CB67" s="228"/>
      <c r="CC67" s="228">
        <v>1435886.03</v>
      </c>
      <c r="CD67" s="29" t="s">
        <v>233</v>
      </c>
      <c r="CE67" s="32">
        <f t="shared" si="4"/>
        <v>15654400.800000001</v>
      </c>
    </row>
    <row r="68" spans="1:83" x14ac:dyDescent="0.35">
      <c r="A68" s="39" t="s">
        <v>11</v>
      </c>
      <c r="B68" s="20"/>
      <c r="C68" s="32">
        <f t="shared" ref="C68:BN68" si="7">ROUND(C52+C53,0)</f>
        <v>200724</v>
      </c>
      <c r="D68" s="32">
        <f t="shared" si="7"/>
        <v>0</v>
      </c>
      <c r="E68" s="32">
        <f t="shared" si="7"/>
        <v>592913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14844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30022</v>
      </c>
      <c r="P68" s="32">
        <f t="shared" si="7"/>
        <v>202182</v>
      </c>
      <c r="Q68" s="32">
        <f t="shared" si="7"/>
        <v>223177</v>
      </c>
      <c r="R68" s="32">
        <f t="shared" si="7"/>
        <v>9596</v>
      </c>
      <c r="S68" s="32">
        <f t="shared" si="7"/>
        <v>91472</v>
      </c>
      <c r="T68" s="32">
        <f t="shared" si="7"/>
        <v>0</v>
      </c>
      <c r="U68" s="32">
        <f t="shared" si="7"/>
        <v>135280</v>
      </c>
      <c r="V68" s="32">
        <f t="shared" si="7"/>
        <v>0</v>
      </c>
      <c r="W68" s="32">
        <f t="shared" si="7"/>
        <v>65823</v>
      </c>
      <c r="X68" s="32">
        <f t="shared" si="7"/>
        <v>24379</v>
      </c>
      <c r="Y68" s="32">
        <f t="shared" si="7"/>
        <v>215322</v>
      </c>
      <c r="Z68" s="32">
        <f t="shared" si="7"/>
        <v>0</v>
      </c>
      <c r="AA68" s="32">
        <f t="shared" si="7"/>
        <v>21253</v>
      </c>
      <c r="AB68" s="32">
        <f t="shared" si="7"/>
        <v>59199</v>
      </c>
      <c r="AC68" s="32">
        <f t="shared" si="7"/>
        <v>24805</v>
      </c>
      <c r="AD68" s="32">
        <f t="shared" si="7"/>
        <v>0</v>
      </c>
      <c r="AE68" s="32">
        <f t="shared" si="7"/>
        <v>119684</v>
      </c>
      <c r="AF68" s="32">
        <f t="shared" si="7"/>
        <v>0</v>
      </c>
      <c r="AG68" s="32">
        <f t="shared" si="7"/>
        <v>293875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2875130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8251</v>
      </c>
      <c r="AW68" s="32">
        <f t="shared" si="7"/>
        <v>0</v>
      </c>
      <c r="AX68" s="32">
        <f t="shared" si="7"/>
        <v>0</v>
      </c>
      <c r="AY68" s="32">
        <f t="shared" si="7"/>
        <v>155203</v>
      </c>
      <c r="AZ68" s="32">
        <f t="shared" si="7"/>
        <v>0</v>
      </c>
      <c r="BA68" s="32">
        <f t="shared" si="7"/>
        <v>44985</v>
      </c>
      <c r="BB68" s="32">
        <f t="shared" si="7"/>
        <v>0</v>
      </c>
      <c r="BC68" s="32">
        <f t="shared" si="7"/>
        <v>0</v>
      </c>
      <c r="BD68" s="32">
        <f t="shared" si="7"/>
        <v>104773</v>
      </c>
      <c r="BE68" s="32">
        <f t="shared" si="7"/>
        <v>867316</v>
      </c>
      <c r="BF68" s="32">
        <f t="shared" si="7"/>
        <v>70674</v>
      </c>
      <c r="BG68" s="32">
        <f t="shared" si="7"/>
        <v>0</v>
      </c>
      <c r="BH68" s="32">
        <f t="shared" si="7"/>
        <v>100182</v>
      </c>
      <c r="BI68" s="32">
        <f t="shared" si="7"/>
        <v>0</v>
      </c>
      <c r="BJ68" s="32">
        <f t="shared" si="7"/>
        <v>61020</v>
      </c>
      <c r="BK68" s="32">
        <f t="shared" si="7"/>
        <v>84208</v>
      </c>
      <c r="BL68" s="32">
        <f t="shared" si="7"/>
        <v>59186</v>
      </c>
      <c r="BM68" s="32">
        <f t="shared" si="7"/>
        <v>0</v>
      </c>
      <c r="BN68" s="32">
        <f t="shared" si="7"/>
        <v>165752</v>
      </c>
      <c r="BO68" s="32">
        <f t="shared" ref="BO68:CC68" si="8">ROUND(BO52+BO53,0)</f>
        <v>8600</v>
      </c>
      <c r="BP68" s="32">
        <f t="shared" si="8"/>
        <v>87708</v>
      </c>
      <c r="BQ68" s="32">
        <f t="shared" si="8"/>
        <v>0</v>
      </c>
      <c r="BR68" s="32">
        <f t="shared" si="8"/>
        <v>65565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139982</v>
      </c>
      <c r="BW68" s="32">
        <f t="shared" si="8"/>
        <v>31467</v>
      </c>
      <c r="BX68" s="32">
        <f t="shared" si="8"/>
        <v>0</v>
      </c>
      <c r="BY68" s="32">
        <f t="shared" si="8"/>
        <v>53293</v>
      </c>
      <c r="BZ68" s="32">
        <f t="shared" si="8"/>
        <v>0</v>
      </c>
      <c r="CA68" s="32">
        <f t="shared" si="8"/>
        <v>32211</v>
      </c>
      <c r="CB68" s="32">
        <f t="shared" si="8"/>
        <v>0</v>
      </c>
      <c r="CC68" s="32">
        <f t="shared" si="8"/>
        <v>562050</v>
      </c>
      <c r="CD68" s="29" t="s">
        <v>233</v>
      </c>
      <c r="CE68" s="32">
        <f t="shared" si="4"/>
        <v>7902106</v>
      </c>
    </row>
    <row r="69" spans="1:83" x14ac:dyDescent="0.35">
      <c r="A69" s="39" t="s">
        <v>253</v>
      </c>
      <c r="B69" s="32"/>
      <c r="C69" s="213">
        <v>1665.61</v>
      </c>
      <c r="D69" s="213"/>
      <c r="E69" s="213">
        <v>4261.25</v>
      </c>
      <c r="F69" s="213"/>
      <c r="G69" s="213"/>
      <c r="H69" s="213"/>
      <c r="I69" s="213"/>
      <c r="J69" s="213">
        <v>838.99</v>
      </c>
      <c r="K69" s="213"/>
      <c r="L69" s="213"/>
      <c r="M69" s="213"/>
      <c r="N69" s="213"/>
      <c r="O69" s="213">
        <v>1206.44</v>
      </c>
      <c r="P69" s="214">
        <v>123312.06</v>
      </c>
      <c r="Q69" s="214">
        <v>2750.2999999999993</v>
      </c>
      <c r="R69" s="214">
        <v>1084.0899999999999</v>
      </c>
      <c r="S69" s="228">
        <v>89778.7</v>
      </c>
      <c r="T69" s="228"/>
      <c r="U69" s="227">
        <v>4453.6799999999994</v>
      </c>
      <c r="V69" s="214"/>
      <c r="W69" s="214">
        <v>0</v>
      </c>
      <c r="X69" s="214">
        <v>0</v>
      </c>
      <c r="Y69" s="214">
        <v>4770.2400000000016</v>
      </c>
      <c r="Z69" s="214"/>
      <c r="AA69" s="214">
        <v>0</v>
      </c>
      <c r="AB69" s="239">
        <v>581.99</v>
      </c>
      <c r="AC69" s="214">
        <v>16050.930000000002</v>
      </c>
      <c r="AD69" s="214"/>
      <c r="AE69" s="214">
        <v>4186.6500000000005</v>
      </c>
      <c r="AF69" s="214"/>
      <c r="AG69" s="214">
        <v>7905.63</v>
      </c>
      <c r="AH69" s="214"/>
      <c r="AI69" s="214"/>
      <c r="AJ69" s="214"/>
      <c r="AK69" s="214"/>
      <c r="AL69" s="214"/>
      <c r="AM69" s="214"/>
      <c r="AN69" s="214"/>
      <c r="AO69" s="214"/>
      <c r="AP69" s="214">
        <v>33463.360000000008</v>
      </c>
      <c r="AQ69" s="214"/>
      <c r="AR69" s="214"/>
      <c r="AS69" s="214"/>
      <c r="AT69" s="214"/>
      <c r="AU69" s="214"/>
      <c r="AV69" s="228">
        <v>673.1</v>
      </c>
      <c r="AW69" s="228"/>
      <c r="AX69" s="228"/>
      <c r="AY69" s="214">
        <v>1612.81</v>
      </c>
      <c r="AZ69" s="214"/>
      <c r="BA69" s="228"/>
      <c r="BB69" s="228"/>
      <c r="BC69" s="228"/>
      <c r="BD69" s="228">
        <v>5288.1399999999967</v>
      </c>
      <c r="BE69" s="214">
        <v>31826.339999999997</v>
      </c>
      <c r="BF69" s="228">
        <v>2863.23</v>
      </c>
      <c r="BG69" s="228"/>
      <c r="BH69" s="228">
        <v>242944.06</v>
      </c>
      <c r="BI69" s="228"/>
      <c r="BJ69" s="228">
        <v>30688.82</v>
      </c>
      <c r="BK69" s="228">
        <v>55281.56</v>
      </c>
      <c r="BL69" s="228">
        <v>4089.03</v>
      </c>
      <c r="BM69" s="228"/>
      <c r="BN69" s="228">
        <v>40410.230000000003</v>
      </c>
      <c r="BO69" s="228">
        <v>2459.5300000000002</v>
      </c>
      <c r="BP69" s="228">
        <v>1869.64</v>
      </c>
      <c r="BQ69" s="228"/>
      <c r="BR69" s="228">
        <v>17733.099999999999</v>
      </c>
      <c r="BS69" s="228"/>
      <c r="BT69" s="228"/>
      <c r="BU69" s="228"/>
      <c r="BV69" s="228">
        <v>47582.66</v>
      </c>
      <c r="BW69" s="228">
        <v>779.88000000000011</v>
      </c>
      <c r="BX69" s="228"/>
      <c r="BY69" s="228">
        <v>2457.46</v>
      </c>
      <c r="BZ69" s="228"/>
      <c r="CA69" s="228">
        <v>20725.639999999996</v>
      </c>
      <c r="CB69" s="228"/>
      <c r="CC69" s="228">
        <v>53789.98</v>
      </c>
      <c r="CD69" s="29" t="s">
        <v>233</v>
      </c>
      <c r="CE69" s="32">
        <f t="shared" si="4"/>
        <v>859385.12999999977</v>
      </c>
    </row>
    <row r="70" spans="1:83" x14ac:dyDescent="0.35">
      <c r="A70" s="39" t="s">
        <v>254</v>
      </c>
      <c r="B70" s="20"/>
      <c r="C70" s="32">
        <f t="shared" ref="C70:BN70" si="9">SUM(C71:C84)</f>
        <v>335</v>
      </c>
      <c r="D70" s="32">
        <f t="shared" si="9"/>
        <v>0</v>
      </c>
      <c r="E70" s="32">
        <f t="shared" si="9"/>
        <v>6926.1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801.03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4835.99</v>
      </c>
      <c r="P70" s="32">
        <f t="shared" si="9"/>
        <v>7663.66</v>
      </c>
      <c r="Q70" s="32">
        <f t="shared" si="9"/>
        <v>2164.17</v>
      </c>
      <c r="R70" s="32">
        <f t="shared" si="9"/>
        <v>17645.97</v>
      </c>
      <c r="S70" s="32">
        <f t="shared" si="9"/>
        <v>0</v>
      </c>
      <c r="T70" s="32">
        <f t="shared" si="9"/>
        <v>0</v>
      </c>
      <c r="U70" s="32">
        <f t="shared" si="9"/>
        <v>1990.81</v>
      </c>
      <c r="V70" s="32">
        <f t="shared" si="9"/>
        <v>0</v>
      </c>
      <c r="W70" s="32">
        <f t="shared" si="9"/>
        <v>0</v>
      </c>
      <c r="X70" s="32">
        <f t="shared" si="9"/>
        <v>60.26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15818.26</v>
      </c>
      <c r="AC70" s="32">
        <f t="shared" si="9"/>
        <v>222.22</v>
      </c>
      <c r="AD70" s="32">
        <f t="shared" si="9"/>
        <v>0</v>
      </c>
      <c r="AE70" s="32">
        <f t="shared" si="9"/>
        <v>8650.51</v>
      </c>
      <c r="AF70" s="32">
        <f t="shared" si="9"/>
        <v>0</v>
      </c>
      <c r="AG70" s="32">
        <f t="shared" si="9"/>
        <v>43987.73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360156.63000000006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698</v>
      </c>
      <c r="AW70" s="32">
        <f t="shared" si="9"/>
        <v>0</v>
      </c>
      <c r="AX70" s="32">
        <f t="shared" si="9"/>
        <v>0</v>
      </c>
      <c r="AY70" s="32">
        <f t="shared" si="9"/>
        <v>12280.560000000001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40554.44</v>
      </c>
      <c r="BE70" s="32">
        <f t="shared" si="9"/>
        <v>12742.45</v>
      </c>
      <c r="BF70" s="32">
        <f t="shared" si="9"/>
        <v>6505.6699999999992</v>
      </c>
      <c r="BG70" s="32">
        <f t="shared" si="9"/>
        <v>0</v>
      </c>
      <c r="BH70" s="32">
        <f t="shared" si="9"/>
        <v>50430.62</v>
      </c>
      <c r="BI70" s="32">
        <f t="shared" si="9"/>
        <v>0</v>
      </c>
      <c r="BJ70" s="32">
        <f t="shared" si="9"/>
        <v>160186.22999999998</v>
      </c>
      <c r="BK70" s="32">
        <f t="shared" si="9"/>
        <v>4699.7</v>
      </c>
      <c r="BL70" s="32">
        <f t="shared" si="9"/>
        <v>0</v>
      </c>
      <c r="BM70" s="32">
        <f t="shared" si="9"/>
        <v>0</v>
      </c>
      <c r="BN70" s="32">
        <f t="shared" si="9"/>
        <v>317873.52</v>
      </c>
      <c r="BO70" s="32">
        <f t="shared" ref="BO70:CD70" si="10">SUM(BO71:BO84)</f>
        <v>2423.65</v>
      </c>
      <c r="BP70" s="32">
        <f t="shared" si="10"/>
        <v>53882.46</v>
      </c>
      <c r="BQ70" s="32">
        <f t="shared" si="10"/>
        <v>0</v>
      </c>
      <c r="BR70" s="32">
        <f t="shared" si="10"/>
        <v>154523.71000000002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581.76</v>
      </c>
      <c r="BW70" s="32">
        <f t="shared" si="10"/>
        <v>36053.17</v>
      </c>
      <c r="BX70" s="32">
        <f t="shared" si="10"/>
        <v>0</v>
      </c>
      <c r="BY70" s="32">
        <f t="shared" si="10"/>
        <v>39079.640000000007</v>
      </c>
      <c r="BZ70" s="32">
        <f t="shared" si="10"/>
        <v>0</v>
      </c>
      <c r="CA70" s="32">
        <f t="shared" si="10"/>
        <v>15998.7</v>
      </c>
      <c r="CB70" s="32">
        <f t="shared" si="10"/>
        <v>0</v>
      </c>
      <c r="CC70" s="32">
        <f t="shared" si="10"/>
        <v>28309.85</v>
      </c>
      <c r="CD70" s="32">
        <f t="shared" si="10"/>
        <v>3521151.4999999995</v>
      </c>
      <c r="CE70" s="32">
        <f>SUM(CE71:CE85)</f>
        <v>13207567.57</v>
      </c>
    </row>
    <row r="71" spans="1:83" x14ac:dyDescent="0.3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335</v>
      </c>
      <c r="D84" s="24"/>
      <c r="E84" s="30">
        <v>6926.1</v>
      </c>
      <c r="F84" s="30"/>
      <c r="G84" s="24"/>
      <c r="H84" s="24"/>
      <c r="I84" s="30"/>
      <c r="J84" s="30">
        <v>801.03</v>
      </c>
      <c r="K84" s="30"/>
      <c r="L84" s="30"/>
      <c r="M84" s="24"/>
      <c r="N84" s="24"/>
      <c r="O84" s="24">
        <v>4835.99</v>
      </c>
      <c r="P84" s="30">
        <v>7663.66</v>
      </c>
      <c r="Q84" s="30">
        <v>2164.17</v>
      </c>
      <c r="R84" s="31">
        <v>17645.97</v>
      </c>
      <c r="S84" s="30">
        <v>0</v>
      </c>
      <c r="T84" s="24"/>
      <c r="U84" s="30">
        <v>1990.81</v>
      </c>
      <c r="V84" s="30"/>
      <c r="W84" s="24">
        <v>0</v>
      </c>
      <c r="X84" s="30">
        <v>60.26</v>
      </c>
      <c r="Y84" s="30">
        <v>0</v>
      </c>
      <c r="Z84" s="30"/>
      <c r="AA84" s="30">
        <v>0</v>
      </c>
      <c r="AB84" s="30">
        <v>15818.26</v>
      </c>
      <c r="AC84" s="30">
        <v>222.22</v>
      </c>
      <c r="AD84" s="30"/>
      <c r="AE84" s="30">
        <v>8650.51</v>
      </c>
      <c r="AF84" s="30"/>
      <c r="AG84" s="30">
        <v>43987.73</v>
      </c>
      <c r="AH84" s="30"/>
      <c r="AI84" s="30"/>
      <c r="AJ84" s="30"/>
      <c r="AK84" s="30"/>
      <c r="AL84" s="30"/>
      <c r="AM84" s="30"/>
      <c r="AN84" s="30"/>
      <c r="AO84" s="24"/>
      <c r="AP84" s="30">
        <v>360156.63000000006</v>
      </c>
      <c r="AQ84" s="24"/>
      <c r="AR84" s="24"/>
      <c r="AS84" s="24"/>
      <c r="AT84" s="24"/>
      <c r="AU84" s="30"/>
      <c r="AV84" s="30">
        <v>698</v>
      </c>
      <c r="AW84" s="30"/>
      <c r="AX84" s="30"/>
      <c r="AY84" s="30">
        <v>12280.560000000001</v>
      </c>
      <c r="AZ84" s="30"/>
      <c r="BA84" s="30"/>
      <c r="BB84" s="30"/>
      <c r="BC84" s="30"/>
      <c r="BD84" s="30">
        <v>40554.44</v>
      </c>
      <c r="BE84" s="30">
        <v>12742.45</v>
      </c>
      <c r="BF84" s="30">
        <v>6505.6699999999992</v>
      </c>
      <c r="BG84" s="30"/>
      <c r="BH84" s="31">
        <v>50430.62</v>
      </c>
      <c r="BI84" s="30"/>
      <c r="BJ84" s="30">
        <v>160186.22999999998</v>
      </c>
      <c r="BK84" s="30">
        <v>4699.7</v>
      </c>
      <c r="BL84" s="30">
        <v>0</v>
      </c>
      <c r="BM84" s="30"/>
      <c r="BN84" s="30">
        <v>317873.52</v>
      </c>
      <c r="BO84" s="30">
        <v>2423.65</v>
      </c>
      <c r="BP84" s="30">
        <v>53882.46</v>
      </c>
      <c r="BQ84" s="30"/>
      <c r="BR84" s="30">
        <v>154523.71000000002</v>
      </c>
      <c r="BS84" s="30"/>
      <c r="BT84" s="30"/>
      <c r="BU84" s="30"/>
      <c r="BV84" s="30">
        <v>581.76</v>
      </c>
      <c r="BW84" s="30">
        <v>36053.17</v>
      </c>
      <c r="BX84" s="30"/>
      <c r="BY84" s="30">
        <v>39079.640000000007</v>
      </c>
      <c r="BZ84" s="30"/>
      <c r="CA84" s="30">
        <v>15998.7</v>
      </c>
      <c r="CB84" s="30"/>
      <c r="CC84" s="30">
        <v>28309.85</v>
      </c>
      <c r="CD84" s="35">
        <v>3521151.4999999995</v>
      </c>
      <c r="CE84" s="32">
        <f t="shared" si="11"/>
        <v>4929233.9699999988</v>
      </c>
    </row>
    <row r="85" spans="1:84" x14ac:dyDescent="0.35">
      <c r="A85" s="39" t="s">
        <v>269</v>
      </c>
      <c r="B85" s="20"/>
      <c r="C85" s="213">
        <v>0</v>
      </c>
      <c r="D85" s="213"/>
      <c r="E85" s="213">
        <v>0</v>
      </c>
      <c r="F85" s="213"/>
      <c r="G85" s="213"/>
      <c r="H85" s="213"/>
      <c r="I85" s="213"/>
      <c r="J85" s="213">
        <v>0</v>
      </c>
      <c r="K85" s="213"/>
      <c r="L85" s="213"/>
      <c r="M85" s="213"/>
      <c r="N85" s="213"/>
      <c r="O85" s="213">
        <v>0</v>
      </c>
      <c r="P85" s="213">
        <v>0</v>
      </c>
      <c r="Q85" s="213">
        <v>0</v>
      </c>
      <c r="R85" s="213">
        <v>1971107.04</v>
      </c>
      <c r="S85" s="213">
        <v>0</v>
      </c>
      <c r="T85" s="213"/>
      <c r="U85" s="213">
        <v>0</v>
      </c>
      <c r="V85" s="213"/>
      <c r="W85" s="213">
        <v>0</v>
      </c>
      <c r="X85" s="213">
        <v>0</v>
      </c>
      <c r="Y85" s="213">
        <v>0</v>
      </c>
      <c r="Z85" s="213"/>
      <c r="AA85" s="213">
        <v>0</v>
      </c>
      <c r="AB85" s="213">
        <v>3254725.61</v>
      </c>
      <c r="AC85" s="213">
        <v>0</v>
      </c>
      <c r="AD85" s="213"/>
      <c r="AE85" s="213">
        <v>0</v>
      </c>
      <c r="AF85" s="213"/>
      <c r="AG85" s="213">
        <v>0</v>
      </c>
      <c r="AH85" s="213"/>
      <c r="AI85" s="213"/>
      <c r="AJ85" s="213"/>
      <c r="AK85" s="213"/>
      <c r="AL85" s="213"/>
      <c r="AM85" s="213"/>
      <c r="AN85" s="213"/>
      <c r="AO85" s="213"/>
      <c r="AP85" s="213">
        <v>30062.12</v>
      </c>
      <c r="AQ85" s="213"/>
      <c r="AR85" s="213"/>
      <c r="AS85" s="213"/>
      <c r="AT85" s="213"/>
      <c r="AU85" s="213"/>
      <c r="AV85" s="213">
        <v>0</v>
      </c>
      <c r="AW85" s="213"/>
      <c r="AX85" s="213"/>
      <c r="AY85" s="213">
        <v>336662.28</v>
      </c>
      <c r="AZ85" s="213"/>
      <c r="BA85" s="213"/>
      <c r="BB85" s="213"/>
      <c r="BC85" s="213"/>
      <c r="BD85" s="213">
        <v>0</v>
      </c>
      <c r="BE85" s="213">
        <v>0</v>
      </c>
      <c r="BF85" s="213">
        <v>0</v>
      </c>
      <c r="BG85" s="213"/>
      <c r="BH85" s="213">
        <v>0</v>
      </c>
      <c r="BI85" s="213"/>
      <c r="BJ85" s="213">
        <v>0</v>
      </c>
      <c r="BK85" s="213">
        <v>1824.41</v>
      </c>
      <c r="BL85" s="213">
        <v>0</v>
      </c>
      <c r="BM85" s="213"/>
      <c r="BN85" s="213">
        <v>0</v>
      </c>
      <c r="BO85" s="213">
        <v>0</v>
      </c>
      <c r="BP85" s="213">
        <v>0</v>
      </c>
      <c r="BQ85" s="213"/>
      <c r="BR85" s="213">
        <v>0</v>
      </c>
      <c r="BS85" s="213"/>
      <c r="BT85" s="213"/>
      <c r="BU85" s="213"/>
      <c r="BV85" s="213">
        <v>66361.289999999994</v>
      </c>
      <c r="BW85" s="213">
        <v>1500</v>
      </c>
      <c r="BX85" s="213"/>
      <c r="BY85" s="213">
        <v>0</v>
      </c>
      <c r="BZ85" s="213"/>
      <c r="CA85" s="213">
        <v>0</v>
      </c>
      <c r="CB85" s="213"/>
      <c r="CC85" s="213">
        <v>0</v>
      </c>
      <c r="CD85" s="35">
        <v>2616090.85</v>
      </c>
      <c r="CE85" s="32">
        <f t="shared" si="11"/>
        <v>8278333.6000000015</v>
      </c>
    </row>
    <row r="86" spans="1:84" x14ac:dyDescent="0.35">
      <c r="A86" s="39" t="s">
        <v>270</v>
      </c>
      <c r="B86" s="32"/>
      <c r="C86" s="32">
        <f>SUM(C62:C70)-C85</f>
        <v>3524204.0999999996</v>
      </c>
      <c r="D86" s="32">
        <f t="shared" ref="D86:BO86" si="12">SUM(D62:D70)-D85</f>
        <v>0</v>
      </c>
      <c r="E86" s="32">
        <f t="shared" si="12"/>
        <v>8025096.5200000005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50105.07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119838.97000000002</v>
      </c>
      <c r="P86" s="32">
        <f t="shared" si="12"/>
        <v>3508532.42</v>
      </c>
      <c r="Q86" s="32">
        <f t="shared" si="12"/>
        <v>2229059.2899999996</v>
      </c>
      <c r="R86" s="32">
        <f t="shared" si="12"/>
        <v>-603344.76999999979</v>
      </c>
      <c r="S86" s="32">
        <f t="shared" si="12"/>
        <v>4792810.1900000004</v>
      </c>
      <c r="T86" s="32">
        <f t="shared" si="12"/>
        <v>0</v>
      </c>
      <c r="U86" s="32">
        <f t="shared" si="12"/>
        <v>6057843.0399999982</v>
      </c>
      <c r="V86" s="32">
        <f t="shared" si="12"/>
        <v>0</v>
      </c>
      <c r="W86" s="32">
        <f t="shared" si="12"/>
        <v>393870.17</v>
      </c>
      <c r="X86" s="32">
        <f t="shared" si="12"/>
        <v>848893.0199999999</v>
      </c>
      <c r="Y86" s="32">
        <f t="shared" si="12"/>
        <v>3599502.8100000005</v>
      </c>
      <c r="Z86" s="32">
        <f t="shared" si="12"/>
        <v>0</v>
      </c>
      <c r="AA86" s="32">
        <f t="shared" si="12"/>
        <v>221992.58</v>
      </c>
      <c r="AB86" s="32">
        <f t="shared" si="12"/>
        <v>2045529.9499999997</v>
      </c>
      <c r="AC86" s="32">
        <f t="shared" si="12"/>
        <v>1292239.31</v>
      </c>
      <c r="AD86" s="32">
        <f t="shared" si="12"/>
        <v>0</v>
      </c>
      <c r="AE86" s="32">
        <f t="shared" si="12"/>
        <v>2509130.9500000002</v>
      </c>
      <c r="AF86" s="32">
        <f t="shared" si="12"/>
        <v>0</v>
      </c>
      <c r="AG86" s="32">
        <f t="shared" si="12"/>
        <v>9024341.1300000008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27980277.130000003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401403.51999999996</v>
      </c>
      <c r="AW86" s="32">
        <f t="shared" si="12"/>
        <v>0</v>
      </c>
      <c r="AX86" s="32">
        <f t="shared" si="12"/>
        <v>0</v>
      </c>
      <c r="AY86" s="32">
        <f t="shared" si="12"/>
        <v>1789265.26</v>
      </c>
      <c r="AZ86" s="32">
        <f t="shared" si="12"/>
        <v>0</v>
      </c>
      <c r="BA86" s="32">
        <f t="shared" si="12"/>
        <v>371676.05</v>
      </c>
      <c r="BB86" s="32">
        <f t="shared" si="12"/>
        <v>0</v>
      </c>
      <c r="BC86" s="32">
        <f t="shared" si="12"/>
        <v>0</v>
      </c>
      <c r="BD86" s="32">
        <f t="shared" si="12"/>
        <v>666415.60000000009</v>
      </c>
      <c r="BE86" s="32">
        <f t="shared" si="12"/>
        <v>3295777.3100000005</v>
      </c>
      <c r="BF86" s="32">
        <f t="shared" si="12"/>
        <v>2424851.71</v>
      </c>
      <c r="BG86" s="32">
        <f t="shared" si="12"/>
        <v>0</v>
      </c>
      <c r="BH86" s="32">
        <f t="shared" si="12"/>
        <v>9341569.9700000007</v>
      </c>
      <c r="BI86" s="32">
        <f t="shared" si="12"/>
        <v>0</v>
      </c>
      <c r="BJ86" s="32">
        <f t="shared" si="12"/>
        <v>959372.15999999992</v>
      </c>
      <c r="BK86" s="32">
        <f t="shared" si="12"/>
        <v>2455713.7700000005</v>
      </c>
      <c r="BL86" s="32">
        <f t="shared" si="12"/>
        <v>1805850.3</v>
      </c>
      <c r="BM86" s="32">
        <f t="shared" si="12"/>
        <v>0</v>
      </c>
      <c r="BN86" s="32">
        <f t="shared" si="12"/>
        <v>3654784.0500000003</v>
      </c>
      <c r="BO86" s="32">
        <f t="shared" si="12"/>
        <v>263542.71000000002</v>
      </c>
      <c r="BP86" s="32">
        <f t="shared" ref="BP86:CD86" si="13">SUM(BP62:BP70)-BP85</f>
        <v>319857.87000000005</v>
      </c>
      <c r="BQ86" s="32">
        <f t="shared" si="13"/>
        <v>0</v>
      </c>
      <c r="BR86" s="32">
        <f t="shared" si="13"/>
        <v>1025784.0800000001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2354508.0099999998</v>
      </c>
      <c r="BW86" s="32">
        <f t="shared" si="13"/>
        <v>332842.90999999997</v>
      </c>
      <c r="BX86" s="32">
        <f t="shared" si="13"/>
        <v>0</v>
      </c>
      <c r="BY86" s="32">
        <f t="shared" si="13"/>
        <v>4377263.4499999993</v>
      </c>
      <c r="BZ86" s="32">
        <f t="shared" si="13"/>
        <v>0</v>
      </c>
      <c r="CA86" s="32">
        <f t="shared" si="13"/>
        <v>220699.49</v>
      </c>
      <c r="CB86" s="32">
        <f t="shared" si="13"/>
        <v>0</v>
      </c>
      <c r="CC86" s="32">
        <f t="shared" si="13"/>
        <v>3738083.56</v>
      </c>
      <c r="CD86" s="32">
        <f t="shared" si="13"/>
        <v>905060.64999999944</v>
      </c>
      <c r="CE86" s="32">
        <f t="shared" si="11"/>
        <v>116324244.31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2332919.7799999998</v>
      </c>
    </row>
    <row r="88" spans="1:84" x14ac:dyDescent="0.35">
      <c r="A88" s="26" t="s">
        <v>272</v>
      </c>
      <c r="B88" s="20"/>
      <c r="C88" s="213">
        <v>11732206.609999999</v>
      </c>
      <c r="D88" s="213"/>
      <c r="E88" s="213">
        <v>22071398.569999997</v>
      </c>
      <c r="F88" s="213"/>
      <c r="G88" s="213"/>
      <c r="H88" s="213"/>
      <c r="I88" s="213"/>
      <c r="J88" s="213">
        <v>1261578.9500000002</v>
      </c>
      <c r="K88" s="213"/>
      <c r="L88" s="213"/>
      <c r="M88" s="213"/>
      <c r="N88" s="213"/>
      <c r="O88" s="213">
        <v>2477639.73</v>
      </c>
      <c r="P88" s="213">
        <v>4774045.49</v>
      </c>
      <c r="Q88" s="213">
        <v>933278.89999999991</v>
      </c>
      <c r="R88" s="213">
        <v>394580.59</v>
      </c>
      <c r="S88" s="213">
        <v>3531152.58</v>
      </c>
      <c r="T88" s="213"/>
      <c r="U88" s="213">
        <v>5930684.21</v>
      </c>
      <c r="V88" s="213"/>
      <c r="W88" s="213">
        <v>452352.66</v>
      </c>
      <c r="X88" s="213">
        <v>2693872.87</v>
      </c>
      <c r="Y88" s="213">
        <v>1658584.9200000002</v>
      </c>
      <c r="Z88" s="213"/>
      <c r="AA88" s="213">
        <v>109834</v>
      </c>
      <c r="AB88" s="213">
        <v>4644541.7299999995</v>
      </c>
      <c r="AC88" s="213">
        <v>5187470.66</v>
      </c>
      <c r="AD88" s="213"/>
      <c r="AE88" s="213">
        <v>561080.46999999986</v>
      </c>
      <c r="AF88" s="213"/>
      <c r="AG88" s="213">
        <v>3615346.0100000002</v>
      </c>
      <c r="AH88" s="213"/>
      <c r="AI88" s="213"/>
      <c r="AJ88" s="213"/>
      <c r="AK88" s="213"/>
      <c r="AL88" s="213"/>
      <c r="AM88" s="213"/>
      <c r="AN88" s="213"/>
      <c r="AO88" s="213"/>
      <c r="AP88" s="213">
        <v>1376774.06</v>
      </c>
      <c r="AQ88" s="213"/>
      <c r="AR88" s="213"/>
      <c r="AS88" s="213"/>
      <c r="AT88" s="213"/>
      <c r="AU88" s="213"/>
      <c r="AV88" s="213">
        <v>77006.8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73483429.809999987</v>
      </c>
    </row>
    <row r="89" spans="1:84" x14ac:dyDescent="0.35">
      <c r="A89" s="26" t="s">
        <v>273</v>
      </c>
      <c r="B89" s="20"/>
      <c r="C89" s="213">
        <v>2595214.13</v>
      </c>
      <c r="D89" s="213"/>
      <c r="E89" s="213">
        <v>7644238.2700000005</v>
      </c>
      <c r="F89" s="213"/>
      <c r="G89" s="213"/>
      <c r="H89" s="213"/>
      <c r="I89" s="213"/>
      <c r="J89" s="213">
        <v>85577.85</v>
      </c>
      <c r="K89" s="213"/>
      <c r="L89" s="213"/>
      <c r="M89" s="213"/>
      <c r="N89" s="213"/>
      <c r="O89" s="213">
        <v>701997.38</v>
      </c>
      <c r="P89" s="213">
        <v>14641376.280000001</v>
      </c>
      <c r="Q89" s="213">
        <v>5874348.419999999</v>
      </c>
      <c r="R89" s="213">
        <v>1920213.96</v>
      </c>
      <c r="S89" s="213">
        <v>5688105.4900000002</v>
      </c>
      <c r="T89" s="213"/>
      <c r="U89" s="213">
        <v>31227051.009999998</v>
      </c>
      <c r="V89" s="213"/>
      <c r="W89" s="213">
        <v>7818335.1200000001</v>
      </c>
      <c r="X89" s="213">
        <v>27103586.039999999</v>
      </c>
      <c r="Y89" s="213">
        <v>19749432.240000002</v>
      </c>
      <c r="Z89" s="213"/>
      <c r="AA89" s="213">
        <v>730189.33</v>
      </c>
      <c r="AB89" s="213">
        <v>7337243.7800000003</v>
      </c>
      <c r="AC89" s="213">
        <v>2831955.61</v>
      </c>
      <c r="AD89" s="213"/>
      <c r="AE89" s="213">
        <v>5983622.71</v>
      </c>
      <c r="AF89" s="213"/>
      <c r="AG89" s="213">
        <v>44702068.049999997</v>
      </c>
      <c r="AH89" s="213"/>
      <c r="AI89" s="213"/>
      <c r="AJ89" s="213"/>
      <c r="AK89" s="213"/>
      <c r="AL89" s="213"/>
      <c r="AM89" s="213"/>
      <c r="AN89" s="213"/>
      <c r="AO89" s="213"/>
      <c r="AP89" s="213">
        <v>32624302.779999997</v>
      </c>
      <c r="AQ89" s="213"/>
      <c r="AR89" s="213"/>
      <c r="AS89" s="213"/>
      <c r="AT89" s="213"/>
      <c r="AU89" s="213"/>
      <c r="AV89" s="213">
        <v>529952.23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219788810.68000001</v>
      </c>
    </row>
    <row r="90" spans="1:84" x14ac:dyDescent="0.35">
      <c r="A90" s="26" t="s">
        <v>274</v>
      </c>
      <c r="B90" s="20"/>
      <c r="C90" s="32">
        <f>C88+C89</f>
        <v>14327420.739999998</v>
      </c>
      <c r="D90" s="32">
        <f t="shared" ref="D90:AV90" si="15">D88+D89</f>
        <v>0</v>
      </c>
      <c r="E90" s="32">
        <f t="shared" si="15"/>
        <v>29715636.839999996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1347156.8000000003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3179637.11</v>
      </c>
      <c r="P90" s="32">
        <f t="shared" si="15"/>
        <v>19415421.770000003</v>
      </c>
      <c r="Q90" s="32">
        <f t="shared" si="15"/>
        <v>6807627.3199999984</v>
      </c>
      <c r="R90" s="32">
        <f t="shared" si="15"/>
        <v>2314794.5499999998</v>
      </c>
      <c r="S90" s="32">
        <f t="shared" si="15"/>
        <v>9219258.0700000003</v>
      </c>
      <c r="T90" s="32">
        <f t="shared" si="15"/>
        <v>0</v>
      </c>
      <c r="U90" s="32">
        <f t="shared" si="15"/>
        <v>37157735.219999999</v>
      </c>
      <c r="V90" s="32">
        <f t="shared" si="15"/>
        <v>0</v>
      </c>
      <c r="W90" s="32">
        <f t="shared" si="15"/>
        <v>8270687.7800000003</v>
      </c>
      <c r="X90" s="32">
        <f t="shared" si="15"/>
        <v>29797458.91</v>
      </c>
      <c r="Y90" s="32">
        <f t="shared" si="15"/>
        <v>21408017.160000004</v>
      </c>
      <c r="Z90" s="32">
        <f t="shared" si="15"/>
        <v>0</v>
      </c>
      <c r="AA90" s="32">
        <f t="shared" si="15"/>
        <v>840023.33</v>
      </c>
      <c r="AB90" s="32">
        <f t="shared" si="15"/>
        <v>11981785.51</v>
      </c>
      <c r="AC90" s="32">
        <f t="shared" si="15"/>
        <v>8019426.2699999996</v>
      </c>
      <c r="AD90" s="32">
        <f t="shared" si="15"/>
        <v>0</v>
      </c>
      <c r="AE90" s="32">
        <f t="shared" si="15"/>
        <v>6544703.1799999997</v>
      </c>
      <c r="AF90" s="32">
        <f t="shared" si="15"/>
        <v>0</v>
      </c>
      <c r="AG90" s="32">
        <f t="shared" si="15"/>
        <v>48317414.059999995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34001076.839999996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606959.03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293272240.48999995</v>
      </c>
    </row>
    <row r="91" spans="1:84" x14ac:dyDescent="0.35">
      <c r="A91" s="39" t="s">
        <v>275</v>
      </c>
      <c r="B91" s="32"/>
      <c r="C91" s="213">
        <v>6518.13</v>
      </c>
      <c r="D91" s="213"/>
      <c r="E91" s="213">
        <v>19253.77</v>
      </c>
      <c r="F91" s="213"/>
      <c r="G91" s="213"/>
      <c r="H91" s="213"/>
      <c r="I91" s="213"/>
      <c r="J91" s="213">
        <v>482.03</v>
      </c>
      <c r="K91" s="213"/>
      <c r="L91" s="213"/>
      <c r="M91" s="213"/>
      <c r="N91" s="213"/>
      <c r="O91" s="213">
        <v>974.9</v>
      </c>
      <c r="P91" s="213">
        <v>6565.4999999999991</v>
      </c>
      <c r="Q91" s="213">
        <v>7247.26</v>
      </c>
      <c r="R91" s="213">
        <v>311.61</v>
      </c>
      <c r="S91" s="213">
        <v>2970.4</v>
      </c>
      <c r="T91" s="213"/>
      <c r="U91" s="213">
        <v>4392.96</v>
      </c>
      <c r="V91" s="213"/>
      <c r="W91" s="213">
        <v>2137.4699999999998</v>
      </c>
      <c r="X91" s="213">
        <v>791.67</v>
      </c>
      <c r="Y91" s="213">
        <v>6992.17</v>
      </c>
      <c r="Z91" s="213"/>
      <c r="AA91" s="213">
        <v>690.16</v>
      </c>
      <c r="AB91" s="213">
        <v>1922.3700000000001</v>
      </c>
      <c r="AC91" s="213">
        <v>805.5</v>
      </c>
      <c r="AD91" s="213"/>
      <c r="AE91" s="213">
        <v>3886.53</v>
      </c>
      <c r="AF91" s="213"/>
      <c r="AG91" s="213">
        <v>9543.0499999999993</v>
      </c>
      <c r="AH91" s="213"/>
      <c r="AI91" s="213"/>
      <c r="AJ91" s="213"/>
      <c r="AK91" s="213"/>
      <c r="AL91" s="213"/>
      <c r="AM91" s="213"/>
      <c r="AN91" s="213"/>
      <c r="AO91" s="213"/>
      <c r="AP91" s="213">
        <v>78245.09</v>
      </c>
      <c r="AQ91" s="213"/>
      <c r="AR91" s="213"/>
      <c r="AS91" s="213"/>
      <c r="AT91" s="213"/>
      <c r="AU91" s="213"/>
      <c r="AV91" s="213">
        <v>267.94</v>
      </c>
      <c r="AW91" s="213"/>
      <c r="AX91" s="213"/>
      <c r="AY91" s="213">
        <v>5039.92</v>
      </c>
      <c r="AZ91" s="213"/>
      <c r="BA91" s="213">
        <v>1460.81</v>
      </c>
      <c r="BB91" s="213"/>
      <c r="BC91" s="213"/>
      <c r="BD91" s="213">
        <v>3402.32</v>
      </c>
      <c r="BE91" s="213">
        <v>28164.5</v>
      </c>
      <c r="BF91" s="213">
        <v>2295</v>
      </c>
      <c r="BG91" s="213"/>
      <c r="BH91" s="213">
        <v>3253.2200000000003</v>
      </c>
      <c r="BI91" s="213"/>
      <c r="BJ91" s="213">
        <v>1981.5</v>
      </c>
      <c r="BK91" s="213">
        <v>2734.5</v>
      </c>
      <c r="BL91" s="213">
        <v>1921.97</v>
      </c>
      <c r="BM91" s="213"/>
      <c r="BN91" s="213">
        <v>5382.5</v>
      </c>
      <c r="BO91" s="213">
        <v>279.27</v>
      </c>
      <c r="BP91" s="213">
        <v>2848.15</v>
      </c>
      <c r="BQ91" s="213"/>
      <c r="BR91" s="213">
        <v>2129.09</v>
      </c>
      <c r="BS91" s="213"/>
      <c r="BT91" s="213"/>
      <c r="BU91" s="213"/>
      <c r="BV91" s="213">
        <v>4545.67</v>
      </c>
      <c r="BW91" s="213">
        <v>1021.84</v>
      </c>
      <c r="BX91" s="213"/>
      <c r="BY91" s="213">
        <v>1730.5900000000001</v>
      </c>
      <c r="BZ91" s="213"/>
      <c r="CA91" s="213">
        <v>1046</v>
      </c>
      <c r="CB91" s="213"/>
      <c r="CC91" s="213">
        <v>18251.54</v>
      </c>
      <c r="CD91" s="233" t="s">
        <v>233</v>
      </c>
      <c r="CE91" s="32">
        <f t="shared" si="14"/>
        <v>241486.90000000002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5460.6088594605108</v>
      </c>
      <c r="D92" s="213"/>
      <c r="E92" s="213">
        <v>26275.184773848963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>
        <v>281</v>
      </c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>
        <v>1120.3837031425446</v>
      </c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33137.17733645202</v>
      </c>
      <c r="CF92" s="32">
        <f>AY60-CE92</f>
        <v>-6.2945308105554432E-2</v>
      </c>
    </row>
    <row r="93" spans="1:84" x14ac:dyDescent="0.35">
      <c r="A93" s="26" t="s">
        <v>277</v>
      </c>
      <c r="B93" s="20"/>
      <c r="C93" s="213">
        <v>6518.13</v>
      </c>
      <c r="D93" s="213"/>
      <c r="E93" s="213">
        <v>19253.77</v>
      </c>
      <c r="F93" s="213"/>
      <c r="G93" s="213"/>
      <c r="H93" s="213"/>
      <c r="I93" s="213"/>
      <c r="J93" s="213">
        <v>482.03</v>
      </c>
      <c r="K93" s="213"/>
      <c r="L93" s="213"/>
      <c r="M93" s="213"/>
      <c r="N93" s="213"/>
      <c r="O93" s="213">
        <v>974.9</v>
      </c>
      <c r="P93" s="213">
        <v>6565.4999999999991</v>
      </c>
      <c r="Q93" s="213">
        <v>7247.26</v>
      </c>
      <c r="R93" s="213">
        <v>311.61</v>
      </c>
      <c r="S93" s="213">
        <v>2970.4</v>
      </c>
      <c r="T93" s="213"/>
      <c r="U93" s="213">
        <v>4392.96</v>
      </c>
      <c r="V93" s="213"/>
      <c r="W93" s="213">
        <v>2137.4699999999998</v>
      </c>
      <c r="X93" s="213">
        <v>791.67</v>
      </c>
      <c r="Y93" s="213">
        <v>6992.17</v>
      </c>
      <c r="Z93" s="213"/>
      <c r="AA93" s="213">
        <v>690.16</v>
      </c>
      <c r="AB93" s="213">
        <v>1922.3700000000001</v>
      </c>
      <c r="AC93" s="213">
        <v>805.5</v>
      </c>
      <c r="AD93" s="213"/>
      <c r="AE93" s="213">
        <v>3886.53</v>
      </c>
      <c r="AF93" s="213"/>
      <c r="AG93" s="213">
        <v>9543.0499999999993</v>
      </c>
      <c r="AH93" s="213"/>
      <c r="AI93" s="213"/>
      <c r="AJ93" s="213"/>
      <c r="AK93" s="213"/>
      <c r="AL93" s="213"/>
      <c r="AM93" s="213"/>
      <c r="AN93" s="213"/>
      <c r="AO93" s="213"/>
      <c r="AP93" s="213">
        <v>78245.09</v>
      </c>
      <c r="AQ93" s="213"/>
      <c r="AR93" s="213"/>
      <c r="AS93" s="213"/>
      <c r="AT93" s="213"/>
      <c r="AU93" s="213"/>
      <c r="AV93" s="213">
        <v>267.94</v>
      </c>
      <c r="AW93" s="213"/>
      <c r="AX93" s="264" t="s">
        <v>233</v>
      </c>
      <c r="AY93" s="264" t="s">
        <v>233</v>
      </c>
      <c r="AZ93" s="229" t="s">
        <v>233</v>
      </c>
      <c r="BA93" s="213">
        <v>1460.81</v>
      </c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3253.2200000000003</v>
      </c>
      <c r="BI93" s="213"/>
      <c r="BJ93" s="229" t="s">
        <v>233</v>
      </c>
      <c r="BK93" s="213">
        <v>2734.5</v>
      </c>
      <c r="BL93" s="213">
        <v>1921.97</v>
      </c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4545.67</v>
      </c>
      <c r="BW93" s="213">
        <v>1021.84</v>
      </c>
      <c r="BX93" s="213"/>
      <c r="BY93" s="213">
        <v>1730.5900000000001</v>
      </c>
      <c r="BZ93" s="213"/>
      <c r="CA93" s="213">
        <v>1046</v>
      </c>
      <c r="CB93" s="213"/>
      <c r="CC93" s="229" t="s">
        <v>233</v>
      </c>
      <c r="CD93" s="229" t="s">
        <v>233</v>
      </c>
      <c r="CE93" s="32">
        <f t="shared" si="14"/>
        <v>171713.11000000002</v>
      </c>
      <c r="CF93" s="20"/>
    </row>
    <row r="94" spans="1:84" x14ac:dyDescent="0.35">
      <c r="A94" s="26" t="s">
        <v>278</v>
      </c>
      <c r="B94" s="20"/>
      <c r="C94" s="213">
        <v>31193</v>
      </c>
      <c r="D94" s="213"/>
      <c r="E94" s="213">
        <v>58134</v>
      </c>
      <c r="F94" s="213"/>
      <c r="G94" s="213"/>
      <c r="H94" s="213"/>
      <c r="I94" s="213"/>
      <c r="J94" s="213"/>
      <c r="K94" s="213"/>
      <c r="L94" s="213"/>
      <c r="M94" s="213"/>
      <c r="N94" s="213"/>
      <c r="O94" s="213">
        <v>29403</v>
      </c>
      <c r="P94" s="213">
        <v>30333</v>
      </c>
      <c r="Q94" s="213">
        <v>20847</v>
      </c>
      <c r="R94" s="213"/>
      <c r="S94" s="213"/>
      <c r="T94" s="213"/>
      <c r="U94" s="213">
        <v>611</v>
      </c>
      <c r="V94" s="213"/>
      <c r="W94" s="213"/>
      <c r="X94" s="213"/>
      <c r="Y94" s="213">
        <v>27197</v>
      </c>
      <c r="Z94" s="213"/>
      <c r="AA94" s="213"/>
      <c r="AB94" s="213"/>
      <c r="AC94" s="213"/>
      <c r="AD94" s="213"/>
      <c r="AE94" s="213">
        <v>6407</v>
      </c>
      <c r="AF94" s="213"/>
      <c r="AG94" s="213">
        <v>60842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264967</v>
      </c>
      <c r="CF94" s="32">
        <f>BA60</f>
        <v>0</v>
      </c>
    </row>
    <row r="95" spans="1:84" x14ac:dyDescent="0.35">
      <c r="A95" s="26" t="s">
        <v>279</v>
      </c>
      <c r="B95" s="20"/>
      <c r="C95" s="242">
        <v>19.982597130494504</v>
      </c>
      <c r="D95" s="242"/>
      <c r="E95" s="242">
        <v>48.04791311195055</v>
      </c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3">
        <v>16.607230490899724</v>
      </c>
      <c r="Q95" s="243">
        <v>13.104546598729398</v>
      </c>
      <c r="R95" s="243">
        <v>3.9400814835164826</v>
      </c>
      <c r="S95" s="244"/>
      <c r="T95" s="244"/>
      <c r="U95" s="245"/>
      <c r="V95" s="243"/>
      <c r="W95" s="243"/>
      <c r="X95" s="243"/>
      <c r="Y95" s="243"/>
      <c r="Z95" s="243"/>
      <c r="AA95" s="243"/>
      <c r="AB95" s="244"/>
      <c r="AC95" s="243"/>
      <c r="AD95" s="243"/>
      <c r="AE95" s="243"/>
      <c r="AF95" s="243"/>
      <c r="AG95" s="243">
        <v>30.697131251263738</v>
      </c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132.37950006685438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7">
        <v>98584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47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0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0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6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1498</v>
      </c>
      <c r="D128" s="220">
        <v>5438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317</v>
      </c>
      <c r="D131" s="220">
        <v>619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7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16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2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35">
      <c r="A145" s="20" t="s">
        <v>325</v>
      </c>
      <c r="B145" s="46" t="s">
        <v>284</v>
      </c>
      <c r="C145" s="47">
        <v>68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6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798</v>
      </c>
      <c r="C155" s="50">
        <v>416</v>
      </c>
      <c r="D155" s="50">
        <v>284</v>
      </c>
      <c r="E155" s="32">
        <f>SUM(B155:D155)</f>
        <v>1498</v>
      </c>
    </row>
    <row r="156" spans="1:6" x14ac:dyDescent="0.35">
      <c r="A156" s="20" t="s">
        <v>227</v>
      </c>
      <c r="B156" s="50">
        <v>3165</v>
      </c>
      <c r="C156" s="50">
        <v>1262</v>
      </c>
      <c r="D156" s="50">
        <v>1011</v>
      </c>
      <c r="E156" s="32">
        <f>SUM(B156:D156)</f>
        <v>5438</v>
      </c>
    </row>
    <row r="157" spans="1:6" x14ac:dyDescent="0.35">
      <c r="A157" s="20" t="s">
        <v>332</v>
      </c>
      <c r="B157" s="50">
        <v>72057</v>
      </c>
      <c r="C157" s="50">
        <v>57095</v>
      </c>
      <c r="D157" s="50">
        <v>58712</v>
      </c>
      <c r="E157" s="32">
        <f>SUM(B157:D157)</f>
        <v>187864</v>
      </c>
    </row>
    <row r="158" spans="1:6" x14ac:dyDescent="0.35">
      <c r="A158" s="20" t="s">
        <v>272</v>
      </c>
      <c r="B158" s="50">
        <v>38087808.270000003</v>
      </c>
      <c r="C158" s="50">
        <v>20153301.789999999</v>
      </c>
      <c r="D158" s="50">
        <v>15242319.75</v>
      </c>
      <c r="E158" s="32">
        <f>SUM(B158:D158)</f>
        <v>73483429.810000002</v>
      </c>
      <c r="F158" s="18"/>
    </row>
    <row r="159" spans="1:6" x14ac:dyDescent="0.35">
      <c r="A159" s="20" t="s">
        <v>273</v>
      </c>
      <c r="B159" s="50">
        <v>94970948.129999995</v>
      </c>
      <c r="C159" s="50">
        <v>62490016.439999998</v>
      </c>
      <c r="D159" s="50">
        <v>62327846.109999999</v>
      </c>
      <c r="E159" s="32">
        <f>SUM(B159:D159)</f>
        <v>219788810.68000001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6267693.1399999997</v>
      </c>
      <c r="C174" s="50">
        <v>2819637.43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3709281.29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34735.730000000003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214875.59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11007063.310000001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90690.010000000009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2880081.3000000003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224067.23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18160794.460000001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218168.49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641216.64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859385.13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471620.07000000007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436199.95999999996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907820.03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/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686822.73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686822.73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2141746.4899999998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2141746.4899999998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2015497.22</v>
      </c>
      <c r="C212" s="216">
        <v>0</v>
      </c>
      <c r="D212" s="220">
        <v>0</v>
      </c>
      <c r="E212" s="32">
        <f t="shared" ref="E212:E220" si="16">SUM(B212:C212)-D212</f>
        <v>2015497.22</v>
      </c>
    </row>
    <row r="213" spans="1:5" x14ac:dyDescent="0.35">
      <c r="A213" s="20" t="s">
        <v>367</v>
      </c>
      <c r="B213" s="220">
        <v>11010199.720000001</v>
      </c>
      <c r="C213" s="216">
        <v>32785.57</v>
      </c>
      <c r="D213" s="220">
        <v>0</v>
      </c>
      <c r="E213" s="32">
        <f t="shared" si="16"/>
        <v>11042985.290000001</v>
      </c>
    </row>
    <row r="214" spans="1:5" x14ac:dyDescent="0.35">
      <c r="A214" s="20" t="s">
        <v>368</v>
      </c>
      <c r="B214" s="220">
        <v>57334670.100000001</v>
      </c>
      <c r="C214" s="216">
        <v>29609.09</v>
      </c>
      <c r="D214" s="220">
        <v>0</v>
      </c>
      <c r="E214" s="32">
        <f t="shared" si="16"/>
        <v>57364279.190000005</v>
      </c>
    </row>
    <row r="215" spans="1:5" x14ac:dyDescent="0.35">
      <c r="A215" s="20" t="s">
        <v>369</v>
      </c>
      <c r="B215" s="220">
        <v>32196070.280000001</v>
      </c>
      <c r="C215" s="216">
        <v>403918.16</v>
      </c>
      <c r="D215" s="220">
        <v>0</v>
      </c>
      <c r="E215" s="32">
        <f t="shared" si="16"/>
        <v>32599988.440000001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39071172.310000002</v>
      </c>
      <c r="C217" s="216">
        <v>1914984.33</v>
      </c>
      <c r="D217" s="220">
        <v>1038423.24</v>
      </c>
      <c r="E217" s="32">
        <f t="shared" si="16"/>
        <v>39947733.399999999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1163193.04</v>
      </c>
      <c r="C219" s="216">
        <v>0</v>
      </c>
      <c r="D219" s="220">
        <v>0</v>
      </c>
      <c r="E219" s="32">
        <f t="shared" si="16"/>
        <v>1163193.04</v>
      </c>
    </row>
    <row r="220" spans="1:5" x14ac:dyDescent="0.35">
      <c r="A220" s="20" t="s">
        <v>374</v>
      </c>
      <c r="B220" s="220">
        <v>1538936.82</v>
      </c>
      <c r="C220" s="216">
        <v>3050544.29</v>
      </c>
      <c r="D220" s="220">
        <v>1682359.62</v>
      </c>
      <c r="E220" s="32">
        <f t="shared" si="16"/>
        <v>2907121.49</v>
      </c>
    </row>
    <row r="221" spans="1:5" x14ac:dyDescent="0.35">
      <c r="A221" s="20" t="s">
        <v>215</v>
      </c>
      <c r="B221" s="32">
        <f>SUM(B212:B220)</f>
        <v>144329739.48999998</v>
      </c>
      <c r="C221" s="265">
        <f>SUM(C212:C220)</f>
        <v>5431841.4399999995</v>
      </c>
      <c r="D221" s="32">
        <f>SUM(D212:D220)</f>
        <v>2720782.8600000003</v>
      </c>
      <c r="E221" s="32">
        <f>SUM(E212:E220)</f>
        <v>147040798.06999999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2721542.47</v>
      </c>
      <c r="C226" s="216">
        <v>766060.45</v>
      </c>
      <c r="D226" s="220">
        <v>0</v>
      </c>
      <c r="E226" s="32">
        <f t="shared" ref="E226:E233" si="17">SUM(B226:C226)-D226</f>
        <v>3487602.92</v>
      </c>
    </row>
    <row r="227" spans="1:5" x14ac:dyDescent="0.35">
      <c r="A227" s="20" t="s">
        <v>368</v>
      </c>
      <c r="B227" s="220">
        <v>21279639.199999999</v>
      </c>
      <c r="C227" s="216">
        <v>2503630.04</v>
      </c>
      <c r="D227" s="220"/>
      <c r="E227" s="32">
        <f t="shared" si="17"/>
        <v>23783269.239999998</v>
      </c>
    </row>
    <row r="228" spans="1:5" x14ac:dyDescent="0.35">
      <c r="A228" s="20" t="s">
        <v>369</v>
      </c>
      <c r="B228" s="220">
        <v>12303772.77</v>
      </c>
      <c r="C228" s="216">
        <v>1810096.38</v>
      </c>
      <c r="D228" s="220">
        <v>0</v>
      </c>
      <c r="E228" s="32">
        <f t="shared" si="17"/>
        <v>14113869.149999999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30162457.829999998</v>
      </c>
      <c r="C230" s="216">
        <v>2649086.56</v>
      </c>
      <c r="D230" s="220">
        <v>1022559.01</v>
      </c>
      <c r="E230" s="32">
        <f t="shared" si="17"/>
        <v>31788985.379999995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473101.24</v>
      </c>
      <c r="C232" s="216">
        <v>173232.65</v>
      </c>
      <c r="D232" s="220"/>
      <c r="E232" s="32">
        <f t="shared" si="17"/>
        <v>646333.89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66940513.509999998</v>
      </c>
      <c r="C234" s="265">
        <f>SUM(C225:C233)</f>
        <v>7902106.0800000001</v>
      </c>
      <c r="D234" s="32">
        <f>SUM(D225:D233)</f>
        <v>1022559.01</v>
      </c>
      <c r="E234" s="32">
        <f>SUM(E225:E233)</f>
        <v>73820060.579999998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7" t="s">
        <v>377</v>
      </c>
      <c r="C237" s="347"/>
      <c r="D237" s="38"/>
      <c r="E237" s="38"/>
    </row>
    <row r="238" spans="1:5" x14ac:dyDescent="0.35">
      <c r="A238" s="56" t="s">
        <v>377</v>
      </c>
      <c r="B238" s="38"/>
      <c r="C238" s="216">
        <v>3753986.2000000007</v>
      </c>
      <c r="D238" s="40">
        <f>C238</f>
        <v>3753986.2000000007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74649469.299999997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54134856.170000002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4620366.83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27280979.5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/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160685671.80000001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1741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444332.08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3905197.58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4349529.66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4102989.56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4102989.56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172892177.22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86981018.279999971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50076554.970000006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29767403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 t="s">
        <v>282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293651.75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1478868.8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1020360.1699999997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110083050.96999997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5130581.7499999991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5130581.7499999991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2015497.22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11042985.290000001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57364279.190000005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32599988.440000001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39947733.410000019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1163193.04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2907121.4899999998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147040798.08000001</v>
      </c>
      <c r="E292" s="20"/>
    </row>
    <row r="293" spans="1:5" x14ac:dyDescent="0.35">
      <c r="A293" s="20" t="s">
        <v>416</v>
      </c>
      <c r="B293" s="46" t="s">
        <v>284</v>
      </c>
      <c r="C293" s="47">
        <v>73820060.579999998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73220737.500000015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188434370.21999997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3278421.2199999993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8182894.7799999993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80209.37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13402761.359999998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178430.74000000002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1505000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26627717.469999995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>
        <v>3749886.7</v>
      </c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3749886.7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60467251.230000004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1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60467251.230000004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1505000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58962251.230000004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99094514.820000023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188434370.22000003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188434370.21999997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73483429.810000002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219788810.68000001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293272240.49000001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3753986.2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160685671.80000001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4349529.66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4102989.56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172892177.22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120380063.27000001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2"/>
      <c r="D371" s="32"/>
      <c r="E371" s="32"/>
    </row>
    <row r="372" spans="1:6" x14ac:dyDescent="0.35">
      <c r="A372" s="59" t="s">
        <v>480</v>
      </c>
      <c r="B372" s="40" t="s">
        <v>284</v>
      </c>
      <c r="C372" s="272"/>
      <c r="D372" s="32"/>
      <c r="E372" s="32"/>
    </row>
    <row r="373" spans="1:6" x14ac:dyDescent="0.35">
      <c r="A373" s="59" t="s">
        <v>481</v>
      </c>
      <c r="B373" s="40" t="s">
        <v>284</v>
      </c>
      <c r="C373" s="272"/>
      <c r="D373" s="32"/>
      <c r="E373" s="32"/>
    </row>
    <row r="374" spans="1:6" x14ac:dyDescent="0.35">
      <c r="A374" s="59" t="s">
        <v>482</v>
      </c>
      <c r="B374" s="40" t="s">
        <v>284</v>
      </c>
      <c r="C374" s="272"/>
      <c r="D374" s="32"/>
      <c r="E374" s="32"/>
    </row>
    <row r="375" spans="1:6" x14ac:dyDescent="0.35">
      <c r="A375" s="59" t="s">
        <v>483</v>
      </c>
      <c r="B375" s="40" t="s">
        <v>284</v>
      </c>
      <c r="C375" s="272"/>
      <c r="D375" s="32"/>
      <c r="E375" s="32"/>
    </row>
    <row r="376" spans="1:6" x14ac:dyDescent="0.35">
      <c r="A376" s="59" t="s">
        <v>484</v>
      </c>
      <c r="B376" s="40" t="s">
        <v>284</v>
      </c>
      <c r="C376" s="272"/>
      <c r="D376" s="32"/>
      <c r="E376" s="32"/>
    </row>
    <row r="377" spans="1:6" x14ac:dyDescent="0.35">
      <c r="A377" s="59" t="s">
        <v>485</v>
      </c>
      <c r="B377" s="40" t="s">
        <v>284</v>
      </c>
      <c r="C377" s="272"/>
      <c r="D377" s="32"/>
      <c r="E377" s="32"/>
    </row>
    <row r="378" spans="1:6" x14ac:dyDescent="0.35">
      <c r="A378" s="59" t="s">
        <v>486</v>
      </c>
      <c r="B378" s="40" t="s">
        <v>284</v>
      </c>
      <c r="C378" s="272"/>
      <c r="D378" s="32"/>
      <c r="E378" s="32"/>
    </row>
    <row r="379" spans="1:6" x14ac:dyDescent="0.35">
      <c r="A379" s="59" t="s">
        <v>487</v>
      </c>
      <c r="B379" s="40" t="s">
        <v>284</v>
      </c>
      <c r="C379" s="272"/>
      <c r="D379" s="32"/>
      <c r="E379" s="32"/>
    </row>
    <row r="380" spans="1:6" x14ac:dyDescent="0.35">
      <c r="A380" s="59" t="s">
        <v>488</v>
      </c>
      <c r="B380" s="40" t="s">
        <v>284</v>
      </c>
      <c r="C380" s="272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8278333.5999999996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8278333.5999999996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2332919.7799999998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10611253.379999999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130991316.65000001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53021196.609999999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18160794.949999999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8144595.4300000006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14691258.52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1239606.42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15654400.800000001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7902106.0800000001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859385.13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907820.03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686822.73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2141746.4899999998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2"/>
      <c r="D402" s="32"/>
      <c r="E402" s="32"/>
    </row>
    <row r="403" spans="1:9" x14ac:dyDescent="0.35">
      <c r="A403" s="33" t="s">
        <v>256</v>
      </c>
      <c r="B403" s="40" t="s">
        <v>284</v>
      </c>
      <c r="C403" s="272"/>
      <c r="D403" s="32"/>
      <c r="E403" s="32"/>
    </row>
    <row r="404" spans="1:9" x14ac:dyDescent="0.35">
      <c r="A404" s="33" t="s">
        <v>504</v>
      </c>
      <c r="B404" s="40" t="s">
        <v>284</v>
      </c>
      <c r="C404" s="272"/>
      <c r="D404" s="32"/>
      <c r="E404" s="32"/>
    </row>
    <row r="405" spans="1:9" x14ac:dyDescent="0.35">
      <c r="A405" s="33" t="s">
        <v>258</v>
      </c>
      <c r="B405" s="40" t="s">
        <v>284</v>
      </c>
      <c r="C405" s="272"/>
      <c r="D405" s="32"/>
      <c r="E405" s="32"/>
    </row>
    <row r="406" spans="1:9" x14ac:dyDescent="0.35">
      <c r="A406" s="33" t="s">
        <v>259</v>
      </c>
      <c r="B406" s="40" t="s">
        <v>284</v>
      </c>
      <c r="C406" s="272"/>
      <c r="D406" s="32"/>
      <c r="E406" s="32"/>
    </row>
    <row r="407" spans="1:9" x14ac:dyDescent="0.35">
      <c r="A407" s="33" t="s">
        <v>260</v>
      </c>
      <c r="B407" s="40" t="s">
        <v>284</v>
      </c>
      <c r="C407" s="272"/>
      <c r="D407" s="32"/>
      <c r="E407" s="32"/>
    </row>
    <row r="408" spans="1:9" x14ac:dyDescent="0.35">
      <c r="A408" s="33" t="s">
        <v>261</v>
      </c>
      <c r="B408" s="40" t="s">
        <v>284</v>
      </c>
      <c r="C408" s="272"/>
      <c r="D408" s="32"/>
      <c r="E408" s="32"/>
    </row>
    <row r="409" spans="1:9" x14ac:dyDescent="0.35">
      <c r="A409" s="33" t="s">
        <v>262</v>
      </c>
      <c r="B409" s="40" t="s">
        <v>284</v>
      </c>
      <c r="C409" s="272"/>
      <c r="D409" s="32"/>
      <c r="E409" s="32"/>
    </row>
    <row r="410" spans="1:9" x14ac:dyDescent="0.35">
      <c r="A410" s="33" t="s">
        <v>263</v>
      </c>
      <c r="B410" s="40" t="s">
        <v>284</v>
      </c>
      <c r="C410" s="272"/>
      <c r="D410" s="32"/>
      <c r="E410" s="32"/>
    </row>
    <row r="411" spans="1:9" x14ac:dyDescent="0.35">
      <c r="A411" s="33" t="s">
        <v>264</v>
      </c>
      <c r="B411" s="40" t="s">
        <v>284</v>
      </c>
      <c r="C411" s="272"/>
      <c r="D411" s="32"/>
      <c r="E411" s="32"/>
    </row>
    <row r="412" spans="1:9" x14ac:dyDescent="0.35">
      <c r="A412" s="33" t="s">
        <v>265</v>
      </c>
      <c r="B412" s="40" t="s">
        <v>284</v>
      </c>
      <c r="C412" s="272"/>
      <c r="D412" s="32"/>
      <c r="E412" s="32"/>
    </row>
    <row r="413" spans="1:9" x14ac:dyDescent="0.35">
      <c r="A413" s="33" t="s">
        <v>266</v>
      </c>
      <c r="B413" s="40" t="s">
        <v>284</v>
      </c>
      <c r="C413" s="272"/>
      <c r="D413" s="32"/>
      <c r="E413" s="32"/>
    </row>
    <row r="414" spans="1:9" x14ac:dyDescent="0.35">
      <c r="A414" s="33" t="s">
        <v>267</v>
      </c>
      <c r="B414" s="40" t="s">
        <v>284</v>
      </c>
      <c r="C414" s="272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1192844.72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1192844.72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124602577.91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6388738.7400000095</v>
      </c>
      <c r="E418" s="32"/>
    </row>
    <row r="419" spans="1:13" x14ac:dyDescent="0.35">
      <c r="A419" s="32" t="s">
        <v>508</v>
      </c>
      <c r="B419" s="20"/>
      <c r="C419" s="236">
        <v>672842.04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2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672842.04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7061580.7800000096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7061580.7800000096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0"/>
      <c r="C613" s="248" t="s">
        <v>515</v>
      </c>
      <c r="D613" s="255">
        <f>CE91-(BE91+CD91)</f>
        <v>213322.40000000002</v>
      </c>
      <c r="E613" s="257">
        <f>SUM(C625:D648)+SUM(C669:D714)</f>
        <v>107091627.24290901</v>
      </c>
      <c r="F613" s="257">
        <f>CE65-(AX65+BD65+BE65+BG65+BJ65+BN65+BP65+BQ65+CB65+CC65+CD65)</f>
        <v>14424540.539999997</v>
      </c>
      <c r="G613" s="255">
        <f>CE92-(AX92+AY92+BD92+BE92+BG92+BJ92+BN92+BP92+BQ92+CB92+CC92+CD92)</f>
        <v>33137.17733645202</v>
      </c>
      <c r="H613" s="260">
        <f>CE61-(AX61+AY61+AZ61+BD61+BE61+BG61+BJ61+BN61+BO61+BP61+BQ61+BR61+CB61+CC61+CD61)</f>
        <v>517.57530388488999</v>
      </c>
      <c r="I613" s="255">
        <f>CE93-(AX93+AY93+AZ93+BD93+BE93+BF93+BG93+BJ93+BN93+BO93+BP93+BQ93+BR93+CB93+CC93+CD93)</f>
        <v>171713.11000000002</v>
      </c>
      <c r="J613" s="255">
        <f>CE94-(AX94+AY94+AZ94+BA94+BD94+BE94+BF94+BG94+BJ94+BN94+BO94+BP94+BQ94+BR94+CB94+CC94+CD94)</f>
        <v>264967</v>
      </c>
      <c r="K613" s="255">
        <f>CE90-(AW90+AX90+AY90+AZ90+BA90+BB90+BC90+BD90+BE90+BF90+BG90+BH90+BI90+BJ90+BK90+BL90+BM90+BN90+BO90+BP90+BQ90+BR90+BS90+BT90+BU90+BV90+BW90+BX90+CB90+CC90+CD90)</f>
        <v>293272240.48999995</v>
      </c>
      <c r="L613" s="261">
        <f>CE95-(AW95+AX95+AY95+AZ95+BA95+BB95+BC95+BD95+BE95+BF95+BG95+BH95+BI95+BJ95+BK95+BL95+BM95+BN95+BO95+BP95+BQ95+BR95+BS95+BT95+BU95+BV95+BW95+BX95+BY95+BZ95+CA95+CB95+CC95+CD95)</f>
        <v>132.37950006685438</v>
      </c>
    </row>
    <row r="614" spans="1:14" s="231" customFormat="1" ht="12.65" customHeight="1" x14ac:dyDescent="0.3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5" customHeight="1" x14ac:dyDescent="0.3">
      <c r="A615" s="250">
        <v>8430</v>
      </c>
      <c r="B615" s="249" t="s">
        <v>152</v>
      </c>
      <c r="C615" s="255">
        <f>BE86</f>
        <v>3295777.3100000005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5" customHeight="1" x14ac:dyDescent="0.3">
      <c r="A616" s="250"/>
      <c r="B616" s="249" t="s">
        <v>527</v>
      </c>
      <c r="C616" s="255">
        <f>CD70-CD85</f>
        <v>905060.64999999944</v>
      </c>
      <c r="D616" s="255">
        <f>SUM(C615:C616)</f>
        <v>4200837.96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5" customHeight="1" x14ac:dyDescent="0.3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5" customHeight="1" x14ac:dyDescent="0.3">
      <c r="A618" s="250">
        <v>8510</v>
      </c>
      <c r="B618" s="254" t="s">
        <v>157</v>
      </c>
      <c r="C618" s="255">
        <f>BJ86</f>
        <v>959372.15999999992</v>
      </c>
      <c r="D618" s="255">
        <f>(D616/D613)*BJ91</f>
        <v>39020.56426207468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5" customHeight="1" x14ac:dyDescent="0.3">
      <c r="A619" s="250">
        <v>8470</v>
      </c>
      <c r="B619" s="254" t="s">
        <v>532</v>
      </c>
      <c r="C619" s="255">
        <f>BG86</f>
        <v>0</v>
      </c>
      <c r="D619" s="255">
        <f>(D616/D613)*BG91</f>
        <v>0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5" customHeight="1" x14ac:dyDescent="0.3">
      <c r="A620" s="250">
        <v>8610</v>
      </c>
      <c r="B620" s="254" t="s">
        <v>534</v>
      </c>
      <c r="C620" s="255">
        <f>BN86</f>
        <v>3654784.0500000003</v>
      </c>
      <c r="D620" s="255">
        <f>(D616/D613)*BN91</f>
        <v>105994.54309392731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5" customHeight="1" x14ac:dyDescent="0.3">
      <c r="A621" s="250">
        <v>8790</v>
      </c>
      <c r="B621" s="254" t="s">
        <v>536</v>
      </c>
      <c r="C621" s="255">
        <f>CC86</f>
        <v>3738083.56</v>
      </c>
      <c r="D621" s="255">
        <f>(D616/D613)*CC91</f>
        <v>359417.30479526951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5" customHeight="1" x14ac:dyDescent="0.3">
      <c r="A622" s="250">
        <v>8630</v>
      </c>
      <c r="B622" s="254" t="s">
        <v>538</v>
      </c>
      <c r="C622" s="255">
        <f>BP86</f>
        <v>319857.87000000005</v>
      </c>
      <c r="D622" s="255">
        <f>(D616/D613)*BP91</f>
        <v>56087.014939706285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5" customHeight="1" x14ac:dyDescent="0.3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5" customHeight="1" x14ac:dyDescent="0.3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9232617.067090977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5" customHeight="1" x14ac:dyDescent="0.3">
      <c r="A625" s="250">
        <v>8420</v>
      </c>
      <c r="B625" s="254" t="s">
        <v>151</v>
      </c>
      <c r="C625" s="255">
        <f>BD86</f>
        <v>666415.60000000009</v>
      </c>
      <c r="D625" s="255">
        <f>(D616/D613)*BD91</f>
        <v>66999.972848923499</v>
      </c>
      <c r="E625" s="257">
        <f>(E624/E613)*SUM(C625:D625)</f>
        <v>63229.454155143932</v>
      </c>
      <c r="F625" s="257">
        <f>SUM(C625:E625)</f>
        <v>796645.02700406755</v>
      </c>
      <c r="G625" s="255"/>
      <c r="H625" s="257"/>
      <c r="I625" s="255"/>
      <c r="J625" s="255"/>
      <c r="N625" s="251" t="s">
        <v>544</v>
      </c>
    </row>
    <row r="626" spans="1:14" s="231" customFormat="1" ht="12.65" customHeight="1" x14ac:dyDescent="0.3">
      <c r="A626" s="250">
        <v>8320</v>
      </c>
      <c r="B626" s="254" t="s">
        <v>147</v>
      </c>
      <c r="C626" s="255">
        <f>AY86</f>
        <v>1789265.26</v>
      </c>
      <c r="D626" s="255">
        <f>(D616/D613)*AY91</f>
        <v>99248.30796654828</v>
      </c>
      <c r="E626" s="257">
        <f>(E624/E613)*SUM(C626:D626)</f>
        <v>162813.12599249289</v>
      </c>
      <c r="F626" s="257">
        <f>(F625/F613)*AY65</f>
        <v>38016.570909698632</v>
      </c>
      <c r="G626" s="255">
        <f>SUM(C626:F626)</f>
        <v>2089343.2648687398</v>
      </c>
      <c r="H626" s="257"/>
      <c r="I626" s="255"/>
      <c r="J626" s="255"/>
      <c r="N626" s="251" t="s">
        <v>545</v>
      </c>
    </row>
    <row r="627" spans="1:14" s="231" customFormat="1" ht="12.65" customHeight="1" x14ac:dyDescent="0.3">
      <c r="A627" s="250">
        <v>8650</v>
      </c>
      <c r="B627" s="254" t="s">
        <v>164</v>
      </c>
      <c r="C627" s="255">
        <f>BR86</f>
        <v>1025784.0800000001</v>
      </c>
      <c r="D627" s="255">
        <f>(D616/D613)*BR91</f>
        <v>41926.971064718942</v>
      </c>
      <c r="E627" s="257">
        <f>(E624/E613)*SUM(C627:D627)</f>
        <v>92049.841118036566</v>
      </c>
      <c r="F627" s="257">
        <f>(F625/F613)*BR65</f>
        <v>555.08072410033878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5" customHeight="1" x14ac:dyDescent="0.3">
      <c r="A628" s="250">
        <v>8620</v>
      </c>
      <c r="B628" s="249" t="s">
        <v>547</v>
      </c>
      <c r="C628" s="255">
        <f>BO86</f>
        <v>263542.71000000002</v>
      </c>
      <c r="D628" s="255">
        <f>(D616/D613)*BO91</f>
        <v>5499.5069298357785</v>
      </c>
      <c r="E628" s="257">
        <f>(E624/E613)*SUM(C628:D628)</f>
        <v>23194.752267235428</v>
      </c>
      <c r="F628" s="257">
        <f>(F625/F613)*BO65</f>
        <v>82.678647646956506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5" customHeight="1" x14ac:dyDescent="0.3">
      <c r="A629" s="250">
        <v>8330</v>
      </c>
      <c r="B629" s="254" t="s">
        <v>148</v>
      </c>
      <c r="C629" s="255">
        <f>AZ86</f>
        <v>0</v>
      </c>
      <c r="D629" s="255">
        <f>(D616/D613)*AZ91</f>
        <v>0</v>
      </c>
      <c r="E629" s="257">
        <f>(E624/E613)*SUM(C629:D629)</f>
        <v>0</v>
      </c>
      <c r="F629" s="257">
        <f>(F625/F613)*AZ65</f>
        <v>0</v>
      </c>
      <c r="G629" s="255">
        <f>(G626/G613)*AZ92</f>
        <v>0</v>
      </c>
      <c r="H629" s="257">
        <f>SUM(C627:G629)</f>
        <v>1452635.6207515739</v>
      </c>
      <c r="I629" s="255"/>
      <c r="J629" s="255"/>
      <c r="N629" s="251" t="s">
        <v>549</v>
      </c>
    </row>
    <row r="630" spans="1:14" s="231" customFormat="1" ht="12.65" customHeight="1" x14ac:dyDescent="0.3">
      <c r="A630" s="250">
        <v>8460</v>
      </c>
      <c r="B630" s="254" t="s">
        <v>153</v>
      </c>
      <c r="C630" s="255">
        <f>BF86</f>
        <v>2424851.71</v>
      </c>
      <c r="D630" s="255">
        <f>(D616/D613)*BF91</f>
        <v>45194.143316407462</v>
      </c>
      <c r="E630" s="257">
        <f>(E624/E613)*SUM(C630:D630)</f>
        <v>212948.37037165643</v>
      </c>
      <c r="F630" s="257">
        <f>(F625/F613)*BF65</f>
        <v>8819.7532843418394</v>
      </c>
      <c r="G630" s="255">
        <f>(G626/G613)*BF92</f>
        <v>0</v>
      </c>
      <c r="H630" s="257">
        <f>(H629/H613)*BF61</f>
        <v>82588.28863926146</v>
      </c>
      <c r="I630" s="255">
        <f>SUM(C630:H630)</f>
        <v>2774402.2656116672</v>
      </c>
      <c r="J630" s="255"/>
      <c r="N630" s="251" t="s">
        <v>550</v>
      </c>
    </row>
    <row r="631" spans="1:14" s="231" customFormat="1" ht="12.65" customHeight="1" x14ac:dyDescent="0.3">
      <c r="A631" s="250">
        <v>8350</v>
      </c>
      <c r="B631" s="254" t="s">
        <v>551</v>
      </c>
      <c r="C631" s="255">
        <f>BA86</f>
        <v>371676.05</v>
      </c>
      <c r="D631" s="255">
        <f>(D616/D613)*BA91</f>
        <v>28766.909149473282</v>
      </c>
      <c r="E631" s="257">
        <f>(E624/E613)*SUM(C631:D631)</f>
        <v>34523.1144042089</v>
      </c>
      <c r="F631" s="257">
        <f>(F625/F613)*BA65</f>
        <v>3852.002186888692</v>
      </c>
      <c r="G631" s="255">
        <f>(G626/G613)*BA92</f>
        <v>0</v>
      </c>
      <c r="H631" s="257">
        <f>(H629/H613)*BA61</f>
        <v>2832.5717314783706</v>
      </c>
      <c r="I631" s="255">
        <f>(I630/I613)*BA93</f>
        <v>23602.592566334501</v>
      </c>
      <c r="J631" s="255">
        <f>SUM(C631:I631)</f>
        <v>465253.24003838381</v>
      </c>
      <c r="N631" s="251" t="s">
        <v>552</v>
      </c>
    </row>
    <row r="632" spans="1:14" s="231" customFormat="1" ht="12.65" customHeight="1" x14ac:dyDescent="0.3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>
        <f>(I630/I613)*AW93</f>
        <v>0</v>
      </c>
      <c r="J632" s="255">
        <f>(J631/J613)*AW94</f>
        <v>0</v>
      </c>
      <c r="N632" s="251" t="s">
        <v>554</v>
      </c>
    </row>
    <row r="633" spans="1:14" s="231" customFormat="1" ht="12.65" customHeight="1" x14ac:dyDescent="0.3">
      <c r="A633" s="250">
        <v>8360</v>
      </c>
      <c r="B633" s="254" t="s">
        <v>555</v>
      </c>
      <c r="C633" s="255">
        <f>BB86</f>
        <v>0</v>
      </c>
      <c r="D633" s="255">
        <f>(D616/D613)*BB91</f>
        <v>0</v>
      </c>
      <c r="E633" s="257">
        <f>(E624/E613)*SUM(C633:D633)</f>
        <v>0</v>
      </c>
      <c r="F633" s="257">
        <f>(F625/F613)*BB65</f>
        <v>0</v>
      </c>
      <c r="G633" s="255">
        <f>(G626/G613)*BB92</f>
        <v>0</v>
      </c>
      <c r="H633" s="257">
        <f>(H629/H613)*BB61</f>
        <v>0</v>
      </c>
      <c r="I633" s="255">
        <f>(I630/I613)*BB93</f>
        <v>0</v>
      </c>
      <c r="J633" s="255">
        <f>(J631/J613)*BB94</f>
        <v>0</v>
      </c>
      <c r="N633" s="251" t="s">
        <v>556</v>
      </c>
    </row>
    <row r="634" spans="1:14" s="231" customFormat="1" ht="12.65" customHeight="1" x14ac:dyDescent="0.3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>
        <f>(I630/I613)*BC93</f>
        <v>0</v>
      </c>
      <c r="J634" s="255">
        <f>(J631/J613)*BC94</f>
        <v>0</v>
      </c>
      <c r="N634" s="251" t="s">
        <v>558</v>
      </c>
    </row>
    <row r="635" spans="1:14" s="231" customFormat="1" ht="12.65" customHeight="1" x14ac:dyDescent="0.3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>
        <f>(G626/G613)*BI92</f>
        <v>0</v>
      </c>
      <c r="H635" s="257">
        <f>(H629/H613)*BI61</f>
        <v>0</v>
      </c>
      <c r="I635" s="255">
        <f>(I630/I613)*BI93</f>
        <v>0</v>
      </c>
      <c r="J635" s="255">
        <f>(J631/J613)*BI94</f>
        <v>0</v>
      </c>
      <c r="N635" s="251" t="s">
        <v>560</v>
      </c>
    </row>
    <row r="636" spans="1:14" s="231" customFormat="1" ht="12.65" customHeight="1" x14ac:dyDescent="0.3">
      <c r="A636" s="250">
        <v>8530</v>
      </c>
      <c r="B636" s="254" t="s">
        <v>561</v>
      </c>
      <c r="C636" s="255">
        <f>BK86</f>
        <v>2455713.7700000005</v>
      </c>
      <c r="D636" s="255">
        <f>(D616/D613)*BK91</f>
        <v>53848.9694547783</v>
      </c>
      <c r="E636" s="257">
        <f>(E624/E613)*SUM(C636:D636)</f>
        <v>216355.21259445566</v>
      </c>
      <c r="F636" s="257">
        <f>(F625/F613)*BK65</f>
        <v>782.25743347222249</v>
      </c>
      <c r="G636" s="255">
        <f>(G626/G613)*BK92</f>
        <v>0</v>
      </c>
      <c r="H636" s="257">
        <f>(H629/H613)*BK61</f>
        <v>62494.163971486778</v>
      </c>
      <c r="I636" s="255">
        <f>(I630/I613)*BK93</f>
        <v>44181.850735305547</v>
      </c>
      <c r="J636" s="255">
        <f>(J631/J613)*BK94</f>
        <v>0</v>
      </c>
      <c r="N636" s="251" t="s">
        <v>562</v>
      </c>
    </row>
    <row r="637" spans="1:14" s="231" customFormat="1" ht="12.65" customHeight="1" x14ac:dyDescent="0.3">
      <c r="A637" s="250">
        <v>8480</v>
      </c>
      <c r="B637" s="254" t="s">
        <v>563</v>
      </c>
      <c r="C637" s="255">
        <f>BH86</f>
        <v>9341569.9700000007</v>
      </c>
      <c r="D637" s="255">
        <f>(D616/D613)*BH91</f>
        <v>64063.83046614514</v>
      </c>
      <c r="E637" s="257">
        <f>(E624/E613)*SUM(C637:D637)</f>
        <v>810881.46093831502</v>
      </c>
      <c r="F637" s="257">
        <f>(F625/F613)*BH65</f>
        <v>24761.395339427334</v>
      </c>
      <c r="G637" s="255">
        <f>(G626/G613)*BH92</f>
        <v>0</v>
      </c>
      <c r="H637" s="257">
        <f>(H629/H613)*BH61</f>
        <v>0</v>
      </c>
      <c r="I637" s="255">
        <f>(I630/I613)*BH93</f>
        <v>52562.911116880867</v>
      </c>
      <c r="J637" s="255">
        <f>(J631/J613)*BH94</f>
        <v>0</v>
      </c>
      <c r="N637" s="251" t="s">
        <v>564</v>
      </c>
    </row>
    <row r="638" spans="1:14" s="231" customFormat="1" ht="12.65" customHeight="1" x14ac:dyDescent="0.3">
      <c r="A638" s="250">
        <v>8560</v>
      </c>
      <c r="B638" s="254" t="s">
        <v>159</v>
      </c>
      <c r="C638" s="255">
        <f>BL86</f>
        <v>1805850.3</v>
      </c>
      <c r="D638" s="255">
        <f>(D616/D613)*BL91</f>
        <v>37848.273477052571</v>
      </c>
      <c r="E638" s="257">
        <f>(E624/E613)*SUM(C638:D638)</f>
        <v>158949.52158533601</v>
      </c>
      <c r="F638" s="257">
        <f>(F625/F613)*BL65</f>
        <v>1068.0652184594815</v>
      </c>
      <c r="G638" s="255">
        <f>(G626/G613)*BL92</f>
        <v>0</v>
      </c>
      <c r="H638" s="257">
        <f>(H629/H613)*BL61</f>
        <v>64830.71406422263</v>
      </c>
      <c r="I638" s="255">
        <f>(I630/I613)*BL93</f>
        <v>31053.644782495961</v>
      </c>
      <c r="J638" s="255">
        <f>(J631/J613)*BL94</f>
        <v>0</v>
      </c>
      <c r="N638" s="251" t="s">
        <v>565</v>
      </c>
    </row>
    <row r="639" spans="1:14" s="231" customFormat="1" ht="12.65" customHeight="1" x14ac:dyDescent="0.3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>
        <f>(G626/G613)*BM92</f>
        <v>0</v>
      </c>
      <c r="H639" s="257">
        <f>(H629/H613)*BM61</f>
        <v>0</v>
      </c>
      <c r="I639" s="255">
        <f>(I630/I613)*BM93</f>
        <v>0</v>
      </c>
      <c r="J639" s="255">
        <f>(J631/J613)*BM94</f>
        <v>0</v>
      </c>
      <c r="N639" s="251" t="s">
        <v>567</v>
      </c>
    </row>
    <row r="640" spans="1:14" s="231" customFormat="1" ht="12.65" customHeight="1" x14ac:dyDescent="0.3">
      <c r="A640" s="250">
        <v>8660</v>
      </c>
      <c r="B640" s="254" t="s">
        <v>568</v>
      </c>
      <c r="C640" s="255">
        <f>BS86</f>
        <v>0</v>
      </c>
      <c r="D640" s="255">
        <f>(D616/D613)*BS91</f>
        <v>0</v>
      </c>
      <c r="E640" s="257">
        <f>(E624/E613)*SUM(C640:D640)</f>
        <v>0</v>
      </c>
      <c r="F640" s="257">
        <f>(F625/F613)*BS65</f>
        <v>0</v>
      </c>
      <c r="G640" s="255">
        <f>(G626/G613)*BS92</f>
        <v>0</v>
      </c>
      <c r="H640" s="257">
        <f>(H629/H613)*BS61</f>
        <v>0</v>
      </c>
      <c r="I640" s="255">
        <f>(I630/I613)*BS93</f>
        <v>0</v>
      </c>
      <c r="J640" s="255">
        <f>(J631/J613)*BS94</f>
        <v>0</v>
      </c>
      <c r="N640" s="251" t="s">
        <v>569</v>
      </c>
    </row>
    <row r="641" spans="1:14" s="231" customFormat="1" ht="12.65" customHeight="1" x14ac:dyDescent="0.3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>
        <f>(I630/I613)*BT93</f>
        <v>0</v>
      </c>
      <c r="J641" s="255">
        <f>(J631/J613)*BT94</f>
        <v>0</v>
      </c>
      <c r="N641" s="251" t="s">
        <v>571</v>
      </c>
    </row>
    <row r="642" spans="1:14" s="231" customFormat="1" ht="12.65" customHeight="1" x14ac:dyDescent="0.3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>
        <f>(I630/I613)*BU93</f>
        <v>0</v>
      </c>
      <c r="J642" s="255">
        <f>(J631/J613)*BU94</f>
        <v>0</v>
      </c>
      <c r="N642" s="251" t="s">
        <v>573</v>
      </c>
    </row>
    <row r="643" spans="1:14" s="231" customFormat="1" ht="12.65" customHeight="1" x14ac:dyDescent="0.3">
      <c r="A643" s="250">
        <v>8690</v>
      </c>
      <c r="B643" s="254" t="s">
        <v>574</v>
      </c>
      <c r="C643" s="255">
        <f>BV86</f>
        <v>2354508.0099999998</v>
      </c>
      <c r="D643" s="255">
        <f>(D616/D613)*BV91</f>
        <v>89515.320892851378</v>
      </c>
      <c r="E643" s="257">
        <f>(E624/E613)*SUM(C643:D643)</f>
        <v>210704.90847979885</v>
      </c>
      <c r="F643" s="257">
        <f>(F625/F613)*BV65</f>
        <v>482.3730209542818</v>
      </c>
      <c r="G643" s="255">
        <f>(G626/G613)*BV92</f>
        <v>0</v>
      </c>
      <c r="H643" s="257">
        <f>(H629/H613)*BV61</f>
        <v>55838.715960162153</v>
      </c>
      <c r="I643" s="255">
        <f>(I630/I613)*BV93</f>
        <v>73445.278270965951</v>
      </c>
      <c r="J643" s="255">
        <f>(J631/J613)*BV94</f>
        <v>0</v>
      </c>
      <c r="N643" s="251" t="s">
        <v>575</v>
      </c>
    </row>
    <row r="644" spans="1:14" s="231" customFormat="1" ht="12.65" customHeight="1" x14ac:dyDescent="0.3">
      <c r="A644" s="250">
        <v>8700</v>
      </c>
      <c r="B644" s="254" t="s">
        <v>576</v>
      </c>
      <c r="C644" s="255">
        <f>BW86</f>
        <v>332842.90999999997</v>
      </c>
      <c r="D644" s="255">
        <f>(D616/D613)*BW91</f>
        <v>20122.520002805144</v>
      </c>
      <c r="E644" s="257">
        <f>(E624/E613)*SUM(C644:D644)</f>
        <v>30429.9667213506</v>
      </c>
      <c r="F644" s="257">
        <f>(F625/F613)*BW65</f>
        <v>96.357078047630964</v>
      </c>
      <c r="G644" s="255">
        <f>(G626/G613)*BW92</f>
        <v>0</v>
      </c>
      <c r="H644" s="257">
        <f>(H629/H613)*BW61</f>
        <v>5638.1085449538714</v>
      </c>
      <c r="I644" s="255">
        <f>(I630/I613)*BW93</f>
        <v>16510.068515401217</v>
      </c>
      <c r="J644" s="255">
        <f>(J631/J613)*BW94</f>
        <v>0</v>
      </c>
      <c r="N644" s="251" t="s">
        <v>577</v>
      </c>
    </row>
    <row r="645" spans="1:14" s="231" customFormat="1" ht="12.65" customHeight="1" x14ac:dyDescent="0.3">
      <c r="A645" s="250">
        <v>8710</v>
      </c>
      <c r="B645" s="254" t="s">
        <v>578</v>
      </c>
      <c r="C645" s="255">
        <f>BX86</f>
        <v>0</v>
      </c>
      <c r="D645" s="255">
        <f>(D616/D613)*BX91</f>
        <v>0</v>
      </c>
      <c r="E645" s="257">
        <f>(E624/E613)*SUM(C645:D645)</f>
        <v>0</v>
      </c>
      <c r="F645" s="257">
        <f>(F625/F613)*BX65</f>
        <v>0</v>
      </c>
      <c r="G645" s="255">
        <f>(G626/G613)*BX92</f>
        <v>0</v>
      </c>
      <c r="H645" s="257">
        <f>(H629/H613)*BX61</f>
        <v>0</v>
      </c>
      <c r="I645" s="255">
        <f>(I630/I613)*BX93</f>
        <v>0</v>
      </c>
      <c r="J645" s="255">
        <f>(J631/J613)*BX94</f>
        <v>0</v>
      </c>
      <c r="K645" s="257">
        <f>SUM(C632:J645)</f>
        <v>18416950.848665137</v>
      </c>
      <c r="L645" s="257"/>
      <c r="N645" s="251" t="s">
        <v>579</v>
      </c>
    </row>
    <row r="646" spans="1:14" s="231" customFormat="1" ht="12.65" customHeight="1" x14ac:dyDescent="0.3">
      <c r="A646" s="250">
        <v>8720</v>
      </c>
      <c r="B646" s="254" t="s">
        <v>580</v>
      </c>
      <c r="C646" s="255">
        <f>BY86</f>
        <v>4377263.4499999993</v>
      </c>
      <c r="D646" s="255">
        <f>(D616/D613)*BY91</f>
        <v>34079.534850519216</v>
      </c>
      <c r="E646" s="257">
        <f>(E624/E613)*SUM(C646:D646)</f>
        <v>380312.08955618646</v>
      </c>
      <c r="F646" s="257">
        <f>(F625/F613)*BY65</f>
        <v>474.46927736547207</v>
      </c>
      <c r="G646" s="255">
        <f>(G626/G613)*BY92</f>
        <v>0</v>
      </c>
      <c r="H646" s="257">
        <f>(H629/H613)*BY61</f>
        <v>84189.05359879919</v>
      </c>
      <c r="I646" s="255">
        <f>(I630/I613)*BY93</f>
        <v>27961.480732862474</v>
      </c>
      <c r="J646" s="255">
        <f>(J631/J613)*BY94</f>
        <v>0</v>
      </c>
      <c r="K646" s="257">
        <v>0</v>
      </c>
      <c r="L646" s="257"/>
      <c r="N646" s="251" t="s">
        <v>581</v>
      </c>
    </row>
    <row r="647" spans="1:14" s="231" customFormat="1" ht="12.65" customHeight="1" x14ac:dyDescent="0.3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>
        <f>(I630/I613)*BZ93</f>
        <v>0</v>
      </c>
      <c r="J647" s="255">
        <f>(J631/J613)*BZ94</f>
        <v>0</v>
      </c>
      <c r="K647" s="257">
        <v>0</v>
      </c>
      <c r="L647" s="257"/>
      <c r="N647" s="251" t="s">
        <v>583</v>
      </c>
    </row>
    <row r="648" spans="1:14" s="231" customFormat="1" ht="12.65" customHeight="1" x14ac:dyDescent="0.3">
      <c r="A648" s="250">
        <v>8740</v>
      </c>
      <c r="B648" s="254" t="s">
        <v>584</v>
      </c>
      <c r="C648" s="255">
        <f>CA86</f>
        <v>220699.49</v>
      </c>
      <c r="D648" s="255">
        <f>(D616/D613)*CA91</f>
        <v>20598.289284950853</v>
      </c>
      <c r="E648" s="257">
        <f>(E624/E613)*SUM(C648:D648)</f>
        <v>20802.840078470294</v>
      </c>
      <c r="F648" s="257">
        <f>(F625/F613)*CA65</f>
        <v>137.06265539859444</v>
      </c>
      <c r="G648" s="255">
        <f>(G626/G613)*CA92</f>
        <v>0</v>
      </c>
      <c r="H648" s="257">
        <f>(H629/H613)*CA61</f>
        <v>3255.6947251388196</v>
      </c>
      <c r="I648" s="255">
        <f>(I630/I613)*CA93</f>
        <v>16900.426355505431</v>
      </c>
      <c r="J648" s="255">
        <f>(J631/J613)*CA94</f>
        <v>0</v>
      </c>
      <c r="K648" s="257">
        <v>0</v>
      </c>
      <c r="L648" s="257">
        <f>SUM(C646:K648)</f>
        <v>5186673.8811151963</v>
      </c>
      <c r="N648" s="251" t="s">
        <v>585</v>
      </c>
    </row>
    <row r="649" spans="1:14" s="231" customFormat="1" ht="12.65" customHeight="1" x14ac:dyDescent="0.3">
      <c r="A649" s="250"/>
      <c r="B649" s="250"/>
      <c r="C649" s="231">
        <f>SUM(C615:C648)</f>
        <v>40302918.910000004</v>
      </c>
      <c r="L649" s="253"/>
    </row>
    <row r="667" spans="1:14" s="231" customFormat="1" ht="12.65" customHeight="1" x14ac:dyDescent="0.3">
      <c r="C667" s="248" t="s">
        <v>586</v>
      </c>
      <c r="M667" s="248" t="s">
        <v>587</v>
      </c>
    </row>
    <row r="668" spans="1:14" s="231" customFormat="1" ht="12.65" customHeight="1" x14ac:dyDescent="0.3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5" customHeight="1" x14ac:dyDescent="0.3">
      <c r="A669" s="250">
        <v>6010</v>
      </c>
      <c r="B669" s="249" t="s">
        <v>315</v>
      </c>
      <c r="C669" s="255">
        <f>C86</f>
        <v>3524204.0999999996</v>
      </c>
      <c r="D669" s="255">
        <f>(D616/D613)*C91</f>
        <v>128357.86552286491</v>
      </c>
      <c r="E669" s="257">
        <f>(E624/E613)*SUM(C669:D669)</f>
        <v>314895.82154730667</v>
      </c>
      <c r="F669" s="257">
        <f>(F625/F613)*C65</f>
        <v>17678.206800987402</v>
      </c>
      <c r="G669" s="255">
        <f>(G626/G613)*C92</f>
        <v>344298.67778888962</v>
      </c>
      <c r="H669" s="257">
        <f>(H629/H613)*C61</f>
        <v>56083.495810187022</v>
      </c>
      <c r="I669" s="255">
        <f>(I630/I613)*C93</f>
        <v>105314.6998476201</v>
      </c>
      <c r="J669" s="255">
        <f>(J631/J613)*C94</f>
        <v>54771.516137923987</v>
      </c>
      <c r="K669" s="255">
        <f>(K645/K613)*C90</f>
        <v>899735.35550400265</v>
      </c>
      <c r="L669" s="255">
        <f>(L648/L613)*C95</f>
        <v>782924.9586321247</v>
      </c>
      <c r="M669" s="231">
        <f t="shared" ref="M669:M714" si="18">ROUND(SUM(D669:L669),0)</f>
        <v>2704061</v>
      </c>
      <c r="N669" s="249" t="s">
        <v>589</v>
      </c>
    </row>
    <row r="670" spans="1:14" s="231" customFormat="1" ht="12.65" customHeight="1" x14ac:dyDescent="0.3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>
        <f>(I630/I613)*D93</f>
        <v>0</v>
      </c>
      <c r="J670" s="255">
        <f>(J631/J613)*D94</f>
        <v>0</v>
      </c>
      <c r="K670" s="255">
        <f>(K645/K613)*D90</f>
        <v>0</v>
      </c>
      <c r="L670" s="255">
        <f>(L648/L613)*D95</f>
        <v>0</v>
      </c>
      <c r="M670" s="231">
        <f t="shared" si="18"/>
        <v>0</v>
      </c>
      <c r="N670" s="249" t="s">
        <v>590</v>
      </c>
    </row>
    <row r="671" spans="1:14" s="231" customFormat="1" ht="12.65" customHeight="1" x14ac:dyDescent="0.3">
      <c r="A671" s="250">
        <v>6070</v>
      </c>
      <c r="B671" s="249" t="s">
        <v>591</v>
      </c>
      <c r="C671" s="255">
        <f>E86</f>
        <v>8025096.5200000005</v>
      </c>
      <c r="D671" s="255">
        <f>(D616/D613)*E91</f>
        <v>379153.65610507474</v>
      </c>
      <c r="E671" s="257">
        <f>(E624/E613)*SUM(C671:D671)</f>
        <v>724549.86080293998</v>
      </c>
      <c r="F671" s="257">
        <f>(F625/F613)*E65</f>
        <v>12058.811899264945</v>
      </c>
      <c r="G671" s="255">
        <f>(G626/G613)*E92</f>
        <v>1656685.4739324299</v>
      </c>
      <c r="H671" s="257">
        <f>(H629/H613)*E61</f>
        <v>134852.0873490494</v>
      </c>
      <c r="I671" s="255">
        <f>(I630/I613)*E93</f>
        <v>311086.92347116617</v>
      </c>
      <c r="J671" s="255">
        <f>(J631/J613)*E94</f>
        <v>102076.98262950256</v>
      </c>
      <c r="K671" s="255">
        <f>(K645/K613)*E90</f>
        <v>1866086.6852064845</v>
      </c>
      <c r="L671" s="255">
        <f>(L648/L613)*E95</f>
        <v>1882533.5936001469</v>
      </c>
      <c r="M671" s="231">
        <f t="shared" si="18"/>
        <v>7069084</v>
      </c>
      <c r="N671" s="249" t="s">
        <v>592</v>
      </c>
    </row>
    <row r="672" spans="1:14" s="231" customFormat="1" ht="12.65" customHeight="1" x14ac:dyDescent="0.3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>
        <f>(I630/I613)*F93</f>
        <v>0</v>
      </c>
      <c r="J672" s="255">
        <f>(J631/J613)*F94</f>
        <v>0</v>
      </c>
      <c r="K672" s="255">
        <f>(K645/K613)*F90</f>
        <v>0</v>
      </c>
      <c r="L672" s="255">
        <f>(L648/L613)*F95</f>
        <v>0</v>
      </c>
      <c r="M672" s="231">
        <f t="shared" si="18"/>
        <v>0</v>
      </c>
      <c r="N672" s="249" t="s">
        <v>594</v>
      </c>
    </row>
    <row r="673" spans="1:14" s="231" customFormat="1" ht="12.65" customHeight="1" x14ac:dyDescent="0.3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>
        <f>(I630/I613)*G93</f>
        <v>0</v>
      </c>
      <c r="J673" s="255">
        <f>(J631/J613)*G94</f>
        <v>0</v>
      </c>
      <c r="K673" s="255">
        <f>(K645/K613)*G90</f>
        <v>0</v>
      </c>
      <c r="L673" s="255">
        <f>(L648/L613)*G95</f>
        <v>0</v>
      </c>
      <c r="M673" s="231">
        <f t="shared" si="18"/>
        <v>0</v>
      </c>
      <c r="N673" s="249" t="s">
        <v>596</v>
      </c>
    </row>
    <row r="674" spans="1:14" s="231" customFormat="1" ht="12.65" customHeight="1" x14ac:dyDescent="0.3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>
        <f>(G626/G613)*H92</f>
        <v>0</v>
      </c>
      <c r="H674" s="257">
        <f>(H629/H613)*H61</f>
        <v>0</v>
      </c>
      <c r="I674" s="255">
        <f>(I630/I613)*H93</f>
        <v>0</v>
      </c>
      <c r="J674" s="255">
        <f>(J631/J613)*H94</f>
        <v>0</v>
      </c>
      <c r="K674" s="255">
        <f>(K645/K613)*H90</f>
        <v>0</v>
      </c>
      <c r="L674" s="255">
        <f>(L648/L613)*H95</f>
        <v>0</v>
      </c>
      <c r="M674" s="231">
        <f t="shared" si="18"/>
        <v>0</v>
      </c>
      <c r="N674" s="249" t="s">
        <v>598</v>
      </c>
    </row>
    <row r="675" spans="1:14" s="231" customFormat="1" ht="12.65" customHeight="1" x14ac:dyDescent="0.3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>
        <f>(I630/I613)*I93</f>
        <v>0</v>
      </c>
      <c r="J675" s="255">
        <f>(J631/J613)*I94</f>
        <v>0</v>
      </c>
      <c r="K675" s="255">
        <f>(K645/K613)*I90</f>
        <v>0</v>
      </c>
      <c r="L675" s="255">
        <f>(L648/L613)*I95</f>
        <v>0</v>
      </c>
      <c r="M675" s="231">
        <f t="shared" si="18"/>
        <v>0</v>
      </c>
      <c r="N675" s="249" t="s">
        <v>600</v>
      </c>
    </row>
    <row r="676" spans="1:14" s="231" customFormat="1" ht="12.65" customHeight="1" x14ac:dyDescent="0.3">
      <c r="A676" s="250">
        <v>6170</v>
      </c>
      <c r="B676" s="249" t="s">
        <v>110</v>
      </c>
      <c r="C676" s="255">
        <f>J86</f>
        <v>50105.07</v>
      </c>
      <c r="D676" s="255">
        <f>(D616/D613)*J91</f>
        <v>9492.345491419559</v>
      </c>
      <c r="E676" s="257">
        <f>(E624/E613)*SUM(C676:D676)</f>
        <v>5138.0311382561995</v>
      </c>
      <c r="F676" s="257">
        <f>(F625/F613)*J65</f>
        <v>1678.9708605918861</v>
      </c>
      <c r="G676" s="255">
        <f>(G626/G613)*J92</f>
        <v>0</v>
      </c>
      <c r="H676" s="257">
        <f>(H629/H613)*J61</f>
        <v>0</v>
      </c>
      <c r="I676" s="255">
        <f>(I630/I613)*J93</f>
        <v>7788.2528835031389</v>
      </c>
      <c r="J676" s="255">
        <f>(J631/J613)*J94</f>
        <v>0</v>
      </c>
      <c r="K676" s="255">
        <f>(K645/K613)*J90</f>
        <v>84598.939639126911</v>
      </c>
      <c r="L676" s="255">
        <f>(L648/L613)*J95</f>
        <v>0</v>
      </c>
      <c r="M676" s="231">
        <f t="shared" si="18"/>
        <v>108697</v>
      </c>
      <c r="N676" s="249" t="s">
        <v>601</v>
      </c>
    </row>
    <row r="677" spans="1:14" s="231" customFormat="1" ht="12.65" customHeight="1" x14ac:dyDescent="0.3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>
        <f>(G626/G613)*K92</f>
        <v>0</v>
      </c>
      <c r="H677" s="257">
        <f>(H629/H613)*K61</f>
        <v>0</v>
      </c>
      <c r="I677" s="255">
        <f>(I630/I613)*K93</f>
        <v>0</v>
      </c>
      <c r="J677" s="255">
        <f>(J631/J613)*K94</f>
        <v>0</v>
      </c>
      <c r="K677" s="255">
        <f>(K645/K613)*K90</f>
        <v>0</v>
      </c>
      <c r="L677" s="255">
        <f>(L648/L613)*K95</f>
        <v>0</v>
      </c>
      <c r="M677" s="231">
        <f t="shared" si="18"/>
        <v>0</v>
      </c>
      <c r="N677" s="249" t="s">
        <v>602</v>
      </c>
    </row>
    <row r="678" spans="1:14" s="231" customFormat="1" ht="12.65" customHeight="1" x14ac:dyDescent="0.3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>
        <f>(G626/G613)*L92</f>
        <v>0</v>
      </c>
      <c r="H678" s="257">
        <f>(H629/H613)*L61</f>
        <v>0</v>
      </c>
      <c r="I678" s="255">
        <f>(I630/I613)*L93</f>
        <v>0</v>
      </c>
      <c r="J678" s="255">
        <f>(J631/J613)*L94</f>
        <v>0</v>
      </c>
      <c r="K678" s="255">
        <f>(K645/K613)*L90</f>
        <v>0</v>
      </c>
      <c r="L678" s="255">
        <f>(L648/L613)*L95</f>
        <v>0</v>
      </c>
      <c r="M678" s="231">
        <f t="shared" si="18"/>
        <v>0</v>
      </c>
      <c r="N678" s="249" t="s">
        <v>603</v>
      </c>
    </row>
    <row r="679" spans="1:14" s="231" customFormat="1" ht="12.65" customHeight="1" x14ac:dyDescent="0.3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>
        <f>(I630/I613)*M93</f>
        <v>0</v>
      </c>
      <c r="J679" s="255">
        <f>(J631/J613)*M94</f>
        <v>0</v>
      </c>
      <c r="K679" s="255">
        <f>(K645/K613)*M90</f>
        <v>0</v>
      </c>
      <c r="L679" s="255">
        <f>(L648/L613)*M95</f>
        <v>0</v>
      </c>
      <c r="M679" s="231">
        <f t="shared" si="18"/>
        <v>0</v>
      </c>
      <c r="N679" s="249" t="s">
        <v>605</v>
      </c>
    </row>
    <row r="680" spans="1:14" s="231" customFormat="1" ht="12.65" customHeight="1" x14ac:dyDescent="0.3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>
        <f>(I630/I613)*N93</f>
        <v>0</v>
      </c>
      <c r="J680" s="255">
        <f>(J631/J613)*N94</f>
        <v>0</v>
      </c>
      <c r="K680" s="255">
        <f>(K645/K613)*N90</f>
        <v>0</v>
      </c>
      <c r="L680" s="255">
        <f>(L648/L613)*N95</f>
        <v>0</v>
      </c>
      <c r="M680" s="231">
        <f t="shared" si="18"/>
        <v>0</v>
      </c>
      <c r="N680" s="249" t="s">
        <v>607</v>
      </c>
    </row>
    <row r="681" spans="1:14" s="231" customFormat="1" ht="12.65" customHeight="1" x14ac:dyDescent="0.3">
      <c r="A681" s="250">
        <v>7010</v>
      </c>
      <c r="B681" s="249" t="s">
        <v>608</v>
      </c>
      <c r="C681" s="255">
        <f>O86</f>
        <v>119838.97000000002</v>
      </c>
      <c r="D681" s="255">
        <f>(D616/D613)*O91</f>
        <v>19198.157001815092</v>
      </c>
      <c r="E681" s="257">
        <f>(E624/E613)*SUM(C681:D681)</f>
        <v>11986.712544805892</v>
      </c>
      <c r="F681" s="257">
        <f>(F625/F613)*O65</f>
        <v>4148.3387237295665</v>
      </c>
      <c r="G681" s="255">
        <f>(G626/G613)*O92</f>
        <v>0</v>
      </c>
      <c r="H681" s="257">
        <f>(H629/H613)*O61</f>
        <v>0</v>
      </c>
      <c r="I681" s="255">
        <f>(I630/I613)*O93</f>
        <v>15751.649764801381</v>
      </c>
      <c r="J681" s="255">
        <f>(J631/J613)*O94</f>
        <v>51628.470778808674</v>
      </c>
      <c r="K681" s="255">
        <f>(K645/K613)*O90</f>
        <v>199675.29239596895</v>
      </c>
      <c r="L681" s="255">
        <f>(L648/L613)*O95</f>
        <v>0</v>
      </c>
      <c r="M681" s="231">
        <f t="shared" si="18"/>
        <v>302389</v>
      </c>
      <c r="N681" s="249" t="s">
        <v>609</v>
      </c>
    </row>
    <row r="682" spans="1:14" s="231" customFormat="1" ht="12.65" customHeight="1" x14ac:dyDescent="0.3">
      <c r="A682" s="250">
        <v>7020</v>
      </c>
      <c r="B682" s="249" t="s">
        <v>610</v>
      </c>
      <c r="C682" s="255">
        <f>P86</f>
        <v>3508532.42</v>
      </c>
      <c r="D682" s="255">
        <f>(D616/D613)*P91</f>
        <v>129290.69627184015</v>
      </c>
      <c r="E682" s="257">
        <f>(E624/E613)*SUM(C682:D682)</f>
        <v>313625.15123770694</v>
      </c>
      <c r="F682" s="257">
        <f>(F625/F613)*P65</f>
        <v>47081.637926643205</v>
      </c>
      <c r="G682" s="255">
        <f>(G626/G613)*P92</f>
        <v>17717.425098313368</v>
      </c>
      <c r="H682" s="257">
        <f>(H629/H613)*P61</f>
        <v>46610.134587252018</v>
      </c>
      <c r="I682" s="255">
        <f>(I630/I613)*P93</f>
        <v>106080.06619222839</v>
      </c>
      <c r="J682" s="255">
        <f>(J631/J613)*P94</f>
        <v>53261.449652538977</v>
      </c>
      <c r="K682" s="255">
        <f>(K645/K613)*P90</f>
        <v>1219252.3501261475</v>
      </c>
      <c r="L682" s="255">
        <f>(L648/L613)*P95</f>
        <v>650676.94455190492</v>
      </c>
      <c r="M682" s="231">
        <f t="shared" si="18"/>
        <v>2583596</v>
      </c>
      <c r="N682" s="249" t="s">
        <v>611</v>
      </c>
    </row>
    <row r="683" spans="1:14" s="231" customFormat="1" ht="12.65" customHeight="1" x14ac:dyDescent="0.3">
      <c r="A683" s="250">
        <v>7030</v>
      </c>
      <c r="B683" s="249" t="s">
        <v>612</v>
      </c>
      <c r="C683" s="255">
        <f>Q86</f>
        <v>2229059.2899999996</v>
      </c>
      <c r="D683" s="255">
        <f>(D616/D613)*Q91</f>
        <v>142716.21224020355</v>
      </c>
      <c r="E683" s="257">
        <f>(E624/E613)*SUM(C683:D683)</f>
        <v>204476.2559412983</v>
      </c>
      <c r="F683" s="257">
        <f>(F625/F613)*Q65</f>
        <v>5981.9724424094602</v>
      </c>
      <c r="G683" s="255">
        <f>(G626/G613)*Q92</f>
        <v>0</v>
      </c>
      <c r="H683" s="257">
        <f>(H629/H613)*Q61</f>
        <v>36779.442605219214</v>
      </c>
      <c r="I683" s="255">
        <f>(I630/I613)*Q93</f>
        <v>117095.39570669245</v>
      </c>
      <c r="J683" s="255">
        <f>(J631/J613)*Q94</f>
        <v>36605.065140489896</v>
      </c>
      <c r="K683" s="255">
        <f>(K645/K613)*Q90</f>
        <v>427506.3249729735</v>
      </c>
      <c r="L683" s="255">
        <f>(L648/L613)*Q95</f>
        <v>513440.59717071749</v>
      </c>
      <c r="M683" s="231">
        <f t="shared" si="18"/>
        <v>1484601</v>
      </c>
      <c r="N683" s="249" t="s">
        <v>613</v>
      </c>
    </row>
    <row r="684" spans="1:14" s="231" customFormat="1" ht="12.65" customHeight="1" x14ac:dyDescent="0.3">
      <c r="A684" s="250">
        <v>7040</v>
      </c>
      <c r="B684" s="249" t="s">
        <v>118</v>
      </c>
      <c r="C684" s="255">
        <f>R86</f>
        <v>-603344.76999999979</v>
      </c>
      <c r="D684" s="255">
        <f>(D616/D613)*R91</f>
        <v>6136.3603480722131</v>
      </c>
      <c r="E684" s="257">
        <f>(E624/E613)*SUM(C684:D684)</f>
        <v>-51486.719340402386</v>
      </c>
      <c r="F684" s="257">
        <f>(F625/F613)*R65</f>
        <v>3063.5818105957364</v>
      </c>
      <c r="G684" s="255">
        <f>(G626/G613)*R92</f>
        <v>0</v>
      </c>
      <c r="H684" s="257">
        <f>(H629/H613)*R61</f>
        <v>11058.299475766078</v>
      </c>
      <c r="I684" s="255">
        <f>(I630/I613)*R93</f>
        <v>5034.7436487945006</v>
      </c>
      <c r="J684" s="255">
        <f>(J631/J613)*R94</f>
        <v>0</v>
      </c>
      <c r="K684" s="255">
        <f>(K645/K613)*R90</f>
        <v>145364.7893195728</v>
      </c>
      <c r="L684" s="255">
        <f>(L648/L613)*R95</f>
        <v>154373.73392179297</v>
      </c>
      <c r="M684" s="231">
        <f t="shared" si="18"/>
        <v>273545</v>
      </c>
      <c r="N684" s="249" t="s">
        <v>614</v>
      </c>
    </row>
    <row r="685" spans="1:14" s="231" customFormat="1" ht="12.65" customHeight="1" x14ac:dyDescent="0.3">
      <c r="A685" s="250">
        <v>7050</v>
      </c>
      <c r="B685" s="249" t="s">
        <v>615</v>
      </c>
      <c r="C685" s="255">
        <f>S86</f>
        <v>4792810.1900000004</v>
      </c>
      <c r="D685" s="255">
        <f>(D616/D613)*S91</f>
        <v>58494.415384338441</v>
      </c>
      <c r="E685" s="257">
        <f>(E624/E613)*SUM(C685:D685)</f>
        <v>418242.19923125929</v>
      </c>
      <c r="F685" s="257">
        <f>(F625/F613)*S65</f>
        <v>254683.22933368132</v>
      </c>
      <c r="G685" s="255">
        <f>(G626/G613)*S92</f>
        <v>0</v>
      </c>
      <c r="H685" s="257">
        <f>(H629/H613)*S61</f>
        <v>0</v>
      </c>
      <c r="I685" s="255">
        <f>(I630/I613)*S93</f>
        <v>47993.333122746975</v>
      </c>
      <c r="J685" s="255">
        <f>(J631/J613)*S94</f>
        <v>0</v>
      </c>
      <c r="K685" s="255">
        <f>(K645/K613)*S90</f>
        <v>578952.24741578975</v>
      </c>
      <c r="L685" s="255">
        <f>(L648/L613)*S95</f>
        <v>0</v>
      </c>
      <c r="M685" s="231">
        <f t="shared" si="18"/>
        <v>1358365</v>
      </c>
      <c r="N685" s="249" t="s">
        <v>616</v>
      </c>
    </row>
    <row r="686" spans="1:14" s="231" customFormat="1" ht="12.65" customHeight="1" x14ac:dyDescent="0.3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>
        <f>(I630/I613)*T93</f>
        <v>0</v>
      </c>
      <c r="J686" s="255">
        <f>(J631/J613)*T94</f>
        <v>0</v>
      </c>
      <c r="K686" s="255">
        <f>(K645/K613)*T90</f>
        <v>0</v>
      </c>
      <c r="L686" s="255">
        <f>(L648/L613)*T95</f>
        <v>0</v>
      </c>
      <c r="M686" s="231">
        <f t="shared" si="18"/>
        <v>0</v>
      </c>
      <c r="N686" s="249" t="s">
        <v>618</v>
      </c>
    </row>
    <row r="687" spans="1:14" s="231" customFormat="1" ht="12.65" customHeight="1" x14ac:dyDescent="0.3">
      <c r="A687" s="250">
        <v>7070</v>
      </c>
      <c r="B687" s="249" t="s">
        <v>121</v>
      </c>
      <c r="C687" s="255">
        <f>U86</f>
        <v>6057843.0399999982</v>
      </c>
      <c r="D687" s="255">
        <f>(D616/D613)*U91</f>
        <v>86508.088811871596</v>
      </c>
      <c r="E687" s="257">
        <f>(E624/E613)*SUM(C687:D687)</f>
        <v>529718.73300043086</v>
      </c>
      <c r="F687" s="257">
        <f>(F625/F613)*U65</f>
        <v>111937.51664588446</v>
      </c>
      <c r="G687" s="255">
        <f>(G626/G613)*U92</f>
        <v>0</v>
      </c>
      <c r="H687" s="257">
        <f>(H629/H613)*U61</f>
        <v>78361.982878824885</v>
      </c>
      <c r="I687" s="255">
        <f>(I630/I613)*U93</f>
        <v>70977.912966234362</v>
      </c>
      <c r="J687" s="255">
        <f>(J631/J613)*U94</f>
        <v>1072.8495611281876</v>
      </c>
      <c r="K687" s="255">
        <f>(K645/K613)*U90</f>
        <v>2333436.6118357116</v>
      </c>
      <c r="L687" s="255">
        <f>(L648/L613)*U95</f>
        <v>0</v>
      </c>
      <c r="M687" s="231">
        <f t="shared" si="18"/>
        <v>3212014</v>
      </c>
      <c r="N687" s="249" t="s">
        <v>619</v>
      </c>
    </row>
    <row r="688" spans="1:14" s="231" customFormat="1" ht="12.65" customHeight="1" x14ac:dyDescent="0.3">
      <c r="A688" s="250">
        <v>7110</v>
      </c>
      <c r="B688" s="249" t="s">
        <v>620</v>
      </c>
      <c r="C688" s="255">
        <f>V86</f>
        <v>0</v>
      </c>
      <c r="D688" s="255">
        <f>(D616/D613)*V91</f>
        <v>0</v>
      </c>
      <c r="E688" s="257">
        <f>(E624/E613)*SUM(C688:D688)</f>
        <v>0</v>
      </c>
      <c r="F688" s="257">
        <f>(F625/F613)*V65</f>
        <v>0</v>
      </c>
      <c r="G688" s="255">
        <f>(G626/G613)*V92</f>
        <v>0</v>
      </c>
      <c r="H688" s="257">
        <f>(H629/H613)*V61</f>
        <v>0</v>
      </c>
      <c r="I688" s="255">
        <f>(I630/I613)*V93</f>
        <v>0</v>
      </c>
      <c r="J688" s="255">
        <f>(J631/J613)*V94</f>
        <v>0</v>
      </c>
      <c r="K688" s="255">
        <f>(K645/K613)*V90</f>
        <v>0</v>
      </c>
      <c r="L688" s="255">
        <f>(L648/L613)*V95</f>
        <v>0</v>
      </c>
      <c r="M688" s="231">
        <f t="shared" si="18"/>
        <v>0</v>
      </c>
      <c r="N688" s="249" t="s">
        <v>621</v>
      </c>
    </row>
    <row r="689" spans="1:14" s="231" customFormat="1" ht="12.65" customHeight="1" x14ac:dyDescent="0.3">
      <c r="A689" s="250">
        <v>7120</v>
      </c>
      <c r="B689" s="249" t="s">
        <v>622</v>
      </c>
      <c r="C689" s="255">
        <f>W86</f>
        <v>393870.17</v>
      </c>
      <c r="D689" s="255">
        <f>(D616/D613)*W91</f>
        <v>42091.993688244642</v>
      </c>
      <c r="E689" s="257">
        <f>(E624/E613)*SUM(C689:D689)</f>
        <v>37585.307242966701</v>
      </c>
      <c r="F689" s="257">
        <f>(F625/F613)*W65</f>
        <v>1323.9883364539314</v>
      </c>
      <c r="G689" s="255">
        <f>(G626/G613)*W92</f>
        <v>0</v>
      </c>
      <c r="H689" s="257">
        <f>(H629/H613)*W61</f>
        <v>5801.1857949349833</v>
      </c>
      <c r="I689" s="255">
        <f>(I630/I613)*W93</f>
        <v>34535.520384418924</v>
      </c>
      <c r="J689" s="255">
        <f>(J631/J613)*W94</f>
        <v>0</v>
      </c>
      <c r="K689" s="255">
        <f>(K645/K613)*W90</f>
        <v>519383.79873395915</v>
      </c>
      <c r="L689" s="255">
        <f>(L648/L613)*W95</f>
        <v>0</v>
      </c>
      <c r="M689" s="231">
        <f t="shared" si="18"/>
        <v>640722</v>
      </c>
      <c r="N689" s="249" t="s">
        <v>623</v>
      </c>
    </row>
    <row r="690" spans="1:14" s="231" customFormat="1" ht="12.65" customHeight="1" x14ac:dyDescent="0.3">
      <c r="A690" s="250">
        <v>7130</v>
      </c>
      <c r="B690" s="249" t="s">
        <v>624</v>
      </c>
      <c r="C690" s="255">
        <f>X86</f>
        <v>848893.0199999999</v>
      </c>
      <c r="D690" s="255">
        <f>(D616/D613)*X91</f>
        <v>15589.911738257208</v>
      </c>
      <c r="E690" s="257">
        <f>(E624/E613)*SUM(C690:D690)</f>
        <v>74529.07454353731</v>
      </c>
      <c r="F690" s="257">
        <f>(F625/F613)*X65</f>
        <v>8417.1014274961108</v>
      </c>
      <c r="G690" s="255">
        <f>(G626/G613)*X92</f>
        <v>0</v>
      </c>
      <c r="H690" s="257">
        <f>(H629/H613)*X61</f>
        <v>11091.30944801316</v>
      </c>
      <c r="I690" s="255">
        <f>(I630/I613)*X93</f>
        <v>12791.166857421591</v>
      </c>
      <c r="J690" s="255">
        <f>(J631/J613)*X94</f>
        <v>0</v>
      </c>
      <c r="K690" s="255">
        <f>(K645/K613)*X90</f>
        <v>1871224.9589108364</v>
      </c>
      <c r="L690" s="255">
        <f>(L648/L613)*X95</f>
        <v>0</v>
      </c>
      <c r="M690" s="231">
        <f t="shared" si="18"/>
        <v>1993644</v>
      </c>
      <c r="N690" s="249" t="s">
        <v>625</v>
      </c>
    </row>
    <row r="691" spans="1:14" s="231" customFormat="1" ht="12.65" customHeight="1" x14ac:dyDescent="0.3">
      <c r="A691" s="250">
        <v>7140</v>
      </c>
      <c r="B691" s="249" t="s">
        <v>626</v>
      </c>
      <c r="C691" s="255">
        <f>Y86</f>
        <v>3599502.8100000005</v>
      </c>
      <c r="D691" s="255">
        <f>(D616/D613)*Y91</f>
        <v>137692.86844125699</v>
      </c>
      <c r="E691" s="257">
        <f>(E624/E613)*SUM(C691:D691)</f>
        <v>322192.28983767319</v>
      </c>
      <c r="F691" s="257">
        <f>(F625/F613)*Y65</f>
        <v>3621.2798109777727</v>
      </c>
      <c r="G691" s="255">
        <f>(G626/G613)*Y92</f>
        <v>0</v>
      </c>
      <c r="H691" s="257">
        <f>(H629/H613)*Y61</f>
        <v>66225.909704496633</v>
      </c>
      <c r="I691" s="255">
        <f>(I630/I613)*Y93</f>
        <v>112973.85674012851</v>
      </c>
      <c r="J691" s="255">
        <f>(J631/J613)*Y94</f>
        <v>47754.974654669917</v>
      </c>
      <c r="K691" s="255">
        <f>(K645/K613)*Y90</f>
        <v>1344383.6318921696</v>
      </c>
      <c r="L691" s="255">
        <f>(L648/L613)*Y95</f>
        <v>0</v>
      </c>
      <c r="M691" s="231">
        <f t="shared" si="18"/>
        <v>2034845</v>
      </c>
      <c r="N691" s="249" t="s">
        <v>627</v>
      </c>
    </row>
    <row r="692" spans="1:14" s="231" customFormat="1" ht="12.65" customHeight="1" x14ac:dyDescent="0.3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>
        <f>(I630/I613)*Z93</f>
        <v>0</v>
      </c>
      <c r="J692" s="255">
        <f>(J631/J613)*Z94</f>
        <v>0</v>
      </c>
      <c r="K692" s="255">
        <f>(K645/K613)*Z90</f>
        <v>0</v>
      </c>
      <c r="L692" s="255">
        <f>(L648/L613)*Z95</f>
        <v>0</v>
      </c>
      <c r="M692" s="231">
        <f t="shared" si="18"/>
        <v>0</v>
      </c>
      <c r="N692" s="249" t="s">
        <v>629</v>
      </c>
    </row>
    <row r="693" spans="1:14" s="231" customFormat="1" ht="12.65" customHeight="1" x14ac:dyDescent="0.3">
      <c r="A693" s="250">
        <v>7160</v>
      </c>
      <c r="B693" s="249" t="s">
        <v>630</v>
      </c>
      <c r="C693" s="255">
        <f>AA86</f>
        <v>221992.58</v>
      </c>
      <c r="D693" s="255">
        <f>(D616/D613)*AA91</f>
        <v>13590.932440632581</v>
      </c>
      <c r="E693" s="257">
        <f>(E624/E613)*SUM(C693:D693)</f>
        <v>20310.199907142069</v>
      </c>
      <c r="F693" s="257">
        <f>(F625/F613)*AA65</f>
        <v>2219.1354847099333</v>
      </c>
      <c r="G693" s="255">
        <f>(G626/G613)*AA92</f>
        <v>0</v>
      </c>
      <c r="H693" s="257">
        <f>(H629/H613)*AA61</f>
        <v>2531.6937283407378</v>
      </c>
      <c r="I693" s="255">
        <f>(I630/I613)*AA93</f>
        <v>11151.049955559874</v>
      </c>
      <c r="J693" s="255">
        <f>(J631/J613)*AA94</f>
        <v>0</v>
      </c>
      <c r="K693" s="255">
        <f>(K645/K613)*AA90</f>
        <v>52751.901627285231</v>
      </c>
      <c r="L693" s="255">
        <f>(L648/L613)*AA95</f>
        <v>0</v>
      </c>
      <c r="M693" s="231">
        <f t="shared" si="18"/>
        <v>102555</v>
      </c>
      <c r="N693" s="249" t="s">
        <v>631</v>
      </c>
    </row>
    <row r="694" spans="1:14" s="231" customFormat="1" ht="12.65" customHeight="1" x14ac:dyDescent="0.3">
      <c r="A694" s="250">
        <v>7170</v>
      </c>
      <c r="B694" s="249" t="s">
        <v>127</v>
      </c>
      <c r="C694" s="255">
        <f>AB86</f>
        <v>2045529.9499999997</v>
      </c>
      <c r="D694" s="255">
        <f>(D616/D613)*AB91</f>
        <v>37856.150451922535</v>
      </c>
      <c r="E694" s="257">
        <f>(E624/E613)*SUM(C694:D694)</f>
        <v>179613.53808494093</v>
      </c>
      <c r="F694" s="257">
        <f>(F625/F613)*AB65</f>
        <v>152270.85810469135</v>
      </c>
      <c r="G694" s="255">
        <f>(G626/G613)*AB92</f>
        <v>0</v>
      </c>
      <c r="H694" s="257">
        <f>(H629/H613)*AB61</f>
        <v>38211.032794398569</v>
      </c>
      <c r="I694" s="255">
        <f>(I630/I613)*AB93</f>
        <v>31060.107660643385</v>
      </c>
      <c r="J694" s="255">
        <f>(J631/J613)*AB94</f>
        <v>0</v>
      </c>
      <c r="K694" s="255">
        <f>(K645/K613)*AB90</f>
        <v>752433.82888276642</v>
      </c>
      <c r="L694" s="255">
        <f>(L648/L613)*AB95</f>
        <v>0</v>
      </c>
      <c r="M694" s="231">
        <f t="shared" si="18"/>
        <v>1191446</v>
      </c>
      <c r="N694" s="249" t="s">
        <v>632</v>
      </c>
    </row>
    <row r="695" spans="1:14" s="231" customFormat="1" ht="12.65" customHeight="1" x14ac:dyDescent="0.3">
      <c r="A695" s="250">
        <v>7180</v>
      </c>
      <c r="B695" s="249" t="s">
        <v>633</v>
      </c>
      <c r="C695" s="255">
        <f>AC86</f>
        <v>1292239.31</v>
      </c>
      <c r="D695" s="255">
        <f>(D616/D613)*AC91</f>
        <v>15862.258144386149</v>
      </c>
      <c r="E695" s="257">
        <f>(E624/E613)*SUM(C695:D695)</f>
        <v>112774.46402177079</v>
      </c>
      <c r="F695" s="257">
        <f>(F625/F613)*AC65</f>
        <v>7222.3830120379989</v>
      </c>
      <c r="G695" s="255">
        <f>(G626/G613)*AC92</f>
        <v>0</v>
      </c>
      <c r="H695" s="257">
        <f>(H629/H613)*AC61</f>
        <v>24116.179080133028</v>
      </c>
      <c r="I695" s="255">
        <f>(I630/I613)*AC93</f>
        <v>13014.620869368668</v>
      </c>
      <c r="J695" s="255">
        <f>(J631/J613)*AC94</f>
        <v>0</v>
      </c>
      <c r="K695" s="255">
        <f>(K645/K613)*AC90</f>
        <v>503605.04356742918</v>
      </c>
      <c r="L695" s="255">
        <f>(L648/L613)*AC95</f>
        <v>0</v>
      </c>
      <c r="M695" s="231">
        <f t="shared" si="18"/>
        <v>676595</v>
      </c>
      <c r="N695" s="249" t="s">
        <v>634</v>
      </c>
    </row>
    <row r="696" spans="1:14" s="231" customFormat="1" ht="12.65" customHeight="1" x14ac:dyDescent="0.3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>
        <f>(I630/I613)*AD93</f>
        <v>0</v>
      </c>
      <c r="J696" s="255">
        <f>(J631/J613)*AD94</f>
        <v>0</v>
      </c>
      <c r="K696" s="255">
        <f>(K645/K613)*AD90</f>
        <v>0</v>
      </c>
      <c r="L696" s="255">
        <f>(L648/L613)*AD95</f>
        <v>0</v>
      </c>
      <c r="M696" s="231">
        <f t="shared" si="18"/>
        <v>0</v>
      </c>
      <c r="N696" s="249" t="s">
        <v>635</v>
      </c>
    </row>
    <row r="697" spans="1:14" s="231" customFormat="1" ht="12.65" customHeight="1" x14ac:dyDescent="0.3">
      <c r="A697" s="250">
        <v>7200</v>
      </c>
      <c r="B697" s="249" t="s">
        <v>636</v>
      </c>
      <c r="C697" s="255">
        <f>AE86</f>
        <v>2509130.9500000002</v>
      </c>
      <c r="D697" s="255">
        <f>(D616/D613)*AE91</f>
        <v>76535.247853384353</v>
      </c>
      <c r="E697" s="257">
        <f>(E624/E613)*SUM(C697:D697)</f>
        <v>222916.26789789106</v>
      </c>
      <c r="F697" s="257">
        <f>(F625/F613)*AE65</f>
        <v>2392.2280768178266</v>
      </c>
      <c r="G697" s="255">
        <f>(G626/G613)*AE92</f>
        <v>0</v>
      </c>
      <c r="H697" s="257">
        <f>(H629/H613)*AE61</f>
        <v>55204.977654506925</v>
      </c>
      <c r="I697" s="255">
        <f>(I630/I613)*AE93</f>
        <v>62795.424515738559</v>
      </c>
      <c r="J697" s="255">
        <f>(J631/J613)*AE94</f>
        <v>11249.995316118328</v>
      </c>
      <c r="K697" s="255">
        <f>(K645/K613)*AE90</f>
        <v>410995.17834955949</v>
      </c>
      <c r="L697" s="255">
        <f>(L648/L613)*AE95</f>
        <v>0</v>
      </c>
      <c r="M697" s="231">
        <f t="shared" si="18"/>
        <v>842089</v>
      </c>
      <c r="N697" s="249" t="s">
        <v>637</v>
      </c>
    </row>
    <row r="698" spans="1:14" s="231" customFormat="1" ht="12.65" customHeight="1" x14ac:dyDescent="0.3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>
        <f>(I630/I613)*AF93</f>
        <v>0</v>
      </c>
      <c r="J698" s="255">
        <f>(J631/J613)*AF94</f>
        <v>0</v>
      </c>
      <c r="K698" s="255">
        <f>(K645/K613)*AF90</f>
        <v>0</v>
      </c>
      <c r="L698" s="255">
        <f>(L648/L613)*AF95</f>
        <v>0</v>
      </c>
      <c r="M698" s="231">
        <f t="shared" si="18"/>
        <v>0</v>
      </c>
      <c r="N698" s="249" t="s">
        <v>639</v>
      </c>
    </row>
    <row r="699" spans="1:14" s="231" customFormat="1" ht="12.65" customHeight="1" x14ac:dyDescent="0.3">
      <c r="A699" s="250">
        <v>7230</v>
      </c>
      <c r="B699" s="249" t="s">
        <v>640</v>
      </c>
      <c r="C699" s="255">
        <f>AG86</f>
        <v>9024341.1300000008</v>
      </c>
      <c r="D699" s="255">
        <f>(D616/D613)*AG91</f>
        <v>187925.91258197918</v>
      </c>
      <c r="E699" s="257">
        <f>(E624/E613)*SUM(C699:D699)</f>
        <v>794210.8651596182</v>
      </c>
      <c r="F699" s="257">
        <f>(F625/F613)*AG65</f>
        <v>19106.161039150702</v>
      </c>
      <c r="G699" s="255">
        <f>(G626/G613)*AG92</f>
        <v>70641.688049106728</v>
      </c>
      <c r="H699" s="257">
        <f>(H629/H613)*AG61</f>
        <v>86155.088884204859</v>
      </c>
      <c r="I699" s="255">
        <f>(I630/I613)*AG93</f>
        <v>154188.92326186053</v>
      </c>
      <c r="J699" s="255">
        <f>(J631/J613)*AG94</f>
        <v>106831.93616720327</v>
      </c>
      <c r="K699" s="255">
        <f>(K645/K613)*AG90</f>
        <v>3034243.671991739</v>
      </c>
      <c r="L699" s="255">
        <f>(L648/L613)*AG95</f>
        <v>1202724.0532385097</v>
      </c>
      <c r="M699" s="231">
        <f t="shared" si="18"/>
        <v>5656028</v>
      </c>
      <c r="N699" s="249" t="s">
        <v>641</v>
      </c>
    </row>
    <row r="700" spans="1:14" s="231" customFormat="1" ht="12.65" customHeight="1" x14ac:dyDescent="0.3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>
        <f>(I630/I613)*AH93</f>
        <v>0</v>
      </c>
      <c r="J700" s="255">
        <f>(J631/J613)*AH94</f>
        <v>0</v>
      </c>
      <c r="K700" s="255">
        <f>(K645/K613)*AH90</f>
        <v>0</v>
      </c>
      <c r="L700" s="255">
        <f>(L648/L613)*AH95</f>
        <v>0</v>
      </c>
      <c r="M700" s="231">
        <f t="shared" si="18"/>
        <v>0</v>
      </c>
      <c r="N700" s="249" t="s">
        <v>642</v>
      </c>
    </row>
    <row r="701" spans="1:14" s="231" customFormat="1" ht="12.65" customHeight="1" x14ac:dyDescent="0.3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>
        <f>(G626/G613)*AI92</f>
        <v>0</v>
      </c>
      <c r="H701" s="257">
        <f>(H629/H613)*AI61</f>
        <v>0</v>
      </c>
      <c r="I701" s="255">
        <f>(I630/I613)*AI93</f>
        <v>0</v>
      </c>
      <c r="J701" s="255">
        <f>(J631/J613)*AI94</f>
        <v>0</v>
      </c>
      <c r="K701" s="255">
        <f>(K645/K613)*AI90</f>
        <v>0</v>
      </c>
      <c r="L701" s="255">
        <f>(L648/L613)*AI95</f>
        <v>0</v>
      </c>
      <c r="M701" s="231">
        <f t="shared" si="18"/>
        <v>0</v>
      </c>
      <c r="N701" s="249" t="s">
        <v>644</v>
      </c>
    </row>
    <row r="702" spans="1:14" s="231" customFormat="1" ht="12.65" customHeight="1" x14ac:dyDescent="0.3">
      <c r="A702" s="250">
        <v>7260</v>
      </c>
      <c r="B702" s="249" t="s">
        <v>133</v>
      </c>
      <c r="C702" s="255">
        <f>AJ86</f>
        <v>0</v>
      </c>
      <c r="D702" s="255">
        <f>(D616/D613)*AJ91</f>
        <v>0</v>
      </c>
      <c r="E702" s="257">
        <f>(E624/E613)*SUM(C702:D702)</f>
        <v>0</v>
      </c>
      <c r="F702" s="257">
        <f>(F625/F613)*AJ65</f>
        <v>0</v>
      </c>
      <c r="G702" s="255">
        <f>(G626/G613)*AJ92</f>
        <v>0</v>
      </c>
      <c r="H702" s="257">
        <f>(H629/H613)*AJ61</f>
        <v>0</v>
      </c>
      <c r="I702" s="255">
        <f>(I630/I613)*AJ93</f>
        <v>0</v>
      </c>
      <c r="J702" s="255">
        <f>(J631/J613)*AJ94</f>
        <v>0</v>
      </c>
      <c r="K702" s="255">
        <f>(K645/K613)*AJ90</f>
        <v>0</v>
      </c>
      <c r="L702" s="255">
        <f>(L648/L613)*AJ95</f>
        <v>0</v>
      </c>
      <c r="M702" s="231">
        <f t="shared" si="18"/>
        <v>0</v>
      </c>
      <c r="N702" s="249" t="s">
        <v>645</v>
      </c>
    </row>
    <row r="703" spans="1:14" s="231" customFormat="1" ht="12.65" customHeight="1" x14ac:dyDescent="0.3">
      <c r="A703" s="250">
        <v>7310</v>
      </c>
      <c r="B703" s="249" t="s">
        <v>646</v>
      </c>
      <c r="C703" s="255">
        <f>AK86</f>
        <v>0</v>
      </c>
      <c r="D703" s="255">
        <f>(D616/D613)*AK91</f>
        <v>0</v>
      </c>
      <c r="E703" s="257">
        <f>(E624/E613)*SUM(C703:D703)</f>
        <v>0</v>
      </c>
      <c r="F703" s="257">
        <f>(F625/F613)*AK65</f>
        <v>0</v>
      </c>
      <c r="G703" s="255">
        <f>(G626/G613)*AK92</f>
        <v>0</v>
      </c>
      <c r="H703" s="257">
        <f>(H629/H613)*AK61</f>
        <v>0</v>
      </c>
      <c r="I703" s="255">
        <f>(I630/I613)*AK93</f>
        <v>0</v>
      </c>
      <c r="J703" s="255">
        <f>(J631/J613)*AK94</f>
        <v>0</v>
      </c>
      <c r="K703" s="255">
        <f>(K645/K613)*AK90</f>
        <v>0</v>
      </c>
      <c r="L703" s="255">
        <f>(L648/L613)*AK95</f>
        <v>0</v>
      </c>
      <c r="M703" s="231">
        <f t="shared" si="18"/>
        <v>0</v>
      </c>
      <c r="N703" s="249" t="s">
        <v>647</v>
      </c>
    </row>
    <row r="704" spans="1:14" s="231" customFormat="1" ht="12.65" customHeight="1" x14ac:dyDescent="0.3">
      <c r="A704" s="250">
        <v>7320</v>
      </c>
      <c r="B704" s="249" t="s">
        <v>648</v>
      </c>
      <c r="C704" s="255">
        <f>AL86</f>
        <v>0</v>
      </c>
      <c r="D704" s="255">
        <f>(D616/D613)*AL91</f>
        <v>0</v>
      </c>
      <c r="E704" s="257">
        <f>(E624/E613)*SUM(C704:D704)</f>
        <v>0</v>
      </c>
      <c r="F704" s="257">
        <f>(F625/F613)*AL65</f>
        <v>0</v>
      </c>
      <c r="G704" s="255">
        <f>(G626/G613)*AL92</f>
        <v>0</v>
      </c>
      <c r="H704" s="257">
        <f>(H629/H613)*AL61</f>
        <v>0</v>
      </c>
      <c r="I704" s="255">
        <f>(I630/I613)*AL93</f>
        <v>0</v>
      </c>
      <c r="J704" s="255">
        <f>(J631/J613)*AL94</f>
        <v>0</v>
      </c>
      <c r="K704" s="255">
        <f>(K645/K613)*AL90</f>
        <v>0</v>
      </c>
      <c r="L704" s="255">
        <f>(L648/L613)*AL95</f>
        <v>0</v>
      </c>
      <c r="M704" s="231">
        <f t="shared" si="18"/>
        <v>0</v>
      </c>
      <c r="N704" s="249" t="s">
        <v>649</v>
      </c>
    </row>
    <row r="705" spans="1:14" s="231" customFormat="1" ht="12.65" customHeight="1" x14ac:dyDescent="0.3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>
        <f>(G626/G613)*AM92</f>
        <v>0</v>
      </c>
      <c r="H705" s="257">
        <f>(H629/H613)*AM61</f>
        <v>0</v>
      </c>
      <c r="I705" s="255">
        <f>(I630/I613)*AM93</f>
        <v>0</v>
      </c>
      <c r="J705" s="255">
        <f>(J631/J613)*AM94</f>
        <v>0</v>
      </c>
      <c r="K705" s="255">
        <f>(K645/K613)*AM90</f>
        <v>0</v>
      </c>
      <c r="L705" s="255">
        <f>(L648/L613)*AM95</f>
        <v>0</v>
      </c>
      <c r="M705" s="231">
        <f t="shared" si="18"/>
        <v>0</v>
      </c>
      <c r="N705" s="249" t="s">
        <v>651</v>
      </c>
    </row>
    <row r="706" spans="1:14" s="231" customFormat="1" ht="12.65" customHeight="1" x14ac:dyDescent="0.3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>
        <f>(I630/I613)*AN93</f>
        <v>0</v>
      </c>
      <c r="J706" s="255">
        <f>(J631/J613)*AN94</f>
        <v>0</v>
      </c>
      <c r="K706" s="255">
        <f>(K645/K613)*AN90</f>
        <v>0</v>
      </c>
      <c r="L706" s="255">
        <f>(L648/L613)*AN95</f>
        <v>0</v>
      </c>
      <c r="M706" s="231">
        <f t="shared" si="18"/>
        <v>0</v>
      </c>
      <c r="N706" s="249" t="s">
        <v>653</v>
      </c>
    </row>
    <row r="707" spans="1:14" s="231" customFormat="1" ht="12.65" customHeight="1" x14ac:dyDescent="0.3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>
        <f>(G626/G613)*AO92</f>
        <v>0</v>
      </c>
      <c r="H707" s="257">
        <f>(H629/H613)*AO61</f>
        <v>0</v>
      </c>
      <c r="I707" s="255">
        <f>(I630/I613)*AO93</f>
        <v>0</v>
      </c>
      <c r="J707" s="255">
        <f>(J631/J613)*AO94</f>
        <v>0</v>
      </c>
      <c r="K707" s="255">
        <f>(K645/K613)*AO90</f>
        <v>0</v>
      </c>
      <c r="L707" s="255">
        <f>(L648/L613)*AO95</f>
        <v>0</v>
      </c>
      <c r="M707" s="231">
        <f t="shared" si="18"/>
        <v>0</v>
      </c>
      <c r="N707" s="249" t="s">
        <v>655</v>
      </c>
    </row>
    <row r="708" spans="1:14" s="231" customFormat="1" ht="12.65" customHeight="1" x14ac:dyDescent="0.3">
      <c r="A708" s="250">
        <v>7380</v>
      </c>
      <c r="B708" s="249" t="s">
        <v>656</v>
      </c>
      <c r="C708" s="255">
        <f>AP86</f>
        <v>27980277.130000003</v>
      </c>
      <c r="D708" s="255">
        <f>(D616/D613)*AP91</f>
        <v>1540836.5190698039</v>
      </c>
      <c r="E708" s="257">
        <f>(E624/E613)*SUM(C708:D708)</f>
        <v>2545083.539516218</v>
      </c>
      <c r="F708" s="257">
        <f>(F625/F613)*AP65</f>
        <v>61957.986679213049</v>
      </c>
      <c r="G708" s="255">
        <f>(G626/G613)*AP92</f>
        <v>0</v>
      </c>
      <c r="H708" s="257">
        <f>(H629/H613)*AP61</f>
        <v>429271.46670118271</v>
      </c>
      <c r="I708" s="255">
        <f>(I630/I613)*AP93</f>
        <v>1264221.2057599374</v>
      </c>
      <c r="J708" s="255">
        <f>(J631/J613)*AP94</f>
        <v>0</v>
      </c>
      <c r="K708" s="255">
        <f>(K645/K613)*AP90</f>
        <v>2135204.3409144911</v>
      </c>
      <c r="L708" s="255">
        <f>(L648/L613)*AP95</f>
        <v>0</v>
      </c>
      <c r="M708" s="231">
        <f t="shared" si="18"/>
        <v>7976575</v>
      </c>
      <c r="N708" s="249" t="s">
        <v>657</v>
      </c>
    </row>
    <row r="709" spans="1:14" s="231" customFormat="1" ht="12.65" customHeight="1" x14ac:dyDescent="0.3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>
        <f>(I630/I613)*AQ93</f>
        <v>0</v>
      </c>
      <c r="J709" s="255">
        <f>(J631/J613)*AQ94</f>
        <v>0</v>
      </c>
      <c r="K709" s="255">
        <f>(K645/K613)*AQ90</f>
        <v>0</v>
      </c>
      <c r="L709" s="255">
        <f>(L648/L613)*AQ95</f>
        <v>0</v>
      </c>
      <c r="M709" s="231">
        <f t="shared" si="18"/>
        <v>0</v>
      </c>
      <c r="N709" s="249" t="s">
        <v>659</v>
      </c>
    </row>
    <row r="710" spans="1:14" s="231" customFormat="1" ht="12.65" customHeight="1" x14ac:dyDescent="0.3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>
        <f>(I630/I613)*AR93</f>
        <v>0</v>
      </c>
      <c r="J710" s="255">
        <f>(J631/J613)*AR94</f>
        <v>0</v>
      </c>
      <c r="K710" s="255">
        <f>(K645/K613)*AR90</f>
        <v>0</v>
      </c>
      <c r="L710" s="255">
        <f>(L648/L613)*AR95</f>
        <v>0</v>
      </c>
      <c r="M710" s="231">
        <f t="shared" si="18"/>
        <v>0</v>
      </c>
      <c r="N710" s="249" t="s">
        <v>661</v>
      </c>
    </row>
    <row r="711" spans="1:14" s="231" customFormat="1" ht="12.65" customHeight="1" x14ac:dyDescent="0.3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>
        <f>(I630/I613)*AS93</f>
        <v>0</v>
      </c>
      <c r="J711" s="255">
        <f>(J631/J613)*AS94</f>
        <v>0</v>
      </c>
      <c r="K711" s="255">
        <f>(K645/K613)*AS90</f>
        <v>0</v>
      </c>
      <c r="L711" s="255">
        <f>(L648/L613)*AS95</f>
        <v>0</v>
      </c>
      <c r="M711" s="231">
        <f t="shared" si="18"/>
        <v>0</v>
      </c>
      <c r="N711" s="249" t="s">
        <v>662</v>
      </c>
    </row>
    <row r="712" spans="1:14" s="231" customFormat="1" ht="12.65" customHeight="1" x14ac:dyDescent="0.3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>
        <f>(I630/I613)*AT93</f>
        <v>0</v>
      </c>
      <c r="J712" s="255">
        <f>(J631/J613)*AT94</f>
        <v>0</v>
      </c>
      <c r="K712" s="255">
        <f>(K645/K613)*AT90</f>
        <v>0</v>
      </c>
      <c r="L712" s="255">
        <f>(L648/L613)*AT95</f>
        <v>0</v>
      </c>
      <c r="M712" s="231">
        <f t="shared" si="18"/>
        <v>0</v>
      </c>
      <c r="N712" s="249" t="s">
        <v>664</v>
      </c>
    </row>
    <row r="713" spans="1:14" s="231" customFormat="1" ht="12.65" customHeight="1" x14ac:dyDescent="0.3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>
        <f>(I630/I613)*AU93</f>
        <v>0</v>
      </c>
      <c r="J713" s="255">
        <f>(J631/J613)*AU94</f>
        <v>0</v>
      </c>
      <c r="K713" s="255">
        <f>(K645/K613)*AU90</f>
        <v>0</v>
      </c>
      <c r="L713" s="255">
        <f>(L648/L613)*AU95</f>
        <v>0</v>
      </c>
      <c r="M713" s="231">
        <f t="shared" si="18"/>
        <v>0</v>
      </c>
      <c r="N713" s="249" t="s">
        <v>666</v>
      </c>
    </row>
    <row r="714" spans="1:14" s="231" customFormat="1" ht="12.65" customHeight="1" x14ac:dyDescent="0.3">
      <c r="A714" s="250">
        <v>7490</v>
      </c>
      <c r="B714" s="249" t="s">
        <v>667</v>
      </c>
      <c r="C714" s="255">
        <f>AV86</f>
        <v>401403.51999999996</v>
      </c>
      <c r="D714" s="255">
        <f>(D616/D613)*AV91</f>
        <v>5276.3916166441022</v>
      </c>
      <c r="E714" s="257">
        <f>(E624/E613)*SUM(C714:D714)</f>
        <v>35060.8165129314</v>
      </c>
      <c r="F714" s="257">
        <f>(F625/F613)*AV65</f>
        <v>673.5728129296001</v>
      </c>
      <c r="G714" s="255">
        <f>(G626/G613)*AV92</f>
        <v>0</v>
      </c>
      <c r="H714" s="257">
        <f>(H629/H613)*AV61</f>
        <v>8614.02301956064</v>
      </c>
      <c r="I714" s="255">
        <f>(I630/I613)*AV93</f>
        <v>4329.1589270498334</v>
      </c>
      <c r="J714" s="255">
        <f>(J631/J613)*AV94</f>
        <v>0</v>
      </c>
      <c r="K714" s="255">
        <f>(K645/K613)*AV90</f>
        <v>38115.897379126924</v>
      </c>
      <c r="L714" s="255">
        <f>(L648/L613)*AV95</f>
        <v>0</v>
      </c>
      <c r="M714" s="231">
        <f t="shared" si="18"/>
        <v>92070</v>
      </c>
      <c r="N714" s="251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2">
        <f>SUM(C615:C648)+SUM(C669:C714)</f>
        <v>116324244.31000003</v>
      </c>
      <c r="D716" s="231">
        <f>SUM(D617:D648)+SUM(D669:D714)</f>
        <v>4200837.959999999</v>
      </c>
      <c r="E716" s="231">
        <f>SUM(E625:E648)+SUM(E669:E714)</f>
        <v>9232617.067090977</v>
      </c>
      <c r="F716" s="231">
        <f>SUM(F626:F649)+SUM(F669:F714)</f>
        <v>796645.02700406755</v>
      </c>
      <c r="G716" s="231">
        <f>SUM(G627:G648)+SUM(G669:G714)</f>
        <v>2089343.2648687398</v>
      </c>
      <c r="H716" s="231">
        <f>SUM(H630:H648)+SUM(H669:H714)</f>
        <v>1452635.6207515742</v>
      </c>
      <c r="I716" s="231">
        <f>SUM(I631:I648)+SUM(I669:I714)</f>
        <v>2774402.2656116672</v>
      </c>
      <c r="J716" s="231">
        <f>SUM(J632:J648)+SUM(J669:J714)</f>
        <v>465253.24003838387</v>
      </c>
      <c r="K716" s="231">
        <f>SUM(K669:K714)</f>
        <v>18416950.848665141</v>
      </c>
      <c r="L716" s="231">
        <f>SUM(L669:L714)</f>
        <v>5186673.8811151963</v>
      </c>
      <c r="M716" s="231">
        <f>SUM(M669:M714)</f>
        <v>40302921</v>
      </c>
      <c r="N716" s="249" t="s">
        <v>669</v>
      </c>
    </row>
    <row r="717" spans="1:14" s="231" customFormat="1" ht="12.65" customHeight="1" x14ac:dyDescent="0.3">
      <c r="C717" s="252">
        <f>CE86</f>
        <v>116324244.31</v>
      </c>
      <c r="D717" s="231">
        <f>D616</f>
        <v>4200837.96</v>
      </c>
      <c r="E717" s="231">
        <f>E624</f>
        <v>9232617.067090977</v>
      </c>
      <c r="F717" s="231">
        <f>F625</f>
        <v>796645.02700406755</v>
      </c>
      <c r="G717" s="231">
        <f>G626</f>
        <v>2089343.2648687398</v>
      </c>
      <c r="H717" s="231">
        <f>H629</f>
        <v>1452635.6207515739</v>
      </c>
      <c r="I717" s="231">
        <f>I630</f>
        <v>2774402.2656116672</v>
      </c>
      <c r="J717" s="231">
        <f>J631</f>
        <v>465253.24003838381</v>
      </c>
      <c r="K717" s="231">
        <f>K645</f>
        <v>18416950.848665137</v>
      </c>
      <c r="L717" s="231">
        <f>L648</f>
        <v>5186673.8811151963</v>
      </c>
      <c r="M717" s="231">
        <f>C649</f>
        <v>40302918.910000004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152</v>
      </c>
      <c r="C2" s="12" t="str">
        <f>SUBSTITUTE(LEFT(data!C98,49),",","")</f>
        <v>Public Hospital District No 1 of Mason County WA</v>
      </c>
      <c r="D2" s="12" t="str">
        <f>LEFT(data!C99,49)</f>
        <v>901 Mountain View Drive</v>
      </c>
      <c r="E2" s="12" t="str">
        <f>RIGHT(data!C100,100)</f>
        <v>Shelton</v>
      </c>
      <c r="F2" s="12" t="str">
        <f>RIGHT(data!C101,100)</f>
        <v>WA</v>
      </c>
      <c r="G2" s="12" t="str">
        <f>RIGHT(data!C102,100)</f>
        <v>98584</v>
      </c>
      <c r="H2" s="12" t="str">
        <f>RIGHT(data!C103,100)</f>
        <v>Mason</v>
      </c>
      <c r="I2" s="12" t="str">
        <f>LEFT(data!C104,49)</f>
        <v>Eric Moll</v>
      </c>
      <c r="J2" s="12" t="str">
        <f>LEFT(data!C105,49)</f>
        <v>Steve Leslie</v>
      </c>
      <c r="K2" s="12" t="str">
        <f>LEFT(data!C107,49)</f>
        <v>3604327721</v>
      </c>
      <c r="L2" s="12" t="str">
        <f>LEFT(data!C107,49)</f>
        <v>3604327721</v>
      </c>
      <c r="M2" s="12" t="str">
        <f>LEFT(data!C109,49)</f>
        <v>Kristi Bratton</v>
      </c>
      <c r="N2" s="12" t="str">
        <f>LEFT(data!C110,49)</f>
        <v>kbratton@masongeneral.com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152</v>
      </c>
      <c r="B2" s="224" t="str">
        <f>RIGHT(data!C96,4)</f>
        <v>2022</v>
      </c>
      <c r="C2" s="16" t="s">
        <v>1123</v>
      </c>
      <c r="D2" s="223">
        <f>ROUND(data!C181,0)</f>
        <v>3867142</v>
      </c>
      <c r="E2" s="223">
        <f>ROUND(data!C182,0)</f>
        <v>134198</v>
      </c>
      <c r="F2" s="223">
        <f>ROUND(data!C183,0)</f>
        <v>121260</v>
      </c>
      <c r="G2" s="223">
        <f>ROUND(data!C184,0)</f>
        <v>11688536</v>
      </c>
      <c r="H2" s="223">
        <f>ROUND(data!C185,0)</f>
        <v>31032</v>
      </c>
      <c r="I2" s="223">
        <f>ROUND(data!C186,0)</f>
        <v>3049813</v>
      </c>
      <c r="J2" s="223">
        <f>ROUND(data!C187+data!C188,0)</f>
        <v>194155</v>
      </c>
      <c r="K2" s="223">
        <f>ROUND(data!C191,0)</f>
        <v>16898</v>
      </c>
      <c r="L2" s="223">
        <f>ROUND(data!C192,0)</f>
        <v>343960</v>
      </c>
      <c r="M2" s="223">
        <f>ROUND(data!C195,0)</f>
        <v>554851</v>
      </c>
      <c r="N2" s="223">
        <f>ROUND(data!C196,0)</f>
        <v>501261</v>
      </c>
      <c r="O2" s="223">
        <f>ROUND(data!C199,0)</f>
        <v>0</v>
      </c>
      <c r="P2" s="223">
        <f>ROUND(data!C200,0)</f>
        <v>775761</v>
      </c>
      <c r="Q2" s="223">
        <f>ROUND(data!C201,0)</f>
        <v>0</v>
      </c>
      <c r="R2" s="223">
        <f>ROUND(data!C204,0)</f>
        <v>0</v>
      </c>
      <c r="S2" s="223">
        <f>ROUND(data!C205,0)</f>
        <v>2138666</v>
      </c>
      <c r="T2" s="223">
        <f>ROUND(data!B211,0)</f>
        <v>2015497</v>
      </c>
      <c r="U2" s="223">
        <f>ROUND(data!C211,0)</f>
        <v>0</v>
      </c>
      <c r="V2" s="223">
        <f>ROUND(data!D211,0)</f>
        <v>0</v>
      </c>
      <c r="W2" s="223">
        <f>ROUND(data!B212,0)</f>
        <v>11042985</v>
      </c>
      <c r="X2" s="223">
        <f>ROUND(data!C212,0)</f>
        <v>68261</v>
      </c>
      <c r="Y2" s="223">
        <f>ROUND(data!D212,0)</f>
        <v>0</v>
      </c>
      <c r="Z2" s="223">
        <f>ROUND(data!B213,0)</f>
        <v>57364279</v>
      </c>
      <c r="AA2" s="223">
        <f>ROUND(data!C213,0)</f>
        <v>2579159</v>
      </c>
      <c r="AB2" s="223">
        <f>ROUND(data!D213,0)</f>
        <v>0</v>
      </c>
      <c r="AC2" s="223">
        <f>ROUND(data!B214,0)</f>
        <v>32599988</v>
      </c>
      <c r="AD2" s="223">
        <f>ROUND(data!C214,0)</f>
        <v>811019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39947733</v>
      </c>
      <c r="AJ2" s="223">
        <f>ROUND(data!C216,0)</f>
        <v>3340045</v>
      </c>
      <c r="AK2" s="223">
        <f>ROUND(data!D216,0)</f>
        <v>59782</v>
      </c>
      <c r="AL2" s="223">
        <f>ROUND(data!B217,0)</f>
        <v>0</v>
      </c>
      <c r="AM2" s="223">
        <f>ROUND(data!C217,0)</f>
        <v>640218</v>
      </c>
      <c r="AN2" s="223">
        <f>ROUND(data!D217,0)</f>
        <v>0</v>
      </c>
      <c r="AO2" s="223">
        <f>ROUND(data!B218,0)</f>
        <v>1163193</v>
      </c>
      <c r="AP2" s="223">
        <f>ROUND(data!C218,0)</f>
        <v>10859</v>
      </c>
      <c r="AQ2" s="223">
        <f>ROUND(data!D218,0)</f>
        <v>0</v>
      </c>
      <c r="AR2" s="223">
        <f>ROUND(data!B219,0)</f>
        <v>2907121</v>
      </c>
      <c r="AS2" s="223">
        <f>ROUND(data!C219,0)</f>
        <v>4263490</v>
      </c>
      <c r="AT2" s="223">
        <f>ROUND(data!D219,0)</f>
        <v>4296555</v>
      </c>
      <c r="AU2" s="223">
        <v>0</v>
      </c>
      <c r="AV2" s="223">
        <v>0</v>
      </c>
      <c r="AW2" s="223">
        <v>0</v>
      </c>
      <c r="AX2" s="223">
        <f>ROUND(data!B225,0)</f>
        <v>3487603</v>
      </c>
      <c r="AY2" s="223">
        <f>ROUND(data!C225,0)</f>
        <v>743405</v>
      </c>
      <c r="AZ2" s="223">
        <f>ROUND(data!D225,0)</f>
        <v>0</v>
      </c>
      <c r="BA2" s="223">
        <f>ROUND(data!B226,0)</f>
        <v>23783269</v>
      </c>
      <c r="BB2" s="223">
        <f>ROUND(data!C226,0)</f>
        <v>3210097</v>
      </c>
      <c r="BC2" s="223">
        <f>ROUND(data!D226,0)</f>
        <v>0</v>
      </c>
      <c r="BD2" s="223">
        <f>ROUND(data!B227,0)</f>
        <v>14113869</v>
      </c>
      <c r="BE2" s="223">
        <f>ROUND(data!C227,0)</f>
        <v>1781449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31788985</v>
      </c>
      <c r="BK2" s="223">
        <f>ROUND(data!C229,0)</f>
        <v>2460095</v>
      </c>
      <c r="BL2" s="223">
        <f>ROUND(data!D229,0)</f>
        <v>59782</v>
      </c>
      <c r="BM2" s="223">
        <f>ROUND(data!B230,0)</f>
        <v>0</v>
      </c>
      <c r="BN2" s="223">
        <f>ROUND(data!C230,0)</f>
        <v>213406</v>
      </c>
      <c r="BO2" s="223">
        <f>ROUND(data!D230,0)</f>
        <v>0</v>
      </c>
      <c r="BP2" s="223">
        <f>ROUND(data!B231,0)</f>
        <v>646334</v>
      </c>
      <c r="BQ2" s="223">
        <f>ROUND(data!C231,0)</f>
        <v>173955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81114867</v>
      </c>
      <c r="BW2" s="223">
        <f>ROUND(data!C240,0)</f>
        <v>53327534</v>
      </c>
      <c r="BX2" s="223">
        <f>ROUND(data!C241,0)</f>
        <v>8595382</v>
      </c>
      <c r="BY2" s="223">
        <f>ROUND(data!C242,0)</f>
        <v>0</v>
      </c>
      <c r="BZ2" s="223">
        <f>ROUND(data!C243,0)</f>
        <v>24153319</v>
      </c>
      <c r="CA2" s="223">
        <f>ROUND(data!C244,0)</f>
        <v>0</v>
      </c>
      <c r="CB2" s="223">
        <f>ROUND(data!C247,0)</f>
        <v>1607</v>
      </c>
      <c r="CC2" s="223">
        <f>ROUND(data!C249,0)</f>
        <v>383989</v>
      </c>
      <c r="CD2" s="223">
        <f>ROUND(data!C250,0)</f>
        <v>3640128</v>
      </c>
      <c r="CE2" s="223">
        <f>ROUND(data!C254+data!C255,0)</f>
        <v>4295282</v>
      </c>
      <c r="CF2" s="223">
        <f>data!D237</f>
        <v>2833307.6500000004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152</v>
      </c>
      <c r="B2" s="16" t="str">
        <f>RIGHT(data!C96,4)</f>
        <v>2022</v>
      </c>
      <c r="C2" s="16" t="s">
        <v>1123</v>
      </c>
      <c r="D2" s="222">
        <f>ROUND(data!C127,0)</f>
        <v>1484</v>
      </c>
      <c r="E2" s="222">
        <f>ROUND(data!C128,0)</f>
        <v>0</v>
      </c>
      <c r="F2" s="222">
        <f>ROUND(data!C129,0)</f>
        <v>0</v>
      </c>
      <c r="G2" s="222">
        <f>ROUND(data!C130,0)</f>
        <v>357</v>
      </c>
      <c r="H2" s="222">
        <f>ROUND(data!D127,0)</f>
        <v>5068</v>
      </c>
      <c r="I2" s="222">
        <f>ROUND(data!D128,0)</f>
        <v>0</v>
      </c>
      <c r="J2" s="222">
        <f>ROUND(data!D129,0)</f>
        <v>0</v>
      </c>
      <c r="K2" s="222">
        <f>ROUND(data!D130,0)</f>
        <v>624</v>
      </c>
      <c r="L2" s="222">
        <f>ROUND(data!C132,0)</f>
        <v>7</v>
      </c>
      <c r="M2" s="222">
        <f>ROUND(data!C133,0)</f>
        <v>0</v>
      </c>
      <c r="N2" s="222">
        <f>ROUND(data!C134,0)</f>
        <v>16</v>
      </c>
      <c r="O2" s="222">
        <f>ROUND(data!C135,0)</f>
        <v>0</v>
      </c>
      <c r="P2" s="222">
        <f>ROUND(data!C136,0)</f>
        <v>2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68</v>
      </c>
      <c r="X2" s="222">
        <f>ROUND(data!C145,0)</f>
        <v>6</v>
      </c>
      <c r="Y2" s="222">
        <f>ROUND(data!B154,0)</f>
        <v>784</v>
      </c>
      <c r="Z2" s="222">
        <f>ROUND(data!B155,0)</f>
        <v>3152</v>
      </c>
      <c r="AA2" s="222">
        <f>ROUND(data!B156,0)</f>
        <v>76143</v>
      </c>
      <c r="AB2" s="222">
        <f>ROUND(data!B157,0)</f>
        <v>34844693</v>
      </c>
      <c r="AC2" s="222">
        <f>ROUND(data!B158,0)</f>
        <v>104157939</v>
      </c>
      <c r="AD2" s="222">
        <f>ROUND(data!C154,0)</f>
        <v>410</v>
      </c>
      <c r="AE2" s="222">
        <f>ROUND(data!C155,0)</f>
        <v>1090</v>
      </c>
      <c r="AF2" s="222">
        <f>ROUND(data!C156,0)</f>
        <v>57589</v>
      </c>
      <c r="AG2" s="222">
        <f>ROUND(data!C157,0)</f>
        <v>18935668</v>
      </c>
      <c r="AH2" s="222">
        <f>ROUND(data!C158,0)</f>
        <v>69211551</v>
      </c>
      <c r="AI2" s="222">
        <f>ROUND(data!D154,0)</f>
        <v>290</v>
      </c>
      <c r="AJ2" s="222">
        <f>ROUND(data!D155,0)</f>
        <v>826</v>
      </c>
      <c r="AK2" s="222">
        <f>ROUND(data!D156,0)</f>
        <v>58964</v>
      </c>
      <c r="AL2" s="222">
        <f>ROUND(data!D157,0)</f>
        <v>14477055</v>
      </c>
      <c r="AM2" s="222">
        <f>ROUND(data!D158,0)</f>
        <v>63877009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7128462</v>
      </c>
      <c r="BS2" s="222">
        <f>ROUND(data!C173,0)</f>
        <v>2775753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152</v>
      </c>
      <c r="B2" s="224" t="str">
        <f>RIGHT(data!C96,4)</f>
        <v>2022</v>
      </c>
      <c r="C2" s="16" t="s">
        <v>1123</v>
      </c>
      <c r="D2" s="222">
        <f>ROUND(data!C266,0)</f>
        <v>90225190</v>
      </c>
      <c r="E2" s="222">
        <f>ROUND(data!C267,0)</f>
        <v>0</v>
      </c>
      <c r="F2" s="222">
        <f>ROUND(data!C268,0)</f>
        <v>41267609</v>
      </c>
      <c r="G2" s="222">
        <f>ROUND(data!C269,0)</f>
        <v>24794509</v>
      </c>
      <c r="H2" s="222" t="e">
        <f>ROUND(data!C270,0)</f>
        <v>#VALUE!</v>
      </c>
      <c r="I2" s="222">
        <f>ROUND(data!C271,0)</f>
        <v>614364</v>
      </c>
      <c r="J2" s="222">
        <f>ROUND(data!C272,0)</f>
        <v>0</v>
      </c>
      <c r="K2" s="222">
        <f>ROUND(data!C273,0)</f>
        <v>2013740</v>
      </c>
      <c r="L2" s="222">
        <f>ROUND(data!C274,0)</f>
        <v>1853653</v>
      </c>
      <c r="M2" s="222">
        <f>ROUND(data!C275,0)</f>
        <v>0</v>
      </c>
      <c r="N2" s="222">
        <f>ROUND(data!C278,0)</f>
        <v>1262906</v>
      </c>
      <c r="O2" s="222">
        <f>ROUND(data!C279,0)</f>
        <v>0</v>
      </c>
      <c r="P2" s="222">
        <f>ROUND(data!C280,0)</f>
        <v>0</v>
      </c>
      <c r="Q2" s="222">
        <f>ROUND(data!C283,0)</f>
        <v>2015497</v>
      </c>
      <c r="R2" s="222">
        <f>ROUND(data!C284,0)</f>
        <v>11111246</v>
      </c>
      <c r="S2" s="222">
        <f>ROUND(data!C285,0)</f>
        <v>58200709</v>
      </c>
      <c r="T2" s="222">
        <f>ROUND(data!C286,0)</f>
        <v>33411008</v>
      </c>
      <c r="U2" s="222">
        <f>ROUND(data!C287,0)</f>
        <v>0</v>
      </c>
      <c r="V2" s="222">
        <f>ROUND(data!C288,0)</f>
        <v>45610944</v>
      </c>
      <c r="W2" s="222">
        <f>ROUND(data!C289,0)</f>
        <v>1174052</v>
      </c>
      <c r="X2" s="222">
        <f>ROUND(data!C290,0)</f>
        <v>2874056</v>
      </c>
      <c r="Y2" s="222">
        <f>ROUND(data!C291,0)</f>
        <v>0</v>
      </c>
      <c r="Z2" s="222">
        <f>ROUND(data!C292,0)</f>
        <v>82342686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4389373</v>
      </c>
      <c r="AK2" s="222">
        <f>ROUND(data!C316,0)</f>
        <v>9816869</v>
      </c>
      <c r="AL2" s="222">
        <f>ROUND(data!C317,0)</f>
        <v>92063</v>
      </c>
      <c r="AM2" s="222">
        <f>ROUND(data!C318,0)</f>
        <v>0</v>
      </c>
      <c r="AN2" s="222">
        <f>ROUND(data!C319,0)</f>
        <v>1517578</v>
      </c>
      <c r="AO2" s="222">
        <f>ROUND(data!C320,0)</f>
        <v>0</v>
      </c>
      <c r="AP2" s="222">
        <f>ROUND(data!C321,0)</f>
        <v>0</v>
      </c>
      <c r="AQ2" s="222">
        <f>ROUND(data!C322,0)</f>
        <v>175251</v>
      </c>
      <c r="AR2" s="222">
        <f>ROUND(data!C323,0)</f>
        <v>1926571</v>
      </c>
      <c r="AS2" s="222">
        <f>ROUND(data!C326,0)</f>
        <v>0</v>
      </c>
      <c r="AT2" s="222">
        <f>ROUND(data!C327,0)</f>
        <v>2160410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1147032</v>
      </c>
      <c r="AZ2" s="222">
        <f>ROUND(data!C335,0)</f>
        <v>59316628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105882576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592.65</v>
      </c>
      <c r="BL2" s="222">
        <f>ROUND(data!C358,0)</f>
        <v>68257416</v>
      </c>
      <c r="BM2" s="222">
        <f>ROUND(data!C359,0)</f>
        <v>237246500</v>
      </c>
      <c r="BN2" s="222">
        <f>ROUND(data!C363,0)</f>
        <v>167191102</v>
      </c>
      <c r="BO2" s="222">
        <f>ROUND(data!C364,0)</f>
        <v>4024117</v>
      </c>
      <c r="BP2" s="222">
        <f>ROUND(data!C365,0)</f>
        <v>4295282</v>
      </c>
      <c r="BQ2" s="222">
        <f>ROUND(data!D381,0)</f>
        <v>4977258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4977258</v>
      </c>
      <c r="CC2" s="222">
        <f>ROUND(data!C382,0)</f>
        <v>2391216</v>
      </c>
      <c r="CD2" s="222">
        <f>ROUND(data!C389,0)</f>
        <v>56776899</v>
      </c>
      <c r="CE2" s="222">
        <f>ROUND(data!C390,0)</f>
        <v>19086136</v>
      </c>
      <c r="CF2" s="222">
        <f>ROUND(data!C391,0)</f>
        <v>9751892</v>
      </c>
      <c r="CG2" s="222">
        <f>ROUND(data!C392,0)</f>
        <v>16221264</v>
      </c>
      <c r="CH2" s="222">
        <f>ROUND(data!C393,0)</f>
        <v>1232379</v>
      </c>
      <c r="CI2" s="222">
        <f>ROUND(data!C394,0)</f>
        <v>16688506</v>
      </c>
      <c r="CJ2" s="222">
        <f>ROUND(data!C395,0)</f>
        <v>8067632</v>
      </c>
      <c r="CK2" s="222">
        <f>ROUND(data!C396,0)</f>
        <v>360858</v>
      </c>
      <c r="CL2" s="222">
        <f>ROUND(data!C397,0)</f>
        <v>1056112</v>
      </c>
      <c r="CM2" s="222">
        <f>ROUND(data!C398,0)</f>
        <v>775761</v>
      </c>
      <c r="CN2" s="222">
        <f>ROUND(data!C399,0)</f>
        <v>2138666</v>
      </c>
      <c r="CO2" s="222">
        <f>ROUND(data!C362,0)</f>
        <v>2833308</v>
      </c>
      <c r="CP2" s="222">
        <f>ROUND(data!D415,0)</f>
        <v>1744399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1744399</v>
      </c>
      <c r="DE2" s="65">
        <f>ROUND(data!C419,0)</f>
        <v>0</v>
      </c>
      <c r="DF2" s="222">
        <f>ROUND(data!D420,0)</f>
        <v>6233764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152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728</v>
      </c>
      <c r="F2" s="212">
        <f>ROUND(data!C60,2)</f>
        <v>19.02</v>
      </c>
      <c r="G2" s="222">
        <f>ROUND(data!C61,0)</f>
        <v>2063318</v>
      </c>
      <c r="H2" s="222">
        <f>ROUND(data!C62,0)</f>
        <v>679255</v>
      </c>
      <c r="I2" s="222">
        <f>ROUND(data!C63,0)</f>
        <v>443080</v>
      </c>
      <c r="J2" s="222">
        <f>ROUND(data!C64,0)</f>
        <v>228963</v>
      </c>
      <c r="K2" s="222">
        <f>ROUND(data!C65,0)</f>
        <v>616</v>
      </c>
      <c r="L2" s="222">
        <f>ROUND(data!C66,0)</f>
        <v>23414</v>
      </c>
      <c r="M2" s="66">
        <f>ROUND(data!C67,0)</f>
        <v>216447</v>
      </c>
      <c r="N2" s="222">
        <f>ROUND(data!C68,0)</f>
        <v>14</v>
      </c>
      <c r="O2" s="222">
        <f>ROUND(data!C69,0)</f>
        <v>-78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-78</v>
      </c>
      <c r="AD2" s="222">
        <f>ROUND(data!C84,0)</f>
        <v>0</v>
      </c>
      <c r="AE2" s="222">
        <f>ROUND(data!C89,0)</f>
        <v>14103249</v>
      </c>
      <c r="AF2" s="222">
        <f>ROUND(data!C87,0)</f>
        <v>11528495</v>
      </c>
      <c r="AG2" s="222">
        <f>IF(data!C90&gt;0,ROUND(data!C90,0),0)</f>
        <v>6518</v>
      </c>
      <c r="AH2" s="222">
        <f>IF(data!C91&gt;0,ROUND(data!C91,0),0)</f>
        <v>5445</v>
      </c>
      <c r="AI2" s="222">
        <f>IF(data!C92&gt;0,ROUND(data!C92,0),0)</f>
        <v>6518</v>
      </c>
      <c r="AJ2" s="222">
        <f>IF(data!C93&gt;0,ROUND(data!C93,0),0)</f>
        <v>27399</v>
      </c>
      <c r="AK2" s="212">
        <f>IF(data!C94&gt;0,ROUND(data!C94,2),0)</f>
        <v>19.02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152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152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4340</v>
      </c>
      <c r="F4" s="212">
        <f>ROUND(data!E60,2)</f>
        <v>46.19</v>
      </c>
      <c r="G4" s="222">
        <f>ROUND(data!E61,0)</f>
        <v>4912186</v>
      </c>
      <c r="H4" s="222">
        <f>ROUND(data!E62,0)</f>
        <v>1596233</v>
      </c>
      <c r="I4" s="222">
        <f>ROUND(data!E63,0)</f>
        <v>1428584</v>
      </c>
      <c r="J4" s="222">
        <f>ROUND(data!E64,0)</f>
        <v>332275</v>
      </c>
      <c r="K4" s="222">
        <f>ROUND(data!E65,0)</f>
        <v>1397</v>
      </c>
      <c r="L4" s="222">
        <f>ROUND(data!E66,0)</f>
        <v>15436</v>
      </c>
      <c r="M4" s="66">
        <f>ROUND(data!E67,0)</f>
        <v>639358</v>
      </c>
      <c r="N4" s="222">
        <f>ROUND(data!E68,0)</f>
        <v>950</v>
      </c>
      <c r="O4" s="222">
        <f>ROUND(data!E69,0)</f>
        <v>1376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1376</v>
      </c>
      <c r="AD4" s="222">
        <f>ROUND(data!E84,0)</f>
        <v>0</v>
      </c>
      <c r="AE4" s="222">
        <f>ROUND(data!E89,0)</f>
        <v>32984249</v>
      </c>
      <c r="AF4" s="222">
        <f>ROUND(data!E87,0)</f>
        <v>21121805</v>
      </c>
      <c r="AG4" s="222">
        <f>IF(data!E90&gt;0,ROUND(data!E90,0),0)</f>
        <v>19254</v>
      </c>
      <c r="AH4" s="222">
        <f>IF(data!E91&gt;0,ROUND(data!E91,0),0)</f>
        <v>26617</v>
      </c>
      <c r="AI4" s="222">
        <f>IF(data!E92&gt;0,ROUND(data!E92,0),0)</f>
        <v>19254</v>
      </c>
      <c r="AJ4" s="222">
        <f>IF(data!E93&gt;0,ROUND(data!E93,0),0)</f>
        <v>59322</v>
      </c>
      <c r="AK4" s="212">
        <f>IF(data!E94&gt;0,ROUND(data!E94,2),0)</f>
        <v>46.19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152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152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152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152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152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624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43635</v>
      </c>
      <c r="K9" s="222">
        <f>ROUND(data!J65,0)</f>
        <v>0</v>
      </c>
      <c r="L9" s="222">
        <f>ROUND(data!J66,0)</f>
        <v>722</v>
      </c>
      <c r="M9" s="66">
        <f>ROUND(data!J67,0)</f>
        <v>16007</v>
      </c>
      <c r="N9" s="222">
        <f>ROUND(data!J68,0)</f>
        <v>0</v>
      </c>
      <c r="O9" s="222">
        <f>ROUND(data!J69,0)</f>
        <v>1743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1743</v>
      </c>
      <c r="AD9" s="222">
        <f>ROUND(data!J84,0)</f>
        <v>0</v>
      </c>
      <c r="AE9" s="222">
        <f>ROUND(data!J89,0)</f>
        <v>1373430</v>
      </c>
      <c r="AF9" s="222">
        <f>ROUND(data!J87,0)</f>
        <v>1240139</v>
      </c>
      <c r="AG9" s="222">
        <f>IF(data!J90&gt;0,ROUND(data!J90,0),0)</f>
        <v>482</v>
      </c>
      <c r="AH9" s="222">
        <f>IF(data!J91&gt;0,ROUND(data!J91,0),0)</f>
        <v>0</v>
      </c>
      <c r="AI9" s="222">
        <f>IF(data!J92&gt;0,ROUND(data!J92,0),0)</f>
        <v>482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152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152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152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152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152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1126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7500</v>
      </c>
      <c r="J14" s="222">
        <f>ROUND(data!O64,0)</f>
        <v>108309</v>
      </c>
      <c r="K14" s="222">
        <f>ROUND(data!O65,0)</f>
        <v>564</v>
      </c>
      <c r="L14" s="222">
        <f>ROUND(data!O66,0)</f>
        <v>8095</v>
      </c>
      <c r="M14" s="66">
        <f>ROUND(data!O67,0)</f>
        <v>32373</v>
      </c>
      <c r="N14" s="222">
        <f>ROUND(data!O68,0)</f>
        <v>0</v>
      </c>
      <c r="O14" s="222">
        <f>ROUND(data!O69,0)</f>
        <v>8442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8442</v>
      </c>
      <c r="AD14" s="222">
        <f>ROUND(data!O84,0)</f>
        <v>0</v>
      </c>
      <c r="AE14" s="222">
        <f>ROUND(data!O89,0)</f>
        <v>3525906</v>
      </c>
      <c r="AF14" s="222">
        <f>ROUND(data!O87,0)</f>
        <v>2543912</v>
      </c>
      <c r="AG14" s="222">
        <f>IF(data!O90&gt;0,ROUND(data!O90,0),0)</f>
        <v>975</v>
      </c>
      <c r="AH14" s="222">
        <f>IF(data!O91&gt;0,ROUND(data!O91,0),0)</f>
        <v>0</v>
      </c>
      <c r="AI14" s="222">
        <f>IF(data!O92&gt;0,ROUND(data!O92,0),0)</f>
        <v>975</v>
      </c>
      <c r="AJ14" s="222">
        <f>IF(data!O93&gt;0,ROUND(data!O93,0),0)</f>
        <v>29713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152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143380</v>
      </c>
      <c r="F15" s="212">
        <f>ROUND(data!P60,2)</f>
        <v>15.35</v>
      </c>
      <c r="G15" s="222">
        <f>ROUND(data!P61,0)</f>
        <v>1435145</v>
      </c>
      <c r="H15" s="222">
        <f>ROUND(data!P62,0)</f>
        <v>496869</v>
      </c>
      <c r="I15" s="222">
        <f>ROUND(data!P63,0)</f>
        <v>397584</v>
      </c>
      <c r="J15" s="222">
        <f>ROUND(data!P64,0)</f>
        <v>887097</v>
      </c>
      <c r="K15" s="222">
        <f>ROUND(data!P65,0)</f>
        <v>631</v>
      </c>
      <c r="L15" s="222">
        <f>ROUND(data!P66,0)</f>
        <v>329908</v>
      </c>
      <c r="M15" s="66">
        <f>ROUND(data!P67,0)</f>
        <v>218020</v>
      </c>
      <c r="N15" s="222">
        <f>ROUND(data!P68,0)</f>
        <v>50618</v>
      </c>
      <c r="O15" s="222">
        <f>ROUND(data!P69,0)</f>
        <v>13148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13148</v>
      </c>
      <c r="AD15" s="222">
        <f>ROUND(data!P84,0)</f>
        <v>-1518</v>
      </c>
      <c r="AE15" s="222">
        <f>ROUND(data!P89,0)</f>
        <v>21688271</v>
      </c>
      <c r="AF15" s="222">
        <f>ROUND(data!P87,0)</f>
        <v>4672822</v>
      </c>
      <c r="AG15" s="222">
        <f>IF(data!P90&gt;0,ROUND(data!P90,0),0)</f>
        <v>6566</v>
      </c>
      <c r="AH15" s="222">
        <f>IF(data!P91&gt;0,ROUND(data!P91,0),0)</f>
        <v>326</v>
      </c>
      <c r="AI15" s="222">
        <f>IF(data!P92&gt;0,ROUND(data!P92,0),0)</f>
        <v>6566</v>
      </c>
      <c r="AJ15" s="222">
        <f>IF(data!P93&gt;0,ROUND(data!P93,0),0)</f>
        <v>29817</v>
      </c>
      <c r="AK15" s="212">
        <f>IF(data!P94&gt;0,ROUND(data!P94,2),0)</f>
        <v>15.35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152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111131</v>
      </c>
      <c r="F16" s="212">
        <f>ROUND(data!Q60,2)</f>
        <v>13.76</v>
      </c>
      <c r="G16" s="222">
        <f>ROUND(data!Q61,0)</f>
        <v>1499386</v>
      </c>
      <c r="H16" s="222">
        <f>ROUND(data!Q62,0)</f>
        <v>490946</v>
      </c>
      <c r="I16" s="222">
        <f>ROUND(data!Q63,0)</f>
        <v>0</v>
      </c>
      <c r="J16" s="222">
        <f>ROUND(data!Q64,0)</f>
        <v>110592</v>
      </c>
      <c r="K16" s="222">
        <f>ROUND(data!Q65,0)</f>
        <v>0</v>
      </c>
      <c r="L16" s="222">
        <f>ROUND(data!Q66,0)</f>
        <v>1550</v>
      </c>
      <c r="M16" s="66">
        <f>ROUND(data!Q67,0)</f>
        <v>240659</v>
      </c>
      <c r="N16" s="222">
        <f>ROUND(data!Q68,0)</f>
        <v>101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6522407</v>
      </c>
      <c r="AF16" s="222">
        <f>ROUND(data!Q87,0)</f>
        <v>363744</v>
      </c>
      <c r="AG16" s="222">
        <f>IF(data!Q90&gt;0,ROUND(data!Q90,0),0)</f>
        <v>7247</v>
      </c>
      <c r="AH16" s="222">
        <f>IF(data!Q91&gt;0,ROUND(data!Q91,0),0)</f>
        <v>0</v>
      </c>
      <c r="AI16" s="222">
        <f>IF(data!Q92&gt;0,ROUND(data!Q92,0),0)</f>
        <v>7247</v>
      </c>
      <c r="AJ16" s="222">
        <f>IF(data!Q93&gt;0,ROUND(data!Q93,0),0)</f>
        <v>24671</v>
      </c>
      <c r="AK16" s="212">
        <f>IF(data!Q94&gt;0,ROUND(data!Q94,2),0)</f>
        <v>13.76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152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143380</v>
      </c>
      <c r="F17" s="212">
        <f>ROUND(data!R60,2)</f>
        <v>4.2</v>
      </c>
      <c r="G17" s="222">
        <f>ROUND(data!R61,0)</f>
        <v>922623</v>
      </c>
      <c r="H17" s="222">
        <f>ROUND(data!R62,0)</f>
        <v>216933</v>
      </c>
      <c r="I17" s="222">
        <f>ROUND(data!R63,0)</f>
        <v>75712</v>
      </c>
      <c r="J17" s="222">
        <f>ROUND(data!R64,0)</f>
        <v>80247</v>
      </c>
      <c r="K17" s="222">
        <f>ROUND(data!R65,0)</f>
        <v>103</v>
      </c>
      <c r="L17" s="222">
        <f>ROUND(data!R66,0)</f>
        <v>53194</v>
      </c>
      <c r="M17" s="66">
        <f>ROUND(data!R67,0)</f>
        <v>10348</v>
      </c>
      <c r="N17" s="222">
        <f>ROUND(data!R68,0)</f>
        <v>943</v>
      </c>
      <c r="O17" s="222">
        <f>ROUND(data!R69,0)</f>
        <v>17730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17730</v>
      </c>
      <c r="AD17" s="222">
        <f>ROUND(data!R84,0)</f>
        <v>2089225</v>
      </c>
      <c r="AE17" s="222">
        <f>ROUND(data!R89,0)</f>
        <v>2145963</v>
      </c>
      <c r="AF17" s="222">
        <f>ROUND(data!R87,0)</f>
        <v>166374</v>
      </c>
      <c r="AG17" s="222">
        <f>IF(data!R90&gt;0,ROUND(data!R90,0),0)</f>
        <v>312</v>
      </c>
      <c r="AH17" s="222">
        <f>IF(data!R91&gt;0,ROUND(data!R91,0),0)</f>
        <v>0</v>
      </c>
      <c r="AI17" s="222">
        <f>IF(data!R92&gt;0,ROUND(data!R92,0),0)</f>
        <v>312</v>
      </c>
      <c r="AJ17" s="222">
        <f>IF(data!R93&gt;0,ROUND(data!R93,0),0)</f>
        <v>0</v>
      </c>
      <c r="AK17" s="212">
        <f>IF(data!R94&gt;0,ROUND(data!R94,2),0)</f>
        <v>4.2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152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6022554</v>
      </c>
      <c r="K18" s="222">
        <f>ROUND(data!S65,0)</f>
        <v>0</v>
      </c>
      <c r="L18" s="222">
        <f>ROUND(data!S66,0)</f>
        <v>51</v>
      </c>
      <c r="M18" s="66">
        <f>ROUND(data!S67,0)</f>
        <v>98638</v>
      </c>
      <c r="N18" s="222">
        <f>ROUND(data!S68,0)</f>
        <v>49198</v>
      </c>
      <c r="O18" s="222">
        <f>ROUND(data!S69,0)</f>
        <v>4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4</v>
      </c>
      <c r="AD18" s="222">
        <f>ROUND(data!S84,0)</f>
        <v>0</v>
      </c>
      <c r="AE18" s="222">
        <f>ROUND(data!S89,0)</f>
        <v>11582535</v>
      </c>
      <c r="AF18" s="222">
        <f>ROUND(data!S87,0)</f>
        <v>3842567</v>
      </c>
      <c r="AG18" s="222">
        <f>IF(data!S90&gt;0,ROUND(data!S90,0),0)</f>
        <v>2970</v>
      </c>
      <c r="AH18" s="222">
        <f>IF(data!S91&gt;0,ROUND(data!S91,0),0)</f>
        <v>0</v>
      </c>
      <c r="AI18" s="222">
        <f>IF(data!S92&gt;0,ROUND(data!S92,0),0)</f>
        <v>2970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152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152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306871</v>
      </c>
      <c r="F20" s="212">
        <f>ROUND(data!U60,2)</f>
        <v>25.23</v>
      </c>
      <c r="G20" s="222">
        <f>ROUND(data!U61,0)</f>
        <v>1800483</v>
      </c>
      <c r="H20" s="222">
        <f>ROUND(data!U62,0)</f>
        <v>684701</v>
      </c>
      <c r="I20" s="222">
        <f>ROUND(data!U63,0)</f>
        <v>541251</v>
      </c>
      <c r="J20" s="222">
        <f>ROUND(data!U64,0)</f>
        <v>2059322</v>
      </c>
      <c r="K20" s="222">
        <f>ROUND(data!U65,0)</f>
        <v>126</v>
      </c>
      <c r="L20" s="222">
        <f>ROUND(data!U66,0)</f>
        <v>1386259</v>
      </c>
      <c r="M20" s="66">
        <f>ROUND(data!U67,0)</f>
        <v>145877</v>
      </c>
      <c r="N20" s="222">
        <f>ROUND(data!U68,0)</f>
        <v>69</v>
      </c>
      <c r="O20" s="222">
        <f>ROUND(data!U69,0)</f>
        <v>3035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3035</v>
      </c>
      <c r="AD20" s="222">
        <f>ROUND(data!U84,0)</f>
        <v>9</v>
      </c>
      <c r="AE20" s="222">
        <f>ROUND(data!U89,0)</f>
        <v>37341612</v>
      </c>
      <c r="AF20" s="222">
        <f>ROUND(data!U87,0)</f>
        <v>5263414</v>
      </c>
      <c r="AG20" s="222">
        <f>IF(data!U90&gt;0,ROUND(data!U90,0),0)</f>
        <v>4393</v>
      </c>
      <c r="AH20" s="222">
        <f>IF(data!U91&gt;0,ROUND(data!U91,0),0)</f>
        <v>0</v>
      </c>
      <c r="AI20" s="222">
        <f>IF(data!U92&gt;0,ROUND(data!U92,0),0)</f>
        <v>4393</v>
      </c>
      <c r="AJ20" s="222">
        <f>IF(data!U93&gt;0,ROUND(data!U93,0),0)</f>
        <v>420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152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152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1945</v>
      </c>
      <c r="F22" s="212">
        <f>ROUND(data!W60,2)</f>
        <v>2.0499999999999998</v>
      </c>
      <c r="G22" s="222">
        <f>ROUND(data!W61,0)</f>
        <v>208163</v>
      </c>
      <c r="H22" s="222">
        <f>ROUND(data!W62,0)</f>
        <v>88058</v>
      </c>
      <c r="I22" s="222">
        <f>ROUND(data!W63,0)</f>
        <v>0</v>
      </c>
      <c r="J22" s="222">
        <f>ROUND(data!W64,0)</f>
        <v>22244</v>
      </c>
      <c r="K22" s="222">
        <f>ROUND(data!W65,0)</f>
        <v>0</v>
      </c>
      <c r="L22" s="222">
        <f>ROUND(data!W66,0)</f>
        <v>11270</v>
      </c>
      <c r="M22" s="66">
        <f>ROUND(data!W67,0)</f>
        <v>70979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8118815</v>
      </c>
      <c r="AF22" s="222">
        <f>ROUND(data!W87,0)</f>
        <v>398666</v>
      </c>
      <c r="AG22" s="222">
        <f>IF(data!W90&gt;0,ROUND(data!W90,0),0)</f>
        <v>2137</v>
      </c>
      <c r="AH22" s="222">
        <f>IF(data!W91&gt;0,ROUND(data!W91,0),0)</f>
        <v>0</v>
      </c>
      <c r="AI22" s="222">
        <f>IF(data!W92&gt;0,ROUND(data!W92,0),0)</f>
        <v>2137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152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36639</v>
      </c>
      <c r="F23" s="212">
        <f>ROUND(data!X60,2)</f>
        <v>3.63</v>
      </c>
      <c r="G23" s="222">
        <f>ROUND(data!X61,0)</f>
        <v>423130</v>
      </c>
      <c r="H23" s="222">
        <f>ROUND(data!X62,0)</f>
        <v>155908</v>
      </c>
      <c r="I23" s="222">
        <f>ROUND(data!X63,0)</f>
        <v>0</v>
      </c>
      <c r="J23" s="222">
        <f>ROUND(data!X64,0)</f>
        <v>171813</v>
      </c>
      <c r="K23" s="222">
        <f>ROUND(data!X65,0)</f>
        <v>0</v>
      </c>
      <c r="L23" s="222">
        <f>ROUND(data!X66,0)</f>
        <v>138545</v>
      </c>
      <c r="M23" s="66">
        <f>ROUND(data!X67,0)</f>
        <v>26289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26950813</v>
      </c>
      <c r="AF23" s="222">
        <f>ROUND(data!X87,0)</f>
        <v>1081476</v>
      </c>
      <c r="AG23" s="222">
        <f>IF(data!X90&gt;0,ROUND(data!X90,0),0)</f>
        <v>792</v>
      </c>
      <c r="AH23" s="222">
        <f>IF(data!X91&gt;0,ROUND(data!X91,0),0)</f>
        <v>0</v>
      </c>
      <c r="AI23" s="222">
        <f>IF(data!X92&gt;0,ROUND(data!X92,0),0)</f>
        <v>792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152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26121</v>
      </c>
      <c r="F24" s="212">
        <f>ROUND(data!Y60,2)</f>
        <v>22.36</v>
      </c>
      <c r="G24" s="222">
        <f>ROUND(data!Y61,0)</f>
        <v>1913289</v>
      </c>
      <c r="H24" s="222">
        <f>ROUND(data!Y62,0)</f>
        <v>724792</v>
      </c>
      <c r="I24" s="222">
        <f>ROUND(data!Y63,0)</f>
        <v>1530</v>
      </c>
      <c r="J24" s="222">
        <f>ROUND(data!Y64,0)</f>
        <v>197967</v>
      </c>
      <c r="K24" s="222">
        <f>ROUND(data!Y65,0)</f>
        <v>256</v>
      </c>
      <c r="L24" s="222">
        <f>ROUND(data!Y66,0)</f>
        <v>841366</v>
      </c>
      <c r="M24" s="66">
        <f>ROUND(data!Y67,0)</f>
        <v>232188</v>
      </c>
      <c r="N24" s="222">
        <f>ROUND(data!Y68,0)</f>
        <v>621</v>
      </c>
      <c r="O24" s="222">
        <f>ROUND(data!Y69,0)</f>
        <v>1232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1232</v>
      </c>
      <c r="AD24" s="222">
        <f>ROUND(data!Y84,0)</f>
        <v>0</v>
      </c>
      <c r="AE24" s="222">
        <f>ROUND(data!Y89,0)</f>
        <v>21010737</v>
      </c>
      <c r="AF24" s="222">
        <f>ROUND(data!Y87,0)</f>
        <v>1386374</v>
      </c>
      <c r="AG24" s="222">
        <f>IF(data!Y90&gt;0,ROUND(data!Y90,0),0)</f>
        <v>6992</v>
      </c>
      <c r="AH24" s="222">
        <f>IF(data!Y91&gt;0,ROUND(data!Y91,0),0)</f>
        <v>0</v>
      </c>
      <c r="AI24" s="222">
        <f>IF(data!Y92&gt;0,ROUND(data!Y92,0),0)</f>
        <v>6992</v>
      </c>
      <c r="AJ24" s="222">
        <f>IF(data!Y93&gt;0,ROUND(data!Y93,0),0)</f>
        <v>22696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152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152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62</v>
      </c>
      <c r="F26" s="212">
        <f>ROUND(data!AA60,2)</f>
        <v>0.13</v>
      </c>
      <c r="G26" s="222">
        <f>ROUND(data!AA61,0)</f>
        <v>16480</v>
      </c>
      <c r="H26" s="222">
        <f>ROUND(data!AA62,0)</f>
        <v>6098</v>
      </c>
      <c r="I26" s="222">
        <f>ROUND(data!AA63,0)</f>
        <v>0</v>
      </c>
      <c r="J26" s="222">
        <f>ROUND(data!AA64,0)</f>
        <v>10300</v>
      </c>
      <c r="K26" s="222">
        <f>ROUND(data!AA65,0)</f>
        <v>0</v>
      </c>
      <c r="L26" s="222">
        <f>ROUND(data!AA66,0)</f>
        <v>57525</v>
      </c>
      <c r="M26" s="66">
        <f>ROUND(data!AA67,0)</f>
        <v>22918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28955</v>
      </c>
      <c r="AF26" s="222">
        <f>ROUND(data!AA87,0)</f>
        <v>7607</v>
      </c>
      <c r="AG26" s="222">
        <f>IF(data!AA90&gt;0,ROUND(data!AA90,0),0)</f>
        <v>690</v>
      </c>
      <c r="AH26" s="222">
        <f>IF(data!AA91&gt;0,ROUND(data!AA91,0),0)</f>
        <v>0</v>
      </c>
      <c r="AI26" s="222">
        <f>IF(data!AA92&gt;0,ROUND(data!AA92,0),0)</f>
        <v>690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152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13.89</v>
      </c>
      <c r="G27" s="222">
        <f>ROUND(data!AB61,0)</f>
        <v>1608148</v>
      </c>
      <c r="H27" s="222">
        <f>ROUND(data!AB62,0)</f>
        <v>577102</v>
      </c>
      <c r="I27" s="222">
        <f>ROUND(data!AB63,0)</f>
        <v>0</v>
      </c>
      <c r="J27" s="222">
        <f>ROUND(data!AB64,0)</f>
        <v>2399392</v>
      </c>
      <c r="K27" s="222">
        <f>ROUND(data!AB65,0)</f>
        <v>0</v>
      </c>
      <c r="L27" s="222">
        <f>ROUND(data!AB66,0)</f>
        <v>346921</v>
      </c>
      <c r="M27" s="66">
        <f>ROUND(data!AB67,0)</f>
        <v>63836</v>
      </c>
      <c r="N27" s="222">
        <f>ROUND(data!AB68,0)</f>
        <v>0</v>
      </c>
      <c r="O27" s="222">
        <f>ROUND(data!AB69,0)</f>
        <v>19336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19336</v>
      </c>
      <c r="AD27" s="222">
        <f>ROUND(data!AB84,0)</f>
        <v>2281079</v>
      </c>
      <c r="AE27" s="222">
        <f>ROUND(data!AB89,0)</f>
        <v>11613339</v>
      </c>
      <c r="AF27" s="222">
        <f>ROUND(data!AB87,0)</f>
        <v>3707825</v>
      </c>
      <c r="AG27" s="222">
        <f>IF(data!AB90&gt;0,ROUND(data!AB90,0),0)</f>
        <v>1922</v>
      </c>
      <c r="AH27" s="222">
        <f>IF(data!AB91&gt;0,ROUND(data!AB91,0),0)</f>
        <v>0</v>
      </c>
      <c r="AI27" s="222">
        <f>IF(data!AB92&gt;0,ROUND(data!AB92,0),0)</f>
        <v>1922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152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4269</v>
      </c>
      <c r="F28" s="212">
        <f>ROUND(data!AC60,2)</f>
        <v>7.38</v>
      </c>
      <c r="G28" s="222">
        <f>ROUND(data!AC61,0)</f>
        <v>715439</v>
      </c>
      <c r="H28" s="222">
        <f>ROUND(data!AC62,0)</f>
        <v>267992</v>
      </c>
      <c r="I28" s="222">
        <f>ROUND(data!AC63,0)</f>
        <v>294853</v>
      </c>
      <c r="J28" s="222">
        <f>ROUND(data!AC64,0)</f>
        <v>104563</v>
      </c>
      <c r="K28" s="222">
        <f>ROUND(data!AC65,0)</f>
        <v>0</v>
      </c>
      <c r="L28" s="222">
        <f>ROUND(data!AC66,0)</f>
        <v>62883</v>
      </c>
      <c r="M28" s="66">
        <f>ROUND(data!AC67,0)</f>
        <v>26748</v>
      </c>
      <c r="N28" s="222">
        <f>ROUND(data!AC68,0)</f>
        <v>13127</v>
      </c>
      <c r="O28" s="222">
        <f>ROUND(data!AC69,0)</f>
        <v>5043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5043</v>
      </c>
      <c r="AD28" s="222">
        <f>ROUND(data!AC84,0)</f>
        <v>-6976</v>
      </c>
      <c r="AE28" s="222">
        <f>ROUND(data!AC89,0)</f>
        <v>8561650</v>
      </c>
      <c r="AF28" s="222">
        <f>ROUND(data!AC87,0)</f>
        <v>4921763</v>
      </c>
      <c r="AG28" s="222">
        <f>IF(data!AC90&gt;0,ROUND(data!AC90,0),0)</f>
        <v>806</v>
      </c>
      <c r="AH28" s="222">
        <f>IF(data!AC91&gt;0,ROUND(data!AC91,0),0)</f>
        <v>0</v>
      </c>
      <c r="AI28" s="222">
        <f>IF(data!AC92&gt;0,ROUND(data!AC92,0),0)</f>
        <v>806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152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152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19464</v>
      </c>
      <c r="F30" s="212">
        <f>ROUND(data!AE60,2)</f>
        <v>20.93</v>
      </c>
      <c r="G30" s="222">
        <f>ROUND(data!AE61,0)</f>
        <v>1731002</v>
      </c>
      <c r="H30" s="222">
        <f>ROUND(data!AE62,0)</f>
        <v>642315</v>
      </c>
      <c r="I30" s="222">
        <f>ROUND(data!AE63,0)</f>
        <v>170575</v>
      </c>
      <c r="J30" s="222">
        <f>ROUND(data!AE64,0)</f>
        <v>46844</v>
      </c>
      <c r="K30" s="222">
        <f>ROUND(data!AE65,0)</f>
        <v>0</v>
      </c>
      <c r="L30" s="222">
        <f>ROUND(data!AE66,0)</f>
        <v>9393</v>
      </c>
      <c r="M30" s="66">
        <f>ROUND(data!AE67,0)</f>
        <v>119684</v>
      </c>
      <c r="N30" s="222">
        <f>ROUND(data!AE68,0)</f>
        <v>37</v>
      </c>
      <c r="O30" s="222">
        <f>ROUND(data!AE69,0)</f>
        <v>13788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13788</v>
      </c>
      <c r="AD30" s="222">
        <f>ROUND(data!AE84,0)</f>
        <v>0</v>
      </c>
      <c r="AE30" s="222">
        <f>ROUND(data!AE89,0)</f>
        <v>7385610</v>
      </c>
      <c r="AF30" s="222">
        <f>ROUND(data!AE87,0)</f>
        <v>577833</v>
      </c>
      <c r="AG30" s="222">
        <f>IF(data!AE90&gt;0,ROUND(data!AE90,0),0)</f>
        <v>3887</v>
      </c>
      <c r="AH30" s="222">
        <f>IF(data!AE91&gt;0,ROUND(data!AE91,0),0)</f>
        <v>0</v>
      </c>
      <c r="AI30" s="222">
        <f>IF(data!AE92&gt;0,ROUND(data!AE92,0),0)</f>
        <v>3887</v>
      </c>
      <c r="AJ30" s="222">
        <f>IF(data!AE93&gt;0,ROUND(data!AE93,0),0)</f>
        <v>3019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152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152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17670</v>
      </c>
      <c r="F32" s="212">
        <f>ROUND(data!AG60,2)</f>
        <v>31.64</v>
      </c>
      <c r="G32" s="222">
        <f>ROUND(data!AG61,0)</f>
        <v>4105518</v>
      </c>
      <c r="H32" s="222">
        <f>ROUND(data!AG62,0)</f>
        <v>1019975</v>
      </c>
      <c r="I32" s="222">
        <f>ROUND(data!AG63,0)</f>
        <v>2988006</v>
      </c>
      <c r="J32" s="222">
        <f>ROUND(data!AG64,0)</f>
        <v>353423</v>
      </c>
      <c r="K32" s="222">
        <f>ROUND(data!AG65,0)</f>
        <v>480</v>
      </c>
      <c r="L32" s="222">
        <f>ROUND(data!AG66,0)</f>
        <v>453937</v>
      </c>
      <c r="M32" s="66">
        <f>ROUND(data!AG67,0)</f>
        <v>316895</v>
      </c>
      <c r="N32" s="222">
        <f>ROUND(data!AG68,0)</f>
        <v>160</v>
      </c>
      <c r="O32" s="222">
        <f>ROUND(data!AG69,0)</f>
        <v>45397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45397</v>
      </c>
      <c r="AD32" s="222">
        <f>ROUND(data!AG84,0)</f>
        <v>0</v>
      </c>
      <c r="AE32" s="222">
        <f>ROUND(data!AG89,0)</f>
        <v>53717393</v>
      </c>
      <c r="AF32" s="222">
        <f>ROUND(data!AG87,0)</f>
        <v>2509597</v>
      </c>
      <c r="AG32" s="222">
        <f>IF(data!AG90&gt;0,ROUND(data!AG90,0),0)</f>
        <v>9543</v>
      </c>
      <c r="AH32" s="222">
        <f>IF(data!AG91&gt;0,ROUND(data!AG91,0),0)</f>
        <v>1043</v>
      </c>
      <c r="AI32" s="222">
        <f>IF(data!AG92&gt;0,ROUND(data!AG92,0),0)</f>
        <v>9543</v>
      </c>
      <c r="AJ32" s="222">
        <f>IF(data!AG93&gt;0,ROUND(data!AG93,0),0)</f>
        <v>60119</v>
      </c>
      <c r="AK32" s="212">
        <f>IF(data!AG94&gt;0,ROUND(data!AG94,2),0)</f>
        <v>31.64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152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152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152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0</v>
      </c>
      <c r="G35" s="222">
        <f>ROUND(data!AJ61,0)</f>
        <v>0</v>
      </c>
      <c r="H35" s="222">
        <f>ROUND(data!AJ62,0)</f>
        <v>0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0</v>
      </c>
      <c r="M35" s="66">
        <f>ROUND(data!AJ67,0)</f>
        <v>0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0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152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152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152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152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152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152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90556</v>
      </c>
      <c r="F41" s="212">
        <f>ROUND(data!AP60,2)</f>
        <v>159.31</v>
      </c>
      <c r="G41" s="222">
        <f>ROUND(data!AP61,0)</f>
        <v>17655397</v>
      </c>
      <c r="H41" s="222">
        <f>ROUND(data!AP62,0)</f>
        <v>5458445</v>
      </c>
      <c r="I41" s="222">
        <f>ROUND(data!AP63,0)</f>
        <v>1587673</v>
      </c>
      <c r="J41" s="222">
        <f>ROUND(data!AP64,0)</f>
        <v>1128107</v>
      </c>
      <c r="K41" s="222">
        <f>ROUND(data!AP65,0)</f>
        <v>21424</v>
      </c>
      <c r="L41" s="222">
        <f>ROUND(data!AP66,0)</f>
        <v>281662</v>
      </c>
      <c r="M41" s="66">
        <f>ROUND(data!AP67,0)</f>
        <v>2920239</v>
      </c>
      <c r="N41" s="222">
        <f>ROUND(data!AP68,0)</f>
        <v>43294</v>
      </c>
      <c r="O41" s="222">
        <f>ROUND(data!AP69,0)</f>
        <v>461055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461055</v>
      </c>
      <c r="AD41" s="222">
        <f>ROUND(data!AP84,0)</f>
        <v>71547</v>
      </c>
      <c r="AE41" s="222">
        <f>ROUND(data!AP89,0)</f>
        <v>36507868</v>
      </c>
      <c r="AF41" s="222">
        <f>ROUND(data!AP87,0)</f>
        <v>2995958</v>
      </c>
      <c r="AG41" s="222">
        <f>IF(data!AP90&gt;0,ROUND(data!AP90,0),0)</f>
        <v>78245</v>
      </c>
      <c r="AH41" s="222">
        <f>IF(data!AP91&gt;0,ROUND(data!AP91,0),0)</f>
        <v>0</v>
      </c>
      <c r="AI41" s="222">
        <f>IF(data!AP92&gt;0,ROUND(data!AP92,0),0)</f>
        <v>78245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152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152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152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152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152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152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4.5</v>
      </c>
      <c r="G47" s="222">
        <f>ROUND(data!AV61,0)</f>
        <v>372073</v>
      </c>
      <c r="H47" s="222">
        <f>ROUND(data!AV62,0)</f>
        <v>156463</v>
      </c>
      <c r="I47" s="222">
        <f>ROUND(data!AV63,0)</f>
        <v>0</v>
      </c>
      <c r="J47" s="222">
        <f>ROUND(data!AV64,0)</f>
        <v>8538</v>
      </c>
      <c r="K47" s="222">
        <f>ROUND(data!AV65,0)</f>
        <v>0</v>
      </c>
      <c r="L47" s="222">
        <f>ROUND(data!AV66,0)</f>
        <v>3066</v>
      </c>
      <c r="M47" s="66">
        <f>ROUND(data!AV67,0)</f>
        <v>8897</v>
      </c>
      <c r="N47" s="222">
        <f>ROUND(data!AV68,0)</f>
        <v>0</v>
      </c>
      <c r="O47" s="222">
        <f>ROUND(data!AV69,0)</f>
        <v>7869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7869</v>
      </c>
      <c r="AD47" s="222">
        <f>ROUND(data!AV84,0)</f>
        <v>0</v>
      </c>
      <c r="AE47" s="222">
        <f>ROUND(data!AV89,0)</f>
        <v>341114</v>
      </c>
      <c r="AF47" s="222">
        <f>ROUND(data!AV87,0)</f>
        <v>0</v>
      </c>
      <c r="AG47" s="222">
        <f>IF(data!AV90&gt;0,ROUND(data!AV90,0),0)</f>
        <v>268</v>
      </c>
      <c r="AH47" s="222">
        <f>IF(data!AV91&gt;0,ROUND(data!AV91,0),0)</f>
        <v>0</v>
      </c>
      <c r="AI47" s="222">
        <f>IF(data!AV92&gt;0,ROUND(data!AV92,0),0)</f>
        <v>268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152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152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152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33431</v>
      </c>
      <c r="F50" s="212">
        <f>ROUND(data!AY60,2)</f>
        <v>17.09</v>
      </c>
      <c r="G50" s="222">
        <f>ROUND(data!AY61,0)</f>
        <v>854813</v>
      </c>
      <c r="H50" s="222">
        <f>ROUND(data!AY62,0)</f>
        <v>384769</v>
      </c>
      <c r="I50" s="222">
        <f>ROUND(data!AY63,0)</f>
        <v>0</v>
      </c>
      <c r="J50" s="222">
        <f>ROUND(data!AY64,0)</f>
        <v>777345</v>
      </c>
      <c r="K50" s="222">
        <f>ROUND(data!AY65,0)</f>
        <v>0</v>
      </c>
      <c r="L50" s="222">
        <f>ROUND(data!AY66,0)</f>
        <v>47905</v>
      </c>
      <c r="M50" s="66">
        <f>ROUND(data!AY67,0)</f>
        <v>167360</v>
      </c>
      <c r="N50" s="222">
        <f>ROUND(data!AY68,0)</f>
        <v>0</v>
      </c>
      <c r="O50" s="222">
        <f>ROUND(data!AY69,0)</f>
        <v>13497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13497</v>
      </c>
      <c r="AD50" s="222">
        <f>ROUND(data!AY84,0)</f>
        <v>370875</v>
      </c>
      <c r="AE50" s="222"/>
      <c r="AF50" s="222"/>
      <c r="AG50" s="222">
        <f>IF(data!AY90&gt;0,ROUND(data!AY90,0),0)</f>
        <v>5040</v>
      </c>
      <c r="AH50" s="222">
        <f>IFERROR(IF(data!AY$91&gt;0,ROUND(data!AY$91,0),0),0)</f>
        <v>0</v>
      </c>
      <c r="AI50" s="222">
        <f>IFERROR(IF(data!AY$92&gt;0,ROUND(data!AY$92,0),0),0)</f>
        <v>5040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152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152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1.02</v>
      </c>
      <c r="G52" s="222">
        <f>ROUND(data!BA61,0)</f>
        <v>51484</v>
      </c>
      <c r="H52" s="222">
        <f>ROUND(data!BA62,0)</f>
        <v>48915</v>
      </c>
      <c r="I52" s="222">
        <f>ROUND(data!BA63,0)</f>
        <v>0</v>
      </c>
      <c r="J52" s="222">
        <f>ROUND(data!BA64,0)</f>
        <v>24906</v>
      </c>
      <c r="K52" s="222">
        <f>ROUND(data!BA65,0)</f>
        <v>0</v>
      </c>
      <c r="L52" s="222">
        <f>ROUND(data!BA66,0)</f>
        <v>165180</v>
      </c>
      <c r="M52" s="66">
        <f>ROUND(data!BA67,0)</f>
        <v>48509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1461</v>
      </c>
      <c r="AH52" s="222">
        <f>IFERROR(IF(data!BA$91&gt;0,ROUND(data!BA$91,0),0),0)</f>
        <v>0</v>
      </c>
      <c r="AI52" s="222">
        <f>IFERROR(IF(data!BA$92&gt;0,ROUND(data!BA$92,0),0),0)</f>
        <v>1461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152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152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152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7.24</v>
      </c>
      <c r="G55" s="222">
        <f>ROUND(data!BD61,0)</f>
        <v>495027</v>
      </c>
      <c r="H55" s="222">
        <f>ROUND(data!BD62,0)</f>
        <v>172238</v>
      </c>
      <c r="I55" s="222">
        <f>ROUND(data!BD63,0)</f>
        <v>2545</v>
      </c>
      <c r="J55" s="222">
        <f>ROUND(data!BD64,0)</f>
        <v>106892</v>
      </c>
      <c r="K55" s="222">
        <f>ROUND(data!BD65,0)</f>
        <v>3063</v>
      </c>
      <c r="L55" s="222">
        <f>ROUND(data!BD66,0)</f>
        <v>40174</v>
      </c>
      <c r="M55" s="66">
        <f>ROUND(data!BD67,0)</f>
        <v>112980</v>
      </c>
      <c r="N55" s="222">
        <f>ROUND(data!BD68,0)</f>
        <v>25398</v>
      </c>
      <c r="O55" s="222">
        <f>ROUND(data!BD69,0)</f>
        <v>-64314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-64314</v>
      </c>
      <c r="AD55" s="222">
        <f>ROUND(data!BD84,0)</f>
        <v>-4</v>
      </c>
      <c r="AE55" s="222"/>
      <c r="AF55" s="222"/>
      <c r="AG55" s="222">
        <f>IF(data!BD90&gt;0,ROUND(data!BD90,0),0)</f>
        <v>3402</v>
      </c>
      <c r="AH55" s="222">
        <f>IFERROR(IF(data!BD$91&gt;0,ROUND(data!BD$91,0),0),0)</f>
        <v>0</v>
      </c>
      <c r="AI55" s="222">
        <f>IFERROR(IF(data!BD$92&gt;0,ROUND(data!BD$92,0),0),0)</f>
        <v>3402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152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241487</v>
      </c>
      <c r="F56" s="212">
        <f>ROUND(data!BE60,2)</f>
        <v>11.77</v>
      </c>
      <c r="G56" s="222">
        <f>ROUND(data!BE61,0)</f>
        <v>862431</v>
      </c>
      <c r="H56" s="222">
        <f>ROUND(data!BE62,0)</f>
        <v>335073</v>
      </c>
      <c r="I56" s="222">
        <f>ROUND(data!BE63,0)</f>
        <v>0</v>
      </c>
      <c r="J56" s="222">
        <f>ROUND(data!BE64,0)</f>
        <v>80818</v>
      </c>
      <c r="K56" s="222">
        <f>ROUND(data!BE65,0)</f>
        <v>771045</v>
      </c>
      <c r="L56" s="222">
        <f>ROUND(data!BE66,0)</f>
        <v>837187</v>
      </c>
      <c r="M56" s="66">
        <f>ROUND(data!BE67,0)</f>
        <v>671271</v>
      </c>
      <c r="N56" s="222">
        <f>ROUND(data!BE68,0)</f>
        <v>3114</v>
      </c>
      <c r="O56" s="222">
        <f>ROUND(data!BE69,0)</f>
        <v>23295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23295</v>
      </c>
      <c r="AD56" s="222">
        <f>ROUND(data!BE84,0)</f>
        <v>0</v>
      </c>
      <c r="AE56" s="222"/>
      <c r="AF56" s="222"/>
      <c r="AG56" s="222">
        <f>IF(data!BE90&gt;0,ROUND(data!BE90,0),0)</f>
        <v>28164</v>
      </c>
      <c r="AH56" s="222">
        <f>IFERROR(IF(data!BE$91&gt;0,ROUND(data!BE$91,0),0),0)</f>
        <v>0</v>
      </c>
      <c r="AI56" s="222">
        <f>IFERROR(IF(data!BE$92&gt;0,ROUND(data!BE$92,0),0),0)</f>
        <v>28164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152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29.67</v>
      </c>
      <c r="G57" s="222">
        <f>ROUND(data!BF61,0)</f>
        <v>1447512</v>
      </c>
      <c r="H57" s="222">
        <f>ROUND(data!BF62,0)</f>
        <v>646749</v>
      </c>
      <c r="I57" s="222">
        <f>ROUND(data!BF63,0)</f>
        <v>0</v>
      </c>
      <c r="J57" s="222">
        <f>ROUND(data!BF64,0)</f>
        <v>217291</v>
      </c>
      <c r="K57" s="222">
        <f>ROUND(data!BF65,0)</f>
        <v>179681</v>
      </c>
      <c r="L57" s="222">
        <f>ROUND(data!BF66,0)</f>
        <v>151888</v>
      </c>
      <c r="M57" s="66">
        <f>ROUND(data!BF67,0)</f>
        <v>76210</v>
      </c>
      <c r="N57" s="222">
        <f>ROUND(data!BF68,0)</f>
        <v>0</v>
      </c>
      <c r="O57" s="222">
        <f>ROUND(data!BF69,0)</f>
        <v>7762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7762</v>
      </c>
      <c r="AD57" s="222">
        <f>ROUND(data!BF84,0)</f>
        <v>0</v>
      </c>
      <c r="AE57" s="222"/>
      <c r="AF57" s="222"/>
      <c r="AG57" s="222">
        <f>IF(data!BF90&gt;0,ROUND(data!BF90,0),0)</f>
        <v>2295</v>
      </c>
      <c r="AH57" s="222">
        <f>IFERROR(IF(data!BF$91&gt;0,ROUND(data!BF$91,0),0),0)</f>
        <v>0</v>
      </c>
      <c r="AI57" s="222">
        <f>IFERROR(IF(data!BF$92&gt;0,ROUND(data!BF$92,0),0),0)</f>
        <v>2295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152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152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376928</v>
      </c>
      <c r="K59" s="222">
        <f>ROUND(data!BH65,0)</f>
        <v>239032</v>
      </c>
      <c r="L59" s="222">
        <f>ROUND(data!BH66,0)</f>
        <v>8402746</v>
      </c>
      <c r="M59" s="66">
        <f>ROUND(data!BH67,0)</f>
        <v>108029</v>
      </c>
      <c r="N59" s="222">
        <f>ROUND(data!BH68,0)</f>
        <v>91911</v>
      </c>
      <c r="O59" s="222">
        <f>ROUND(data!BH69,0)</f>
        <v>186243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186243</v>
      </c>
      <c r="AD59" s="222">
        <f>ROUND(data!BH84,0)</f>
        <v>0</v>
      </c>
      <c r="AE59" s="222"/>
      <c r="AF59" s="222"/>
      <c r="AG59" s="222">
        <f>IF(data!BH90&gt;0,ROUND(data!BH90,0),0)</f>
        <v>3253</v>
      </c>
      <c r="AH59" s="222">
        <f>IFERROR(IF(data!BH$91&gt;0,ROUND(data!BH$91,0),0),0)</f>
        <v>0</v>
      </c>
      <c r="AI59" s="222">
        <f>IFERROR(IF(data!BH$92&gt;0,ROUND(data!BH$92,0),0),0)</f>
        <v>3253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152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152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6.36</v>
      </c>
      <c r="G61" s="222">
        <f>ROUND(data!BJ61,0)</f>
        <v>531936</v>
      </c>
      <c r="H61" s="222">
        <f>ROUND(data!BJ62,0)</f>
        <v>216120</v>
      </c>
      <c r="I61" s="222">
        <f>ROUND(data!BJ63,0)</f>
        <v>0</v>
      </c>
      <c r="J61" s="222">
        <f>ROUND(data!BJ64,0)</f>
        <v>4468</v>
      </c>
      <c r="K61" s="222">
        <f>ROUND(data!BJ65,0)</f>
        <v>1056</v>
      </c>
      <c r="L61" s="222">
        <f>ROUND(data!BJ66,0)</f>
        <v>5217</v>
      </c>
      <c r="M61" s="66">
        <f>ROUND(data!BJ67,0)</f>
        <v>65799</v>
      </c>
      <c r="N61" s="222">
        <f>ROUND(data!BJ68,0)</f>
        <v>0</v>
      </c>
      <c r="O61" s="222">
        <f>ROUND(data!BJ69,0)</f>
        <v>179594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179594</v>
      </c>
      <c r="AD61" s="222">
        <f>ROUND(data!BJ84,0)</f>
        <v>0</v>
      </c>
      <c r="AE61" s="222"/>
      <c r="AF61" s="222"/>
      <c r="AG61" s="222">
        <f>IF(data!BJ90&gt;0,ROUND(data!BJ90,0),0)</f>
        <v>1982</v>
      </c>
      <c r="AH61" s="222">
        <f>IFERROR(IF(data!BJ$91&gt;0,ROUND(data!BJ$91,0),0),0)</f>
        <v>0</v>
      </c>
      <c r="AI61" s="222">
        <f>IFERROR(IF(data!BJ$92&gt;0,ROUND(data!BJ$92,0),0),0)</f>
        <v>1982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152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22.43</v>
      </c>
      <c r="G62" s="222">
        <f>ROUND(data!BK61,0)</f>
        <v>1344506</v>
      </c>
      <c r="H62" s="222">
        <f>ROUND(data!BK62,0)</f>
        <v>625647</v>
      </c>
      <c r="I62" s="222">
        <f>ROUND(data!BK63,0)</f>
        <v>102504</v>
      </c>
      <c r="J62" s="222">
        <f>ROUND(data!BK64,0)</f>
        <v>18315</v>
      </c>
      <c r="K62" s="222">
        <f>ROUND(data!BK65,0)</f>
        <v>670</v>
      </c>
      <c r="L62" s="222">
        <f>ROUND(data!BK66,0)</f>
        <v>408346</v>
      </c>
      <c r="M62" s="66">
        <f>ROUND(data!BK67,0)</f>
        <v>90804</v>
      </c>
      <c r="N62" s="222">
        <f>ROUND(data!BK68,0)</f>
        <v>0</v>
      </c>
      <c r="O62" s="222">
        <f>ROUND(data!BK69,0)</f>
        <v>2904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2904</v>
      </c>
      <c r="AD62" s="222">
        <f>ROUND(data!BK84,0)</f>
        <v>11992</v>
      </c>
      <c r="AE62" s="222"/>
      <c r="AF62" s="222"/>
      <c r="AG62" s="222">
        <f>IF(data!BK90&gt;0,ROUND(data!BK90,0),0)</f>
        <v>2735</v>
      </c>
      <c r="AH62" s="222">
        <f>IFERROR(IF(data!BK$91&gt;0,ROUND(data!BK$91,0),0),0)</f>
        <v>0</v>
      </c>
      <c r="AI62" s="222">
        <f>IFERROR(IF(data!BK$92&gt;0,ROUND(data!BK$92,0),0),0)</f>
        <v>2735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152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23.21</v>
      </c>
      <c r="G63" s="222">
        <f>ROUND(data!BL61,0)</f>
        <v>1170967</v>
      </c>
      <c r="H63" s="222">
        <f>ROUND(data!BL62,0)</f>
        <v>527097</v>
      </c>
      <c r="I63" s="222">
        <f>ROUND(data!BL63,0)</f>
        <v>0</v>
      </c>
      <c r="J63" s="222">
        <f>ROUND(data!BL64,0)</f>
        <v>20616</v>
      </c>
      <c r="K63" s="222">
        <f>ROUND(data!BL65,0)</f>
        <v>0</v>
      </c>
      <c r="L63" s="222">
        <f>ROUND(data!BL66,0)</f>
        <v>15878</v>
      </c>
      <c r="M63" s="66">
        <f>ROUND(data!BL67,0)</f>
        <v>63823</v>
      </c>
      <c r="N63" s="222">
        <f>ROUND(data!BL68,0)</f>
        <v>0</v>
      </c>
      <c r="O63" s="222">
        <f>ROUND(data!BL69,0)</f>
        <v>3401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3401</v>
      </c>
      <c r="AD63" s="222">
        <f>ROUND(data!BL84,0)</f>
        <v>0</v>
      </c>
      <c r="AE63" s="222"/>
      <c r="AF63" s="222"/>
      <c r="AG63" s="222">
        <f>IF(data!BL90&gt;0,ROUND(data!BL90,0),0)</f>
        <v>1922</v>
      </c>
      <c r="AH63" s="222">
        <f>IFERROR(IF(data!BL$91&gt;0,ROUND(data!BL$91,0),0),0)</f>
        <v>0</v>
      </c>
      <c r="AI63" s="222">
        <f>IFERROR(IF(data!BL$92&gt;0,ROUND(data!BL$92,0),0),0)</f>
        <v>1922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152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152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11.22</v>
      </c>
      <c r="G65" s="222">
        <f>ROUND(data!BN61,0)</f>
        <v>2230098</v>
      </c>
      <c r="H65" s="222">
        <f>ROUND(data!BN62,0)</f>
        <v>599700</v>
      </c>
      <c r="I65" s="222">
        <f>ROUND(data!BN63,0)</f>
        <v>219302</v>
      </c>
      <c r="J65" s="222">
        <f>ROUND(data!BN64,0)</f>
        <v>38972</v>
      </c>
      <c r="K65" s="222">
        <f>ROUND(data!BN65,0)</f>
        <v>1079</v>
      </c>
      <c r="L65" s="222">
        <f>ROUND(data!BN66,0)</f>
        <v>729210</v>
      </c>
      <c r="M65" s="66">
        <f>ROUND(data!BN67,0)</f>
        <v>178736</v>
      </c>
      <c r="N65" s="222">
        <f>ROUND(data!BN68,0)</f>
        <v>0</v>
      </c>
      <c r="O65" s="222">
        <f>ROUND(data!BN69,0)</f>
        <v>471890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471890</v>
      </c>
      <c r="AD65" s="222">
        <f>ROUND(data!BN84,0)</f>
        <v>0</v>
      </c>
      <c r="AE65" s="222"/>
      <c r="AF65" s="222"/>
      <c r="AG65" s="222">
        <f>IF(data!BN90&gt;0,ROUND(data!BN90,0),0)</f>
        <v>5383</v>
      </c>
      <c r="AH65" s="222">
        <f>IFERROR(IF(data!BN$91&gt;0,ROUND(data!BN$91,0),0),0)</f>
        <v>0</v>
      </c>
      <c r="AI65" s="222">
        <f>IFERROR(IF(data!BN$92&gt;0,ROUND(data!BN$92,0),0),0)</f>
        <v>5383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152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1.96</v>
      </c>
      <c r="G66" s="222">
        <f>ROUND(data!BO61,0)</f>
        <v>175349</v>
      </c>
      <c r="H66" s="222">
        <f>ROUND(data!BO62,0)</f>
        <v>49676</v>
      </c>
      <c r="I66" s="222">
        <f>ROUND(data!BO63,0)</f>
        <v>0</v>
      </c>
      <c r="J66" s="222">
        <f>ROUND(data!BO64,0)</f>
        <v>12493</v>
      </c>
      <c r="K66" s="222">
        <f>ROUND(data!BO65,0)</f>
        <v>1049</v>
      </c>
      <c r="L66" s="222">
        <f>ROUND(data!BO66,0)</f>
        <v>22856</v>
      </c>
      <c r="M66" s="66">
        <f>ROUND(data!BO67,0)</f>
        <v>9274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279</v>
      </c>
      <c r="AH66" s="222">
        <f>IFERROR(IF(data!BO$91&gt;0,ROUND(data!BO$91,0),0),0)</f>
        <v>0</v>
      </c>
      <c r="AI66" s="222">
        <f>IFERROR(IF(data!BO$92&gt;0,ROUND(data!BO$92,0),0),0)</f>
        <v>279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152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3336</v>
      </c>
      <c r="K67" s="222">
        <f>ROUND(data!BP65,0)</f>
        <v>0</v>
      </c>
      <c r="L67" s="222">
        <f>ROUND(data!BP66,0)</f>
        <v>246991</v>
      </c>
      <c r="M67" s="66">
        <f>ROUND(data!BP67,0)</f>
        <v>94578</v>
      </c>
      <c r="N67" s="222">
        <f>ROUND(data!BP68,0)</f>
        <v>0</v>
      </c>
      <c r="O67" s="222">
        <f>ROUND(data!BP69,0)</f>
        <v>77800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77800</v>
      </c>
      <c r="AD67" s="222">
        <f>ROUND(data!BP84,0)</f>
        <v>0</v>
      </c>
      <c r="AE67" s="222"/>
      <c r="AF67" s="222"/>
      <c r="AG67" s="222">
        <f>IF(data!BP90&gt;0,ROUND(data!BP90,0),0)</f>
        <v>2848</v>
      </c>
      <c r="AH67" s="222">
        <f>IFERROR(IF(data!BP$91&gt;0,ROUND(data!BP$91,0),0),0)</f>
        <v>0</v>
      </c>
      <c r="AI67" s="222">
        <f>IFERROR(IF(data!BP$92&gt;0,ROUND(data!BP$92,0),0),0)</f>
        <v>2848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152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152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6.77</v>
      </c>
      <c r="G69" s="222">
        <f>ROUND(data!BR61,0)</f>
        <v>679043</v>
      </c>
      <c r="H69" s="222">
        <f>ROUND(data!BR62,0)</f>
        <v>213163</v>
      </c>
      <c r="I69" s="222">
        <f>ROUND(data!BR63,0)</f>
        <v>0</v>
      </c>
      <c r="J69" s="222">
        <f>ROUND(data!BR64,0)</f>
        <v>21680</v>
      </c>
      <c r="K69" s="222">
        <f>ROUND(data!BR65,0)</f>
        <v>1052</v>
      </c>
      <c r="L69" s="222">
        <f>ROUND(data!BR66,0)</f>
        <v>116036</v>
      </c>
      <c r="M69" s="66">
        <f>ROUND(data!BR67,0)</f>
        <v>70700</v>
      </c>
      <c r="N69" s="222">
        <f>ROUND(data!BR68,0)</f>
        <v>16310</v>
      </c>
      <c r="O69" s="222">
        <f>ROUND(data!BR69,0)</f>
        <v>295451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295451</v>
      </c>
      <c r="AD69" s="222">
        <f>ROUND(data!BR84,0)</f>
        <v>0</v>
      </c>
      <c r="AE69" s="222"/>
      <c r="AF69" s="222"/>
      <c r="AG69" s="222">
        <f>IF(data!BR90&gt;0,ROUND(data!BR90,0),0)</f>
        <v>2129</v>
      </c>
      <c r="AH69" s="222">
        <f>IFERROR(IF(data!BR$91&gt;0,ROUND(data!BR$91,0),0),0)</f>
        <v>0</v>
      </c>
      <c r="AI69" s="222">
        <f>IFERROR(IF(data!BR$92&gt;0,ROUND(data!BR$92,0),0),0)</f>
        <v>2129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152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152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152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152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22.17</v>
      </c>
      <c r="G73" s="222">
        <f>ROUND(data!BV61,0)</f>
        <v>1315662</v>
      </c>
      <c r="H73" s="222">
        <f>ROUND(data!BV62,0)</f>
        <v>641982</v>
      </c>
      <c r="I73" s="222">
        <f>ROUND(data!BV63,0)</f>
        <v>333178</v>
      </c>
      <c r="J73" s="222">
        <f>ROUND(data!BV64,0)</f>
        <v>667</v>
      </c>
      <c r="K73" s="222">
        <f>ROUND(data!BV65,0)</f>
        <v>386</v>
      </c>
      <c r="L73" s="222">
        <f>ROUND(data!BV66,0)</f>
        <v>0</v>
      </c>
      <c r="M73" s="66">
        <f>ROUND(data!BV67,0)</f>
        <v>150948</v>
      </c>
      <c r="N73" s="222">
        <f>ROUND(data!BV68,0)</f>
        <v>0</v>
      </c>
      <c r="O73" s="222">
        <f>ROUND(data!BV69,0)</f>
        <v>3954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3954</v>
      </c>
      <c r="AD73" s="222">
        <f>ROUND(data!BV84,0)</f>
        <v>21835</v>
      </c>
      <c r="AE73" s="222"/>
      <c r="AF73" s="222"/>
      <c r="AG73" s="222">
        <f>IF(data!BV90&gt;0,ROUND(data!BV90,0),0)</f>
        <v>4546</v>
      </c>
      <c r="AH73" s="222">
        <f>IF(data!BV91&gt;0,ROUND(data!BV91,0),0)</f>
        <v>0</v>
      </c>
      <c r="AI73" s="222">
        <f>IF(data!BV92&gt;0,ROUND(data!BV92,0),0)</f>
        <v>4546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152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2.0299999999999998</v>
      </c>
      <c r="G74" s="222">
        <f>ROUND(data!BW61,0)</f>
        <v>211391</v>
      </c>
      <c r="H74" s="222">
        <f>ROUND(data!BW62,0)</f>
        <v>66031</v>
      </c>
      <c r="I74" s="222">
        <f>ROUND(data!BW63,0)</f>
        <v>0</v>
      </c>
      <c r="J74" s="222">
        <f>ROUND(data!BW64,0)</f>
        <v>3295</v>
      </c>
      <c r="K74" s="222">
        <f>ROUND(data!BW65,0)</f>
        <v>0</v>
      </c>
      <c r="L74" s="222">
        <f>ROUND(data!BW66,0)</f>
        <v>31896</v>
      </c>
      <c r="M74" s="66">
        <f>ROUND(data!BW67,0)</f>
        <v>33932</v>
      </c>
      <c r="N74" s="222">
        <f>ROUND(data!BW68,0)</f>
        <v>780</v>
      </c>
      <c r="O74" s="222">
        <f>ROUND(data!BW69,0)</f>
        <v>45772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45772</v>
      </c>
      <c r="AD74" s="222">
        <f>ROUND(data!BW84,0)</f>
        <v>8575</v>
      </c>
      <c r="AE74" s="222"/>
      <c r="AF74" s="222"/>
      <c r="AG74" s="222">
        <f>IF(data!BW90&gt;0,ROUND(data!BW90,0),0)</f>
        <v>1022</v>
      </c>
      <c r="AH74" s="222">
        <f>IF(data!BW91&gt;0,ROUND(data!BW91,0),0)</f>
        <v>0</v>
      </c>
      <c r="AI74" s="222">
        <f>IF(data!BW92&gt;0,ROUND(data!BW92,0),0)</f>
        <v>1022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152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152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21.82</v>
      </c>
      <c r="G76" s="222">
        <f>ROUND(data!BY61,0)</f>
        <v>2379240</v>
      </c>
      <c r="H76" s="222">
        <f>ROUND(data!BY62,0)</f>
        <v>746917</v>
      </c>
      <c r="I76" s="222">
        <f>ROUND(data!BY63,0)</f>
        <v>0</v>
      </c>
      <c r="J76" s="222">
        <f>ROUND(data!BY64,0)</f>
        <v>6888</v>
      </c>
      <c r="K76" s="222">
        <f>ROUND(data!BY65,0)</f>
        <v>4703</v>
      </c>
      <c r="L76" s="222">
        <f>ROUND(data!BY66,0)</f>
        <v>363659</v>
      </c>
      <c r="M76" s="66">
        <f>ROUND(data!BY67,0)</f>
        <v>57468</v>
      </c>
      <c r="N76" s="222">
        <f>ROUND(data!BY68,0)</f>
        <v>0</v>
      </c>
      <c r="O76" s="222">
        <f>ROUND(data!BY69,0)</f>
        <v>15509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15509</v>
      </c>
      <c r="AD76" s="222">
        <f>ROUND(data!BY84,0)</f>
        <v>0</v>
      </c>
      <c r="AE76" s="222"/>
      <c r="AF76" s="222"/>
      <c r="AG76" s="222">
        <f>IF(data!BY90&gt;0,ROUND(data!BY90,0),0)</f>
        <v>1731</v>
      </c>
      <c r="AH76" s="222">
        <f>IF(data!BY91&gt;0,ROUND(data!BY91,0),0)</f>
        <v>0</v>
      </c>
      <c r="AI76" s="222">
        <f>IF(data!BY92&gt;0,ROUND(data!BY92,0),0)</f>
        <v>1731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152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152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1.21</v>
      </c>
      <c r="G78" s="222">
        <f>ROUND(data!CA61,0)</f>
        <v>91627</v>
      </c>
      <c r="H78" s="222">
        <f>ROUND(data!CA62,0)</f>
        <v>28999</v>
      </c>
      <c r="I78" s="222">
        <f>ROUND(data!CA63,0)</f>
        <v>0</v>
      </c>
      <c r="J78" s="222">
        <f>ROUND(data!CA64,0)</f>
        <v>8032</v>
      </c>
      <c r="K78" s="222">
        <f>ROUND(data!CA65,0)</f>
        <v>0</v>
      </c>
      <c r="L78" s="222">
        <f>ROUND(data!CA66,0)</f>
        <v>53934</v>
      </c>
      <c r="M78" s="66">
        <f>ROUND(data!CA67,0)</f>
        <v>34734</v>
      </c>
      <c r="N78" s="222">
        <f>ROUND(data!CA68,0)</f>
        <v>0</v>
      </c>
      <c r="O78" s="222">
        <f>ROUND(data!CA69,0)</f>
        <v>14946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14946</v>
      </c>
      <c r="AD78" s="222">
        <f>ROUND(data!CA84,0)</f>
        <v>0</v>
      </c>
      <c r="AE78" s="222"/>
      <c r="AF78" s="222"/>
      <c r="AG78" s="222">
        <f>IF(data!CA90&gt;0,ROUND(data!CA90,0),0)</f>
        <v>1046</v>
      </c>
      <c r="AH78" s="222">
        <f>IF(data!CA91&gt;0,ROUND(data!CA91,0),0)</f>
        <v>0</v>
      </c>
      <c r="AI78" s="222">
        <f>IF(data!CA92&gt;0,ROUND(data!CA92,0),0)</f>
        <v>1046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152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152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17.11</v>
      </c>
      <c r="G80" s="222">
        <f>ROUND(data!CC61,0)</f>
        <v>1554032</v>
      </c>
      <c r="H80" s="222">
        <f>ROUND(data!CC62,0)</f>
        <v>520975</v>
      </c>
      <c r="I80" s="222">
        <f>ROUND(data!CC63,0)</f>
        <v>1136568</v>
      </c>
      <c r="J80" s="222">
        <f>ROUND(data!CC64,0)</f>
        <v>182137</v>
      </c>
      <c r="K80" s="222">
        <f>ROUND(data!CC65,0)</f>
        <v>3966</v>
      </c>
      <c r="L80" s="222">
        <f>ROUND(data!CC66,0)</f>
        <v>1045654</v>
      </c>
      <c r="M80" s="66">
        <f>ROUND(data!CC67,0)</f>
        <v>606077</v>
      </c>
      <c r="N80" s="222">
        <f>ROUND(data!CC68,0)</f>
        <v>64214</v>
      </c>
      <c r="O80" s="222">
        <f>ROUND(data!CC69,0)</f>
        <v>47524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47524</v>
      </c>
      <c r="AD80" s="222">
        <f>ROUND(data!CC84,0)</f>
        <v>0</v>
      </c>
      <c r="AE80" s="222"/>
      <c r="AF80" s="222"/>
      <c r="AG80" s="222">
        <f>IF(data!CC90&gt;0,ROUND(data!CC90,0),0)</f>
        <v>18252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4" workbookViewId="0">
      <selection activeCell="E20" sqref="E20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Public Hospital District No 1 of Mason County, WA, DBA Mason Health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H-152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901 Mountain View Drive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69" t="s">
        <v>1366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">
        <v>1387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 t="s">
        <v>1384</v>
      </c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 t="s">
        <v>1383</v>
      </c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 t="s">
        <v>1385</v>
      </c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 t="s">
        <v>1383</v>
      </c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46" zoomScaleNormal="100" workbookViewId="0">
      <selection activeCell="H7" sqref="H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152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3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4">
        <f>'Prior Year'!C86</f>
        <v>3524204.0999999996</v>
      </c>
      <c r="C15" s="274">
        <f>data!C85</f>
        <v>3655028.39</v>
      </c>
      <c r="D15" s="274">
        <f>'Prior Year'!C60</f>
        <v>1166</v>
      </c>
      <c r="E15" s="1">
        <f>data!C59</f>
        <v>728</v>
      </c>
      <c r="F15" s="238">
        <f t="shared" ref="F15:F59" si="0">IF(B15=0,"",IF(D15=0,"",B15/D15))</f>
        <v>3022.4734991423666</v>
      </c>
      <c r="G15" s="238">
        <f t="shared" ref="G15:G29" si="1">IF(C15=0,"",IF(E15=0,"",C15/E15))</f>
        <v>5020.6433928571432</v>
      </c>
      <c r="H15" s="6">
        <f>IFERROR(IF(B15=0,"",IF(C15=0,"",IF(D15=0,"",IF(E15=0,"",IF(G15/F15-1&lt;-0.25,G15/F15-1,IF(G15/F15-1&gt;0.25,G15/F15-1,"")))))),"")</f>
        <v>0.66110418975774699</v>
      </c>
      <c r="I15" s="274" t="s">
        <v>1380</v>
      </c>
      <c r="M15" s="7"/>
    </row>
    <row r="16" spans="1:13" x14ac:dyDescent="0.3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ref="H16:H59" si="2">IFERROR(IF(B16=0,"",IF(C16=0,"",IF(D16=0,"",IF(E16=0,"",IF(G16/F16-1&lt;-0.25,G16/F16-1,IF(G16/F16-1&gt;0.25,G16/F16-1,"")))))),"")</f>
        <v/>
      </c>
      <c r="I16" s="274" t="str">
        <f t="shared" ref="I16:I79" si="3">IFERROR(IF(ABS(H16)&gt;0.25,"Please provide explanation for the fluctuation noted here",""),"")</f>
        <v/>
      </c>
      <c r="M16" s="7"/>
    </row>
    <row r="17" spans="1:13" x14ac:dyDescent="0.35">
      <c r="A17" s="1" t="s">
        <v>710</v>
      </c>
      <c r="B17" s="274">
        <f>'Prior Year'!E86</f>
        <v>8025096.5200000005</v>
      </c>
      <c r="C17" s="274">
        <f>data!E85</f>
        <v>8927794.2199999988</v>
      </c>
      <c r="D17" s="274">
        <f>'Prior Year'!E60</f>
        <v>4272</v>
      </c>
      <c r="E17" s="1">
        <f>data!E59</f>
        <v>4340</v>
      </c>
      <c r="F17" s="238">
        <f t="shared" si="0"/>
        <v>1878.5338295880151</v>
      </c>
      <c r="G17" s="238">
        <f t="shared" si="1"/>
        <v>2057.095442396313</v>
      </c>
      <c r="H17" s="6" t="str">
        <f t="shared" si="2"/>
        <v/>
      </c>
      <c r="I17" s="274" t="str">
        <f t="shared" si="3"/>
        <v/>
      </c>
      <c r="M17" s="7"/>
    </row>
    <row r="18" spans="1:13" x14ac:dyDescent="0.3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/>
      </c>
      <c r="M18" s="7"/>
    </row>
    <row r="19" spans="1:13" x14ac:dyDescent="0.35">
      <c r="A19" s="1" t="s">
        <v>712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4" t="str">
        <f t="shared" si="3"/>
        <v/>
      </c>
      <c r="M19" s="7"/>
    </row>
    <row r="20" spans="1:13" x14ac:dyDescent="0.35">
      <c r="A20" s="1" t="s">
        <v>713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4" t="str">
        <f t="shared" si="3"/>
        <v/>
      </c>
      <c r="M20" s="7"/>
    </row>
    <row r="21" spans="1:13" x14ac:dyDescent="0.3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/>
      </c>
      <c r="M21" s="7"/>
    </row>
    <row r="22" spans="1:13" x14ac:dyDescent="0.35">
      <c r="A22" s="1" t="s">
        <v>715</v>
      </c>
      <c r="B22" s="274">
        <f>'Prior Year'!J86</f>
        <v>50105.07</v>
      </c>
      <c r="C22" s="274">
        <f>data!J85</f>
        <v>62106.920000000006</v>
      </c>
      <c r="D22" s="274">
        <f>'Prior Year'!J60</f>
        <v>619</v>
      </c>
      <c r="E22" s="1">
        <f>data!J59</f>
        <v>624</v>
      </c>
      <c r="F22" s="238">
        <f t="shared" si="0"/>
        <v>80.945185783521808</v>
      </c>
      <c r="G22" s="238">
        <f t="shared" si="1"/>
        <v>99.530320512820524</v>
      </c>
      <c r="H22" s="6" t="str">
        <f t="shared" si="2"/>
        <v/>
      </c>
      <c r="I22" s="274"/>
      <c r="M22" s="7"/>
    </row>
    <row r="23" spans="1:13" x14ac:dyDescent="0.35">
      <c r="A23" s="1" t="s">
        <v>716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4" t="str">
        <f t="shared" si="3"/>
        <v/>
      </c>
      <c r="M23" s="7"/>
    </row>
    <row r="24" spans="1:13" x14ac:dyDescent="0.35">
      <c r="A24" s="1" t="s">
        <v>717</v>
      </c>
      <c r="B24" s="274">
        <f>'Prior Year'!L86</f>
        <v>0</v>
      </c>
      <c r="C24" s="274">
        <f>data!L85</f>
        <v>0</v>
      </c>
      <c r="D24" s="274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4" t="str">
        <f t="shared" si="3"/>
        <v/>
      </c>
      <c r="M24" s="7"/>
    </row>
    <row r="25" spans="1:13" x14ac:dyDescent="0.3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/>
      </c>
      <c r="M25" s="7"/>
    </row>
    <row r="26" spans="1:13" x14ac:dyDescent="0.3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 t="str">
        <f t="shared" si="3"/>
        <v/>
      </c>
      <c r="M26" s="7"/>
    </row>
    <row r="27" spans="1:13" x14ac:dyDescent="0.35">
      <c r="A27" s="1" t="s">
        <v>720</v>
      </c>
      <c r="B27" s="274">
        <f>'Prior Year'!O86</f>
        <v>119838.97000000002</v>
      </c>
      <c r="C27" s="274">
        <f>data!O85</f>
        <v>165283.84</v>
      </c>
      <c r="D27" s="274">
        <f>'Prior Year'!O60</f>
        <v>883</v>
      </c>
      <c r="E27" s="1">
        <f>data!O59</f>
        <v>1126</v>
      </c>
      <c r="F27" s="238">
        <f t="shared" si="0"/>
        <v>135.71797281993207</v>
      </c>
      <c r="G27" s="238">
        <f t="shared" si="1"/>
        <v>146.78849023090586</v>
      </c>
      <c r="H27" s="6" t="str">
        <f t="shared" si="2"/>
        <v/>
      </c>
      <c r="I27" s="274" t="str">
        <f t="shared" si="3"/>
        <v/>
      </c>
      <c r="M27" s="7"/>
    </row>
    <row r="28" spans="1:13" x14ac:dyDescent="0.35">
      <c r="A28" s="1" t="s">
        <v>721</v>
      </c>
      <c r="B28" s="274">
        <f>'Prior Year'!P86</f>
        <v>3508532.42</v>
      </c>
      <c r="C28" s="274">
        <f>data!P85</f>
        <v>3830538.63</v>
      </c>
      <c r="D28" s="274">
        <f>'Prior Year'!P60</f>
        <v>133270</v>
      </c>
      <c r="E28" s="1">
        <f>data!P59</f>
        <v>143380</v>
      </c>
      <c r="F28" s="238">
        <f t="shared" si="0"/>
        <v>26.326498236662413</v>
      </c>
      <c r="G28" s="238">
        <f t="shared" si="1"/>
        <v>26.715989887013528</v>
      </c>
      <c r="H28" s="6" t="str">
        <f t="shared" si="2"/>
        <v/>
      </c>
      <c r="I28" s="274" t="str">
        <f t="shared" si="3"/>
        <v/>
      </c>
      <c r="M28" s="7"/>
    </row>
    <row r="29" spans="1:13" x14ac:dyDescent="0.35">
      <c r="A29" s="1" t="s">
        <v>722</v>
      </c>
      <c r="B29" s="274">
        <f>'Prior Year'!Q86</f>
        <v>2229059.2899999996</v>
      </c>
      <c r="C29" s="274">
        <f>data!Q85</f>
        <v>2343233.27</v>
      </c>
      <c r="D29" s="274">
        <f>'Prior Year'!Q60</f>
        <v>121066</v>
      </c>
      <c r="E29" s="1">
        <f>data!Q59</f>
        <v>111131</v>
      </c>
      <c r="F29" s="238">
        <f t="shared" si="0"/>
        <v>18.411934729816792</v>
      </c>
      <c r="G29" s="238">
        <f t="shared" si="1"/>
        <v>21.085325156796934</v>
      </c>
      <c r="H29" s="6" t="str">
        <f t="shared" si="2"/>
        <v/>
      </c>
      <c r="I29" s="274" t="str">
        <f t="shared" si="3"/>
        <v/>
      </c>
      <c r="M29" s="7"/>
    </row>
    <row r="30" spans="1:13" x14ac:dyDescent="0.35">
      <c r="A30" s="1" t="s">
        <v>723</v>
      </c>
      <c r="B30" s="274">
        <f>'Prior Year'!R86</f>
        <v>-603344.76999999979</v>
      </c>
      <c r="C30" s="274">
        <f>data!R85</f>
        <v>-711391.23</v>
      </c>
      <c r="D30" s="274">
        <f>'Prior Year'!R60</f>
        <v>133270</v>
      </c>
      <c r="E30" s="1">
        <f>data!R59</f>
        <v>143380</v>
      </c>
      <c r="F30" s="238">
        <f t="shared" si="0"/>
        <v>-4.5272362122007941</v>
      </c>
      <c r="G30" s="238">
        <f>IFERROR(IF(C30=0,"",IF(E30=0,"",C30/E30)),"")</f>
        <v>-4.9615792300181338</v>
      </c>
      <c r="H30" s="6" t="str">
        <f t="shared" si="2"/>
        <v/>
      </c>
      <c r="I30" s="274" t="str">
        <f t="shared" si="3"/>
        <v/>
      </c>
      <c r="M30" s="7"/>
    </row>
    <row r="31" spans="1:13" x14ac:dyDescent="0.35">
      <c r="A31" s="1" t="s">
        <v>724</v>
      </c>
      <c r="B31" s="274">
        <f>'Prior Year'!S86</f>
        <v>4792810.1900000004</v>
      </c>
      <c r="C31" s="274">
        <f>data!S85</f>
        <v>6170444.9899999993</v>
      </c>
      <c r="D31" s="274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str">
        <f t="shared" si="2"/>
        <v/>
      </c>
      <c r="I31" s="274" t="str">
        <f t="shared" si="3"/>
        <v/>
      </c>
      <c r="M31" s="7"/>
    </row>
    <row r="32" spans="1:13" x14ac:dyDescent="0.35">
      <c r="A32" s="1" t="s">
        <v>726</v>
      </c>
      <c r="B32" s="274">
        <f>'Prior Year'!T86</f>
        <v>0</v>
      </c>
      <c r="C32" s="274">
        <f>data!T85</f>
        <v>0</v>
      </c>
      <c r="D32" s="274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4" t="str">
        <f t="shared" si="3"/>
        <v/>
      </c>
      <c r="M32" s="7"/>
    </row>
    <row r="33" spans="1:13" x14ac:dyDescent="0.35">
      <c r="A33" s="1" t="s">
        <v>727</v>
      </c>
      <c r="B33" s="274">
        <f>'Prior Year'!U86</f>
        <v>6057843.0399999982</v>
      </c>
      <c r="C33" s="274">
        <f>data!U85</f>
        <v>6621114.7199999988</v>
      </c>
      <c r="D33" s="274">
        <f>'Prior Year'!U60</f>
        <v>263013</v>
      </c>
      <c r="E33" s="1">
        <f>data!U59</f>
        <v>306871.00000000006</v>
      </c>
      <c r="F33" s="238">
        <f t="shared" si="0"/>
        <v>23.032485238372242</v>
      </c>
      <c r="G33" s="238">
        <f t="shared" ref="G33:G69" si="5">IF(C33=0,"",IF(E33=0,"",C33/E33))</f>
        <v>21.576215152295255</v>
      </c>
      <c r="H33" s="6" t="str">
        <f t="shared" si="2"/>
        <v/>
      </c>
      <c r="I33" s="274" t="str">
        <f t="shared" si="3"/>
        <v/>
      </c>
      <c r="M33" s="7"/>
    </row>
    <row r="34" spans="1:13" x14ac:dyDescent="0.35">
      <c r="A34" s="1" t="s">
        <v>728</v>
      </c>
      <c r="B34" s="274">
        <f>'Prior Year'!V86</f>
        <v>0</v>
      </c>
      <c r="C34" s="274">
        <f>data!V85</f>
        <v>0</v>
      </c>
      <c r="D34" s="274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4" t="str">
        <f t="shared" si="3"/>
        <v/>
      </c>
      <c r="M34" s="7"/>
    </row>
    <row r="35" spans="1:13" x14ac:dyDescent="0.35">
      <c r="A35" s="1" t="s">
        <v>729</v>
      </c>
      <c r="B35" s="274">
        <f>'Prior Year'!W86</f>
        <v>393870.17</v>
      </c>
      <c r="C35" s="274">
        <f>data!W85</f>
        <v>400713.95999999996</v>
      </c>
      <c r="D35" s="274">
        <f>'Prior Year'!W60</f>
        <v>2000</v>
      </c>
      <c r="E35" s="1">
        <f>data!W59</f>
        <v>1945</v>
      </c>
      <c r="F35" s="238">
        <f t="shared" si="0"/>
        <v>196.93508499999999</v>
      </c>
      <c r="G35" s="238">
        <f t="shared" si="5"/>
        <v>206.02260154241642</v>
      </c>
      <c r="H35" s="6" t="str">
        <f t="shared" si="2"/>
        <v/>
      </c>
      <c r="I35" s="274" t="str">
        <f t="shared" si="3"/>
        <v/>
      </c>
      <c r="M35" s="7"/>
    </row>
    <row r="36" spans="1:13" x14ac:dyDescent="0.35">
      <c r="A36" s="1" t="s">
        <v>730</v>
      </c>
      <c r="B36" s="274">
        <f>'Prior Year'!X86</f>
        <v>848893.0199999999</v>
      </c>
      <c r="C36" s="274">
        <f>data!X85</f>
        <v>915684.88</v>
      </c>
      <c r="D36" s="274">
        <f>'Prior Year'!X60</f>
        <v>33716</v>
      </c>
      <c r="E36" s="1">
        <f>data!X59</f>
        <v>36639</v>
      </c>
      <c r="F36" s="238">
        <f t="shared" si="0"/>
        <v>25.177750029659506</v>
      </c>
      <c r="G36" s="238">
        <f t="shared" si="5"/>
        <v>24.992081661617402</v>
      </c>
      <c r="H36" s="6" t="str">
        <f t="shared" si="2"/>
        <v/>
      </c>
      <c r="I36" s="274" t="str">
        <f t="shared" si="3"/>
        <v/>
      </c>
      <c r="M36" s="7"/>
    </row>
    <row r="37" spans="1:13" x14ac:dyDescent="0.35">
      <c r="A37" s="1" t="s">
        <v>731</v>
      </c>
      <c r="B37" s="274">
        <f>'Prior Year'!Y86</f>
        <v>3599502.8100000005</v>
      </c>
      <c r="C37" s="274">
        <f>data!Y85</f>
        <v>3913241.9800000009</v>
      </c>
      <c r="D37" s="274">
        <f>'Prior Year'!Y60</f>
        <v>23754</v>
      </c>
      <c r="E37" s="1">
        <f>data!Y59</f>
        <v>26121</v>
      </c>
      <c r="F37" s="238">
        <f t="shared" si="0"/>
        <v>151.53249179085631</v>
      </c>
      <c r="G37" s="238">
        <f t="shared" si="5"/>
        <v>149.81210443704302</v>
      </c>
      <c r="H37" s="6" t="str">
        <f t="shared" si="2"/>
        <v/>
      </c>
      <c r="I37" s="274" t="str">
        <f t="shared" si="3"/>
        <v/>
      </c>
      <c r="M37" s="7"/>
    </row>
    <row r="38" spans="1:13" x14ac:dyDescent="0.35">
      <c r="A38" s="1" t="s">
        <v>732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4" t="str">
        <f t="shared" si="3"/>
        <v/>
      </c>
      <c r="M38" s="7"/>
    </row>
    <row r="39" spans="1:13" x14ac:dyDescent="0.35">
      <c r="A39" s="1" t="s">
        <v>733</v>
      </c>
      <c r="B39" s="274">
        <f>'Prior Year'!AA86</f>
        <v>221992.58</v>
      </c>
      <c r="C39" s="274">
        <f>data!AA85</f>
        <v>113320.85999999999</v>
      </c>
      <c r="D39" s="274">
        <f>'Prior Year'!AA60</f>
        <v>1696</v>
      </c>
      <c r="E39" s="1">
        <f>data!AA59</f>
        <v>62</v>
      </c>
      <c r="F39" s="238">
        <f t="shared" si="0"/>
        <v>130.89185141509432</v>
      </c>
      <c r="G39" s="238">
        <f t="shared" si="5"/>
        <v>1827.7558064516127</v>
      </c>
      <c r="H39" s="6">
        <f t="shared" si="2"/>
        <v>12.963862430635904</v>
      </c>
      <c r="I39" s="274" t="s">
        <v>1381</v>
      </c>
      <c r="M39" s="7"/>
    </row>
    <row r="40" spans="1:13" x14ac:dyDescent="0.35">
      <c r="A40" s="1" t="s">
        <v>734</v>
      </c>
      <c r="B40" s="274">
        <f>'Prior Year'!AB86</f>
        <v>2045529.9499999997</v>
      </c>
      <c r="C40" s="274">
        <f>data!AB85</f>
        <v>2733655.4199999985</v>
      </c>
      <c r="D40" s="274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str">
        <f t="shared" si="2"/>
        <v/>
      </c>
      <c r="I40" s="274" t="str">
        <f t="shared" si="3"/>
        <v/>
      </c>
      <c r="M40" s="7"/>
    </row>
    <row r="41" spans="1:13" x14ac:dyDescent="0.35">
      <c r="A41" s="1" t="s">
        <v>735</v>
      </c>
      <c r="B41" s="274">
        <f>'Prior Year'!AC86</f>
        <v>1292239.31</v>
      </c>
      <c r="C41" s="274">
        <f>data!AC85</f>
        <v>1497624.0099999998</v>
      </c>
      <c r="D41" s="274">
        <f>'Prior Year'!AC60</f>
        <v>5325</v>
      </c>
      <c r="E41" s="1">
        <f>data!AC59</f>
        <v>4269</v>
      </c>
      <c r="F41" s="238">
        <f t="shared" si="0"/>
        <v>242.67404882629108</v>
      </c>
      <c r="G41" s="238">
        <f t="shared" si="5"/>
        <v>350.81377605996715</v>
      </c>
      <c r="H41" s="6">
        <f t="shared" si="2"/>
        <v>0.44561718797993</v>
      </c>
      <c r="I41" s="274" t="s">
        <v>1382</v>
      </c>
      <c r="M41" s="7"/>
    </row>
    <row r="42" spans="1:13" x14ac:dyDescent="0.35">
      <c r="A42" s="1" t="s">
        <v>736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4" t="str">
        <f t="shared" si="3"/>
        <v/>
      </c>
      <c r="M42" s="7"/>
    </row>
    <row r="43" spans="1:13" x14ac:dyDescent="0.35">
      <c r="A43" s="1" t="s">
        <v>737</v>
      </c>
      <c r="B43" s="274">
        <f>'Prior Year'!AE86</f>
        <v>2509130.9500000002</v>
      </c>
      <c r="C43" s="274">
        <f>data!AE85</f>
        <v>2733638.1400000006</v>
      </c>
      <c r="D43" s="274">
        <f>'Prior Year'!AE60</f>
        <v>20118</v>
      </c>
      <c r="E43" s="1">
        <f>data!AE59</f>
        <v>19464</v>
      </c>
      <c r="F43" s="238">
        <f t="shared" si="0"/>
        <v>124.72069539715679</v>
      </c>
      <c r="G43" s="238">
        <f t="shared" si="5"/>
        <v>140.44585593916977</v>
      </c>
      <c r="H43" s="6" t="str">
        <f t="shared" si="2"/>
        <v/>
      </c>
      <c r="I43" s="274" t="str">
        <f t="shared" si="3"/>
        <v/>
      </c>
      <c r="M43" s="7"/>
    </row>
    <row r="44" spans="1:13" x14ac:dyDescent="0.35">
      <c r="A44" s="1" t="s">
        <v>738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4" t="str">
        <f t="shared" si="3"/>
        <v/>
      </c>
      <c r="M44" s="7"/>
    </row>
    <row r="45" spans="1:13" x14ac:dyDescent="0.35">
      <c r="A45" s="1" t="s">
        <v>739</v>
      </c>
      <c r="B45" s="274">
        <f>'Prior Year'!AG86</f>
        <v>9024341.1300000008</v>
      </c>
      <c r="C45" s="274">
        <f>data!AG85</f>
        <v>9283791.8099999968</v>
      </c>
      <c r="D45" s="274">
        <f>'Prior Year'!AG60</f>
        <v>17349</v>
      </c>
      <c r="E45" s="1">
        <f>data!AG59</f>
        <v>17670</v>
      </c>
      <c r="F45" s="238">
        <f t="shared" si="0"/>
        <v>520.16491613349478</v>
      </c>
      <c r="G45" s="238">
        <f t="shared" si="5"/>
        <v>525.3985178268249</v>
      </c>
      <c r="H45" s="6" t="str">
        <f t="shared" si="2"/>
        <v/>
      </c>
      <c r="I45" s="274" t="str">
        <f t="shared" si="3"/>
        <v/>
      </c>
      <c r="M45" s="7"/>
    </row>
    <row r="46" spans="1:13" x14ac:dyDescent="0.35">
      <c r="A46" s="1" t="s">
        <v>740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4" t="str">
        <f t="shared" si="3"/>
        <v/>
      </c>
      <c r="M46" s="7"/>
    </row>
    <row r="47" spans="1:13" x14ac:dyDescent="0.35">
      <c r="A47" s="1" t="s">
        <v>741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4" t="str">
        <f t="shared" si="3"/>
        <v/>
      </c>
      <c r="M47" s="7"/>
    </row>
    <row r="48" spans="1:13" x14ac:dyDescent="0.35">
      <c r="A48" s="1" t="s">
        <v>742</v>
      </c>
      <c r="B48" s="274">
        <f>'Prior Year'!AJ86</f>
        <v>0</v>
      </c>
      <c r="C48" s="274">
        <f>data!AJ85</f>
        <v>0</v>
      </c>
      <c r="D48" s="274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4" t="str">
        <f t="shared" si="3"/>
        <v/>
      </c>
      <c r="M48" s="7"/>
    </row>
    <row r="49" spans="1:13" x14ac:dyDescent="0.35">
      <c r="A49" s="1" t="s">
        <v>743</v>
      </c>
      <c r="B49" s="274">
        <f>'Prior Year'!AK86</f>
        <v>0</v>
      </c>
      <c r="C49" s="274">
        <f>data!AK85</f>
        <v>0</v>
      </c>
      <c r="D49" s="274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4" t="str">
        <f t="shared" si="3"/>
        <v/>
      </c>
      <c r="M49" s="7"/>
    </row>
    <row r="50" spans="1:13" x14ac:dyDescent="0.35">
      <c r="A50" s="1" t="s">
        <v>744</v>
      </c>
      <c r="B50" s="274">
        <f>'Prior Year'!AL86</f>
        <v>0</v>
      </c>
      <c r="C50" s="274">
        <f>data!AL85</f>
        <v>0</v>
      </c>
      <c r="D50" s="274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4" t="str">
        <f t="shared" si="3"/>
        <v/>
      </c>
      <c r="M50" s="7"/>
    </row>
    <row r="51" spans="1:13" x14ac:dyDescent="0.35">
      <c r="A51" s="1" t="s">
        <v>745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4" t="str">
        <f t="shared" si="3"/>
        <v/>
      </c>
      <c r="M51" s="7"/>
    </row>
    <row r="52" spans="1:13" x14ac:dyDescent="0.35">
      <c r="A52" s="1" t="s">
        <v>746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4" t="str">
        <f t="shared" si="3"/>
        <v/>
      </c>
      <c r="M52" s="7"/>
    </row>
    <row r="53" spans="1:13" x14ac:dyDescent="0.35">
      <c r="A53" s="1" t="s">
        <v>747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4" t="str">
        <f t="shared" si="3"/>
        <v/>
      </c>
      <c r="M53" s="7"/>
    </row>
    <row r="54" spans="1:13" x14ac:dyDescent="0.35">
      <c r="A54" s="1" t="s">
        <v>748</v>
      </c>
      <c r="B54" s="274">
        <f>'Prior Year'!AP86</f>
        <v>27980277.130000003</v>
      </c>
      <c r="C54" s="274">
        <f>data!AP85</f>
        <v>29485748.640000001</v>
      </c>
      <c r="D54" s="274">
        <f>'Prior Year'!AP60</f>
        <v>84202</v>
      </c>
      <c r="E54" s="1">
        <f>data!AP59</f>
        <v>90556</v>
      </c>
      <c r="F54" s="238">
        <f t="shared" si="0"/>
        <v>332.29943623666901</v>
      </c>
      <c r="G54" s="238">
        <f t="shared" si="5"/>
        <v>325.60789610848536</v>
      </c>
      <c r="H54" s="6" t="str">
        <f t="shared" si="2"/>
        <v/>
      </c>
      <c r="I54" s="274" t="str">
        <f t="shared" si="3"/>
        <v/>
      </c>
      <c r="M54" s="7"/>
    </row>
    <row r="55" spans="1:13" x14ac:dyDescent="0.35">
      <c r="A55" s="1" t="s">
        <v>749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4" t="str">
        <f t="shared" si="3"/>
        <v/>
      </c>
      <c r="M55" s="7"/>
    </row>
    <row r="56" spans="1:13" x14ac:dyDescent="0.35">
      <c r="A56" s="1" t="s">
        <v>750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4" t="str">
        <f t="shared" si="3"/>
        <v/>
      </c>
      <c r="M56" s="7"/>
    </row>
    <row r="57" spans="1:13" x14ac:dyDescent="0.35">
      <c r="A57" s="1" t="s">
        <v>751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4" t="str">
        <f t="shared" si="3"/>
        <v/>
      </c>
      <c r="M57" s="7"/>
    </row>
    <row r="58" spans="1:13" x14ac:dyDescent="0.35">
      <c r="A58" s="1" t="s">
        <v>752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4" t="str">
        <f t="shared" si="3"/>
        <v/>
      </c>
      <c r="M58" s="7"/>
    </row>
    <row r="59" spans="1:13" x14ac:dyDescent="0.35">
      <c r="A59" s="1" t="s">
        <v>753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4" t="str">
        <f t="shared" si="3"/>
        <v/>
      </c>
      <c r="M59" s="7"/>
    </row>
    <row r="60" spans="1:13" x14ac:dyDescent="0.35">
      <c r="A60" s="1" t="s">
        <v>754</v>
      </c>
      <c r="B60" s="274">
        <f>'Prior Year'!AV86</f>
        <v>401403.51999999996</v>
      </c>
      <c r="C60" s="274">
        <f>data!AV85</f>
        <v>556905.90000000014</v>
      </c>
      <c r="D60" s="274" t="s">
        <v>725</v>
      </c>
      <c r="E60" s="4" t="s">
        <v>725</v>
      </c>
      <c r="F60" s="238"/>
      <c r="G60" s="238"/>
      <c r="H60" s="6"/>
      <c r="I60" s="274" t="str">
        <f t="shared" si="3"/>
        <v/>
      </c>
      <c r="M60" s="7"/>
    </row>
    <row r="61" spans="1:13" x14ac:dyDescent="0.35">
      <c r="A61" s="1" t="s">
        <v>755</v>
      </c>
      <c r="B61" s="274">
        <f>'Prior Year'!AW86</f>
        <v>0</v>
      </c>
      <c r="C61" s="274">
        <f>data!AW85</f>
        <v>0</v>
      </c>
      <c r="D61" s="274" t="s">
        <v>725</v>
      </c>
      <c r="E61" s="4" t="s">
        <v>725</v>
      </c>
      <c r="F61" s="238"/>
      <c r="G61" s="238"/>
      <c r="H61" s="6"/>
      <c r="I61" s="274" t="str">
        <f t="shared" si="3"/>
        <v/>
      </c>
      <c r="M61" s="7"/>
    </row>
    <row r="62" spans="1:13" x14ac:dyDescent="0.35">
      <c r="A62" s="1" t="s">
        <v>756</v>
      </c>
      <c r="B62" s="274">
        <f>'Prior Year'!AX86</f>
        <v>0</v>
      </c>
      <c r="C62" s="274">
        <f>data!AX85</f>
        <v>0</v>
      </c>
      <c r="D62" s="274" t="s">
        <v>725</v>
      </c>
      <c r="E62" s="4" t="s">
        <v>725</v>
      </c>
      <c r="F62" s="238"/>
      <c r="G62" s="238"/>
      <c r="H62" s="6"/>
      <c r="I62" s="274" t="str">
        <f t="shared" si="3"/>
        <v/>
      </c>
      <c r="M62" s="7"/>
    </row>
    <row r="63" spans="1:13" x14ac:dyDescent="0.35">
      <c r="A63" s="1" t="s">
        <v>757</v>
      </c>
      <c r="B63" s="274">
        <f>'Prior Year'!AY86</f>
        <v>1789265.26</v>
      </c>
      <c r="C63" s="274">
        <f>data!AY85</f>
        <v>1874813.8999999992</v>
      </c>
      <c r="D63" s="274">
        <f>'Prior Year'!AY60</f>
        <v>33137.114391143914</v>
      </c>
      <c r="E63" s="1">
        <f>data!AY59</f>
        <v>33431.114391143914</v>
      </c>
      <c r="F63" s="238">
        <f>IF(B63=0,"",IF(D63=0,"",B63/D63))</f>
        <v>53.995807808726745</v>
      </c>
      <c r="G63" s="238">
        <f t="shared" si="5"/>
        <v>56.079910411142251</v>
      </c>
      <c r="H63" s="6" t="str">
        <f>IF(B63=0,"",IF(C63=0,"",IF(D63=0,"",IF(E63=0,"",IF(G63/F63-1&lt;-0.25,G63/F63-1,IF(G63/F63-1&gt;0.25,G63/F63-1,""))))))</f>
        <v/>
      </c>
      <c r="I63" s="274" t="str">
        <f t="shared" si="3"/>
        <v/>
      </c>
      <c r="M63" s="7"/>
    </row>
    <row r="64" spans="1:13" x14ac:dyDescent="0.35">
      <c r="A64" s="1" t="s">
        <v>758</v>
      </c>
      <c r="B64" s="274">
        <f>'Prior Year'!AZ86</f>
        <v>0</v>
      </c>
      <c r="C64" s="274">
        <f>data!AZ85</f>
        <v>0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4" t="str">
        <f t="shared" si="3"/>
        <v/>
      </c>
      <c r="M64" s="7"/>
    </row>
    <row r="65" spans="1:13" x14ac:dyDescent="0.35">
      <c r="A65" s="1" t="s">
        <v>759</v>
      </c>
      <c r="B65" s="274">
        <f>'Prior Year'!BA86</f>
        <v>371676.05</v>
      </c>
      <c r="C65" s="274">
        <f>data!BA85</f>
        <v>338993.61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3"/>
        <v/>
      </c>
      <c r="M65" s="7"/>
    </row>
    <row r="66" spans="1:13" x14ac:dyDescent="0.35">
      <c r="A66" s="1" t="s">
        <v>760</v>
      </c>
      <c r="B66" s="274">
        <f>'Prior Year'!BB86</f>
        <v>0</v>
      </c>
      <c r="C66" s="274">
        <f>data!BB85</f>
        <v>0</v>
      </c>
      <c r="D66" s="274" t="s">
        <v>725</v>
      </c>
      <c r="E66" s="4" t="s">
        <v>725</v>
      </c>
      <c r="F66" s="238"/>
      <c r="G66" s="238" t="str">
        <f t="shared" ref="G66:G68" si="6">IFERROR(IF(C66=0,"",IF(E66=0,"",C66/E66)),"")</f>
        <v/>
      </c>
      <c r="H66" s="6"/>
      <c r="I66" s="274" t="str">
        <f t="shared" si="3"/>
        <v/>
      </c>
      <c r="M66" s="7"/>
    </row>
    <row r="67" spans="1:13" x14ac:dyDescent="0.35">
      <c r="A67" s="1" t="s">
        <v>761</v>
      </c>
      <c r="B67" s="274">
        <f>'Prior Year'!BC86</f>
        <v>0</v>
      </c>
      <c r="C67" s="274">
        <f>data!BC85</f>
        <v>0</v>
      </c>
      <c r="D67" s="274" t="s">
        <v>725</v>
      </c>
      <c r="E67" s="4" t="s">
        <v>725</v>
      </c>
      <c r="F67" s="238"/>
      <c r="G67" s="238" t="str">
        <f t="shared" si="6"/>
        <v/>
      </c>
      <c r="H67" s="6"/>
      <c r="I67" s="274" t="str">
        <f t="shared" si="3"/>
        <v/>
      </c>
      <c r="M67" s="7"/>
    </row>
    <row r="68" spans="1:13" x14ac:dyDescent="0.35">
      <c r="A68" s="1" t="s">
        <v>762</v>
      </c>
      <c r="B68" s="274">
        <f>'Prior Year'!BD86</f>
        <v>666415.60000000009</v>
      </c>
      <c r="C68" s="274">
        <f>data!BD85</f>
        <v>894008.11</v>
      </c>
      <c r="D68" s="274" t="s">
        <v>725</v>
      </c>
      <c r="E68" s="4" t="s">
        <v>725</v>
      </c>
      <c r="F68" s="238"/>
      <c r="G68" s="238" t="str">
        <f t="shared" si="6"/>
        <v/>
      </c>
      <c r="H68" s="6"/>
      <c r="I68" s="274" t="str">
        <f t="shared" si="3"/>
        <v/>
      </c>
      <c r="M68" s="7"/>
    </row>
    <row r="69" spans="1:13" x14ac:dyDescent="0.35">
      <c r="A69" s="1" t="s">
        <v>763</v>
      </c>
      <c r="B69" s="274">
        <f>'Prior Year'!BE86</f>
        <v>3295777.3100000005</v>
      </c>
      <c r="C69" s="274">
        <f>data!BE85</f>
        <v>3584233.46</v>
      </c>
      <c r="D69" s="274">
        <f>'Prior Year'!BE60</f>
        <v>241486.90000000002</v>
      </c>
      <c r="E69" s="1">
        <f>data!BE59</f>
        <v>241487</v>
      </c>
      <c r="F69" s="238">
        <f>IF(B69=0,"",IF(D69=0,"",B69/D69))</f>
        <v>13.647851332722396</v>
      </c>
      <c r="G69" s="238">
        <f t="shared" si="5"/>
        <v>14.842345385051782</v>
      </c>
      <c r="H69" s="6" t="str">
        <f>IF(B69=0,"",IF(C69=0,"",IF(D69=0,"",IF(E69=0,"",IF(G69/F69-1&lt;-0.25,G69/F69-1,IF(G69/F69-1&gt;0.25,G69/F69-1,""))))))</f>
        <v/>
      </c>
      <c r="I69" s="274" t="str">
        <f>IFERROR(IF(ABS(H69)&gt;0.25,"Please provide explanation for the fluctuation noted here",""),"")</f>
        <v/>
      </c>
      <c r="M69" s="7"/>
    </row>
    <row r="70" spans="1:13" x14ac:dyDescent="0.35">
      <c r="A70" s="1" t="s">
        <v>764</v>
      </c>
      <c r="B70" s="274">
        <f>'Prior Year'!BF86</f>
        <v>2424851.71</v>
      </c>
      <c r="C70" s="274">
        <f>data!BF85</f>
        <v>2727093.1700000004</v>
      </c>
      <c r="D70" s="274" t="s">
        <v>725</v>
      </c>
      <c r="E70" s="4" t="s">
        <v>725</v>
      </c>
      <c r="F70" s="238" t="str">
        <f t="shared" ref="F70:F94" si="7">IFERROR(IF(B70=0,"",IF(D70=0,"",B70/D70)),"")</f>
        <v/>
      </c>
      <c r="G70" s="238" t="str">
        <f t="shared" ref="G70:G94" si="8">IFERROR(IF(C70=0,"",IF(E70=0,"",C70/E70)),"")</f>
        <v/>
      </c>
      <c r="H70" s="6" t="str">
        <f t="shared" ref="H70:H94" si="9">IFERROR(IF(B70=0,"",IF(C70=0,"",IF(D70=0,"",IF(E70=0,"",IF(G70/F70-1&lt;-0.25,G70/F70-1,IF(G70/F70-1&gt;0.25,G70/F70-1,"")))))),"")</f>
        <v/>
      </c>
      <c r="I70" s="274" t="str">
        <f t="shared" si="3"/>
        <v/>
      </c>
      <c r="M70" s="7"/>
    </row>
    <row r="71" spans="1:13" x14ac:dyDescent="0.35">
      <c r="A71" s="1" t="s">
        <v>765</v>
      </c>
      <c r="B71" s="274">
        <f>'Prior Year'!BG86</f>
        <v>0</v>
      </c>
      <c r="C71" s="274">
        <f>data!BG85</f>
        <v>0</v>
      </c>
      <c r="D71" s="274" t="s">
        <v>725</v>
      </c>
      <c r="E71" s="4" t="s">
        <v>725</v>
      </c>
      <c r="F71" s="238" t="str">
        <f t="shared" si="7"/>
        <v/>
      </c>
      <c r="G71" s="238" t="str">
        <f t="shared" si="8"/>
        <v/>
      </c>
      <c r="H71" s="6" t="str">
        <f t="shared" si="9"/>
        <v/>
      </c>
      <c r="I71" s="274" t="str">
        <f t="shared" si="3"/>
        <v/>
      </c>
      <c r="M71" s="7"/>
    </row>
    <row r="72" spans="1:13" x14ac:dyDescent="0.35">
      <c r="A72" s="1" t="s">
        <v>766</v>
      </c>
      <c r="B72" s="274">
        <f>'Prior Year'!BH86</f>
        <v>9341569.9700000007</v>
      </c>
      <c r="C72" s="274">
        <f>data!BH85</f>
        <v>9404889.5699999984</v>
      </c>
      <c r="D72" s="274" t="s">
        <v>725</v>
      </c>
      <c r="E72" s="4" t="s">
        <v>725</v>
      </c>
      <c r="F72" s="238" t="str">
        <f t="shared" si="7"/>
        <v/>
      </c>
      <c r="G72" s="238" t="str">
        <f t="shared" si="8"/>
        <v/>
      </c>
      <c r="H72" s="6" t="str">
        <f t="shared" si="9"/>
        <v/>
      </c>
      <c r="I72" s="274" t="str">
        <f t="shared" si="3"/>
        <v/>
      </c>
      <c r="M72" s="7"/>
    </row>
    <row r="73" spans="1:13" x14ac:dyDescent="0.35">
      <c r="A73" s="1" t="s">
        <v>767</v>
      </c>
      <c r="B73" s="274">
        <f>'Prior Year'!BI86</f>
        <v>0</v>
      </c>
      <c r="C73" s="274">
        <f>data!BI85</f>
        <v>0</v>
      </c>
      <c r="D73" s="274" t="s">
        <v>725</v>
      </c>
      <c r="E73" s="4" t="s">
        <v>725</v>
      </c>
      <c r="F73" s="238" t="str">
        <f t="shared" si="7"/>
        <v/>
      </c>
      <c r="G73" s="238" t="str">
        <f t="shared" si="8"/>
        <v/>
      </c>
      <c r="H73" s="6" t="str">
        <f t="shared" si="9"/>
        <v/>
      </c>
      <c r="I73" s="274" t="str">
        <f t="shared" si="3"/>
        <v/>
      </c>
      <c r="M73" s="7"/>
    </row>
    <row r="74" spans="1:13" x14ac:dyDescent="0.35">
      <c r="A74" s="1" t="s">
        <v>768</v>
      </c>
      <c r="B74" s="274">
        <f>'Prior Year'!BJ86</f>
        <v>959372.15999999992</v>
      </c>
      <c r="C74" s="274">
        <f>data!BJ85</f>
        <v>1004189.66</v>
      </c>
      <c r="D74" s="274" t="s">
        <v>725</v>
      </c>
      <c r="E74" s="4" t="s">
        <v>725</v>
      </c>
      <c r="F74" s="238" t="str">
        <f t="shared" si="7"/>
        <v/>
      </c>
      <c r="G74" s="238" t="str">
        <f t="shared" si="8"/>
        <v/>
      </c>
      <c r="H74" s="6" t="str">
        <f t="shared" si="9"/>
        <v/>
      </c>
      <c r="I74" s="274" t="str">
        <f t="shared" si="3"/>
        <v/>
      </c>
      <c r="M74" s="7"/>
    </row>
    <row r="75" spans="1:13" x14ac:dyDescent="0.35">
      <c r="A75" s="1" t="s">
        <v>769</v>
      </c>
      <c r="B75" s="274">
        <f>'Prior Year'!BK86</f>
        <v>2455713.7700000005</v>
      </c>
      <c r="C75" s="274">
        <f>data!BK85</f>
        <v>2581703.9099999997</v>
      </c>
      <c r="D75" s="274" t="s">
        <v>725</v>
      </c>
      <c r="E75" s="4" t="s">
        <v>725</v>
      </c>
      <c r="F75" s="238" t="str">
        <f t="shared" si="7"/>
        <v/>
      </c>
      <c r="G75" s="238" t="str">
        <f t="shared" si="8"/>
        <v/>
      </c>
      <c r="H75" s="6" t="str">
        <f t="shared" si="9"/>
        <v/>
      </c>
      <c r="I75" s="274" t="str">
        <f t="shared" si="3"/>
        <v/>
      </c>
      <c r="M75" s="7"/>
    </row>
    <row r="76" spans="1:13" x14ac:dyDescent="0.35">
      <c r="A76" s="1" t="s">
        <v>770</v>
      </c>
      <c r="B76" s="274">
        <f>'Prior Year'!BL86</f>
        <v>1805850.3</v>
      </c>
      <c r="C76" s="274">
        <f>data!BL85</f>
        <v>1801782.01</v>
      </c>
      <c r="D76" s="274" t="s">
        <v>725</v>
      </c>
      <c r="E76" s="4" t="s">
        <v>725</v>
      </c>
      <c r="F76" s="238" t="str">
        <f t="shared" si="7"/>
        <v/>
      </c>
      <c r="G76" s="238" t="str">
        <f t="shared" si="8"/>
        <v/>
      </c>
      <c r="H76" s="6" t="str">
        <f t="shared" si="9"/>
        <v/>
      </c>
      <c r="I76" s="274" t="str">
        <f t="shared" si="3"/>
        <v/>
      </c>
      <c r="M76" s="7"/>
    </row>
    <row r="77" spans="1:13" x14ac:dyDescent="0.35">
      <c r="A77" s="1" t="s">
        <v>771</v>
      </c>
      <c r="B77" s="274">
        <f>'Prior Year'!BM86</f>
        <v>0</v>
      </c>
      <c r="C77" s="274">
        <f>data!BM85</f>
        <v>0</v>
      </c>
      <c r="D77" s="274" t="s">
        <v>725</v>
      </c>
      <c r="E77" s="4" t="s">
        <v>725</v>
      </c>
      <c r="F77" s="238" t="str">
        <f t="shared" si="7"/>
        <v/>
      </c>
      <c r="G77" s="238" t="str">
        <f t="shared" si="8"/>
        <v/>
      </c>
      <c r="H77" s="6" t="str">
        <f t="shared" si="9"/>
        <v/>
      </c>
      <c r="I77" s="274" t="str">
        <f t="shared" si="3"/>
        <v/>
      </c>
      <c r="M77" s="7"/>
    </row>
    <row r="78" spans="1:13" x14ac:dyDescent="0.35">
      <c r="A78" s="1" t="s">
        <v>772</v>
      </c>
      <c r="B78" s="274">
        <f>'Prior Year'!BN86</f>
        <v>3654784.0500000003</v>
      </c>
      <c r="C78" s="274">
        <f>data!BN85</f>
        <v>4468985.51</v>
      </c>
      <c r="D78" s="274" t="s">
        <v>725</v>
      </c>
      <c r="E78" s="4" t="s">
        <v>725</v>
      </c>
      <c r="F78" s="238" t="str">
        <f t="shared" si="7"/>
        <v/>
      </c>
      <c r="G78" s="238" t="str">
        <f t="shared" si="8"/>
        <v/>
      </c>
      <c r="H78" s="6" t="str">
        <f t="shared" si="9"/>
        <v/>
      </c>
      <c r="I78" s="274" t="str">
        <f t="shared" si="3"/>
        <v/>
      </c>
      <c r="M78" s="7"/>
    </row>
    <row r="79" spans="1:13" x14ac:dyDescent="0.35">
      <c r="A79" s="1" t="s">
        <v>773</v>
      </c>
      <c r="B79" s="274">
        <f>'Prior Year'!BO86</f>
        <v>263542.71000000002</v>
      </c>
      <c r="C79" s="274">
        <f>data!BO85</f>
        <v>270697.24</v>
      </c>
      <c r="D79" s="274" t="s">
        <v>725</v>
      </c>
      <c r="E79" s="4" t="s">
        <v>725</v>
      </c>
      <c r="F79" s="238" t="str">
        <f t="shared" si="7"/>
        <v/>
      </c>
      <c r="G79" s="238" t="str">
        <f t="shared" si="8"/>
        <v/>
      </c>
      <c r="H79" s="6" t="str">
        <f t="shared" si="9"/>
        <v/>
      </c>
      <c r="I79" s="274" t="str">
        <f t="shared" si="3"/>
        <v/>
      </c>
      <c r="M79" s="7"/>
    </row>
    <row r="80" spans="1:13" x14ac:dyDescent="0.35">
      <c r="A80" s="1" t="s">
        <v>774</v>
      </c>
      <c r="B80" s="274">
        <f>'Prior Year'!BP86</f>
        <v>319857.87000000005</v>
      </c>
      <c r="C80" s="274">
        <f>data!BP85</f>
        <v>422705.93000000005</v>
      </c>
      <c r="D80" s="274" t="s">
        <v>725</v>
      </c>
      <c r="E80" s="4" t="s">
        <v>725</v>
      </c>
      <c r="F80" s="238" t="str">
        <f t="shared" si="7"/>
        <v/>
      </c>
      <c r="G80" s="238" t="str">
        <f t="shared" si="8"/>
        <v/>
      </c>
      <c r="H80" s="6" t="str">
        <f t="shared" si="9"/>
        <v/>
      </c>
      <c r="I80" s="274" t="str">
        <f t="shared" ref="I80:I94" si="10">IFERROR(IF(ABS(H80)&gt;0.25,"Please provide explanation for the fluctuation noted here",""),"")</f>
        <v/>
      </c>
      <c r="M80" s="7"/>
    </row>
    <row r="81" spans="1:13" x14ac:dyDescent="0.35">
      <c r="A81" s="1" t="s">
        <v>775</v>
      </c>
      <c r="B81" s="274">
        <f>'Prior Year'!BQ86</f>
        <v>0</v>
      </c>
      <c r="C81" s="274">
        <f>data!BQ85</f>
        <v>0</v>
      </c>
      <c r="D81" s="274" t="s">
        <v>725</v>
      </c>
      <c r="E81" s="4" t="s">
        <v>725</v>
      </c>
      <c r="F81" s="238" t="str">
        <f t="shared" si="7"/>
        <v/>
      </c>
      <c r="G81" s="238" t="str">
        <f t="shared" si="8"/>
        <v/>
      </c>
      <c r="H81" s="6" t="str">
        <f t="shared" si="9"/>
        <v/>
      </c>
      <c r="I81" s="274" t="str">
        <f t="shared" si="10"/>
        <v/>
      </c>
      <c r="M81" s="7"/>
    </row>
    <row r="82" spans="1:13" x14ac:dyDescent="0.35">
      <c r="A82" s="1" t="s">
        <v>776</v>
      </c>
      <c r="B82" s="274">
        <f>'Prior Year'!BR86</f>
        <v>1025784.0800000001</v>
      </c>
      <c r="C82" s="274">
        <f>data!BR85</f>
        <v>1413434.3399999999</v>
      </c>
      <c r="D82" s="274" t="s">
        <v>725</v>
      </c>
      <c r="E82" s="4" t="s">
        <v>725</v>
      </c>
      <c r="F82" s="238" t="str">
        <f t="shared" si="7"/>
        <v/>
      </c>
      <c r="G82" s="238" t="str">
        <f t="shared" si="8"/>
        <v/>
      </c>
      <c r="H82" s="6" t="str">
        <f t="shared" si="9"/>
        <v/>
      </c>
      <c r="I82" s="274" t="str">
        <f t="shared" si="10"/>
        <v/>
      </c>
      <c r="M82" s="7"/>
    </row>
    <row r="83" spans="1:13" x14ac:dyDescent="0.35">
      <c r="A83" s="1" t="s">
        <v>777</v>
      </c>
      <c r="B83" s="274">
        <f>'Prior Year'!BS86</f>
        <v>0</v>
      </c>
      <c r="C83" s="274">
        <f>data!BS85</f>
        <v>0</v>
      </c>
      <c r="D83" s="274" t="s">
        <v>725</v>
      </c>
      <c r="E83" s="4" t="s">
        <v>725</v>
      </c>
      <c r="F83" s="238" t="str">
        <f t="shared" si="7"/>
        <v/>
      </c>
      <c r="G83" s="238" t="str">
        <f t="shared" si="8"/>
        <v/>
      </c>
      <c r="H83" s="6" t="str">
        <f t="shared" si="9"/>
        <v/>
      </c>
      <c r="I83" s="274" t="str">
        <f t="shared" si="10"/>
        <v/>
      </c>
      <c r="M83" s="7"/>
    </row>
    <row r="84" spans="1:13" x14ac:dyDescent="0.35">
      <c r="A84" s="1" t="s">
        <v>778</v>
      </c>
      <c r="B84" s="274">
        <f>'Prior Year'!BT86</f>
        <v>0</v>
      </c>
      <c r="C84" s="274">
        <f>data!BT85</f>
        <v>0</v>
      </c>
      <c r="D84" s="274" t="s">
        <v>725</v>
      </c>
      <c r="E84" s="4" t="s">
        <v>725</v>
      </c>
      <c r="F84" s="238" t="str">
        <f t="shared" si="7"/>
        <v/>
      </c>
      <c r="G84" s="238" t="str">
        <f t="shared" si="8"/>
        <v/>
      </c>
      <c r="H84" s="6" t="str">
        <f t="shared" si="9"/>
        <v/>
      </c>
      <c r="I84" s="274" t="str">
        <f t="shared" si="10"/>
        <v/>
      </c>
      <c r="M84" s="7"/>
    </row>
    <row r="85" spans="1:13" x14ac:dyDescent="0.35">
      <c r="A85" s="1" t="s">
        <v>779</v>
      </c>
      <c r="B85" s="274">
        <f>'Prior Year'!BU86</f>
        <v>0</v>
      </c>
      <c r="C85" s="274">
        <f>data!BU85</f>
        <v>0</v>
      </c>
      <c r="D85" s="274" t="s">
        <v>725</v>
      </c>
      <c r="E85" s="4" t="s">
        <v>725</v>
      </c>
      <c r="F85" s="238" t="str">
        <f t="shared" si="7"/>
        <v/>
      </c>
      <c r="G85" s="238" t="str">
        <f t="shared" si="8"/>
        <v/>
      </c>
      <c r="H85" s="6" t="str">
        <f t="shared" si="9"/>
        <v/>
      </c>
      <c r="I85" s="274" t="str">
        <f t="shared" si="10"/>
        <v/>
      </c>
      <c r="M85" s="7"/>
    </row>
    <row r="86" spans="1:13" x14ac:dyDescent="0.35">
      <c r="A86" s="1" t="s">
        <v>780</v>
      </c>
      <c r="B86" s="274">
        <f>'Prior Year'!BV86</f>
        <v>2354508.0099999998</v>
      </c>
      <c r="C86" s="274">
        <f>data!BV85</f>
        <v>2424942.2400000002</v>
      </c>
      <c r="D86" s="274" t="s">
        <v>725</v>
      </c>
      <c r="E86" s="4" t="s">
        <v>725</v>
      </c>
      <c r="F86" s="238" t="str">
        <f t="shared" si="7"/>
        <v/>
      </c>
      <c r="G86" s="238" t="str">
        <f t="shared" si="8"/>
        <v/>
      </c>
      <c r="H86" s="6" t="str">
        <f t="shared" si="9"/>
        <v/>
      </c>
      <c r="I86" s="274" t="str">
        <f t="shared" si="10"/>
        <v/>
      </c>
      <c r="M86" s="7"/>
    </row>
    <row r="87" spans="1:13" x14ac:dyDescent="0.35">
      <c r="A87" s="1" t="s">
        <v>781</v>
      </c>
      <c r="B87" s="274">
        <f>'Prior Year'!BW86</f>
        <v>332842.90999999997</v>
      </c>
      <c r="C87" s="274">
        <f>data!BW85</f>
        <v>384522.04</v>
      </c>
      <c r="D87" s="274" t="s">
        <v>725</v>
      </c>
      <c r="E87" s="4" t="s">
        <v>725</v>
      </c>
      <c r="F87" s="238" t="str">
        <f t="shared" si="7"/>
        <v/>
      </c>
      <c r="G87" s="238" t="str">
        <f t="shared" si="8"/>
        <v/>
      </c>
      <c r="H87" s="6" t="str">
        <f t="shared" si="9"/>
        <v/>
      </c>
      <c r="I87" s="274" t="str">
        <f t="shared" si="10"/>
        <v/>
      </c>
      <c r="M87" s="7"/>
    </row>
    <row r="88" spans="1:13" x14ac:dyDescent="0.35">
      <c r="A88" s="1" t="s">
        <v>782</v>
      </c>
      <c r="B88" s="274">
        <f>'Prior Year'!BX86</f>
        <v>0</v>
      </c>
      <c r="C88" s="274">
        <f>data!BX85</f>
        <v>0</v>
      </c>
      <c r="D88" s="274" t="s">
        <v>725</v>
      </c>
      <c r="E88" s="4" t="s">
        <v>725</v>
      </c>
      <c r="F88" s="238" t="str">
        <f t="shared" si="7"/>
        <v/>
      </c>
      <c r="G88" s="238" t="str">
        <f t="shared" si="8"/>
        <v/>
      </c>
      <c r="H88" s="6" t="str">
        <f t="shared" si="9"/>
        <v/>
      </c>
      <c r="I88" s="274" t="str">
        <f t="shared" si="10"/>
        <v/>
      </c>
      <c r="M88" s="7"/>
    </row>
    <row r="89" spans="1:13" x14ac:dyDescent="0.35">
      <c r="A89" s="1" t="s">
        <v>783</v>
      </c>
      <c r="B89" s="274">
        <f>'Prior Year'!BY86</f>
        <v>4377263.4499999993</v>
      </c>
      <c r="C89" s="274">
        <f>data!BY85</f>
        <v>3574384.0700000003</v>
      </c>
      <c r="D89" s="274" t="s">
        <v>725</v>
      </c>
      <c r="E89" s="4" t="s">
        <v>725</v>
      </c>
      <c r="F89" s="238" t="str">
        <f t="shared" si="7"/>
        <v/>
      </c>
      <c r="G89" s="238" t="str">
        <f t="shared" si="8"/>
        <v/>
      </c>
      <c r="H89" s="6" t="str">
        <f t="shared" si="9"/>
        <v/>
      </c>
      <c r="I89" s="274" t="str">
        <f t="shared" si="10"/>
        <v/>
      </c>
      <c r="M89" s="7"/>
    </row>
    <row r="90" spans="1:13" x14ac:dyDescent="0.35">
      <c r="A90" s="1" t="s">
        <v>784</v>
      </c>
      <c r="B90" s="274">
        <f>'Prior Year'!BZ86</f>
        <v>0</v>
      </c>
      <c r="C90" s="274">
        <f>data!BZ85</f>
        <v>0</v>
      </c>
      <c r="D90" s="274" t="s">
        <v>725</v>
      </c>
      <c r="E90" s="4" t="s">
        <v>725</v>
      </c>
      <c r="F90" s="238" t="str">
        <f t="shared" si="7"/>
        <v/>
      </c>
      <c r="G90" s="238" t="str">
        <f t="shared" si="8"/>
        <v/>
      </c>
      <c r="H90" s="6" t="str">
        <f t="shared" si="9"/>
        <v/>
      </c>
      <c r="I90" s="274" t="str">
        <f t="shared" si="10"/>
        <v/>
      </c>
      <c r="M90" s="7"/>
    </row>
    <row r="91" spans="1:13" x14ac:dyDescent="0.35">
      <c r="A91" s="1" t="s">
        <v>785</v>
      </c>
      <c r="B91" s="274">
        <f>'Prior Year'!CA86</f>
        <v>220699.49</v>
      </c>
      <c r="C91" s="274">
        <f>data!CA85</f>
        <v>232272.91000000003</v>
      </c>
      <c r="D91" s="274" t="s">
        <v>725</v>
      </c>
      <c r="E91" s="4" t="s">
        <v>725</v>
      </c>
      <c r="F91" s="238" t="str">
        <f t="shared" si="7"/>
        <v/>
      </c>
      <c r="G91" s="238" t="str">
        <f t="shared" si="8"/>
        <v/>
      </c>
      <c r="H91" s="6" t="str">
        <f t="shared" si="9"/>
        <v/>
      </c>
      <c r="I91" s="274" t="str">
        <f t="shared" si="10"/>
        <v/>
      </c>
      <c r="M91" s="7"/>
    </row>
    <row r="92" spans="1:13" x14ac:dyDescent="0.35">
      <c r="A92" s="1" t="s">
        <v>786</v>
      </c>
      <c r="B92" s="274">
        <f>'Prior Year'!CB86</f>
        <v>0</v>
      </c>
      <c r="C92" s="274">
        <f>data!CB85</f>
        <v>0</v>
      </c>
      <c r="D92" s="274" t="s">
        <v>725</v>
      </c>
      <c r="E92" s="4" t="s">
        <v>725</v>
      </c>
      <c r="F92" s="238" t="str">
        <f t="shared" si="7"/>
        <v/>
      </c>
      <c r="G92" s="238" t="str">
        <f t="shared" si="8"/>
        <v/>
      </c>
      <c r="H92" s="6" t="str">
        <f t="shared" si="9"/>
        <v/>
      </c>
      <c r="I92" s="274" t="str">
        <f t="shared" si="10"/>
        <v/>
      </c>
      <c r="M92" s="7"/>
    </row>
    <row r="93" spans="1:13" x14ac:dyDescent="0.35">
      <c r="A93" s="1" t="s">
        <v>787</v>
      </c>
      <c r="B93" s="274">
        <f>'Prior Year'!CC86</f>
        <v>3738083.56</v>
      </c>
      <c r="C93" s="274">
        <f>data!CC85</f>
        <v>5161145.59</v>
      </c>
      <c r="D93" s="274" t="s">
        <v>725</v>
      </c>
      <c r="E93" s="4" t="s">
        <v>725</v>
      </c>
      <c r="F93" s="238" t="str">
        <f t="shared" si="7"/>
        <v/>
      </c>
      <c r="G93" s="238" t="str">
        <f t="shared" si="8"/>
        <v/>
      </c>
      <c r="H93" s="6" t="str">
        <f t="shared" si="9"/>
        <v/>
      </c>
      <c r="I93" s="274" t="str">
        <f t="shared" si="10"/>
        <v/>
      </c>
      <c r="M93" s="7"/>
    </row>
    <row r="94" spans="1:13" x14ac:dyDescent="0.35">
      <c r="A94" s="1" t="s">
        <v>788</v>
      </c>
      <c r="B94" s="274">
        <f>'Prior Year'!CD86</f>
        <v>905060.64999999944</v>
      </c>
      <c r="C94" s="274">
        <f>data!CD85</f>
        <v>-2573794.5500000003</v>
      </c>
      <c r="D94" s="274" t="s">
        <v>725</v>
      </c>
      <c r="E94" s="4" t="s">
        <v>725</v>
      </c>
      <c r="F94" s="238" t="str">
        <f t="shared" si="7"/>
        <v/>
      </c>
      <c r="G94" s="238" t="str">
        <f t="shared" si="8"/>
        <v/>
      </c>
      <c r="H94" s="6" t="str">
        <f t="shared" si="9"/>
        <v/>
      </c>
      <c r="I94" s="274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topLeftCell="A13" workbookViewId="0">
      <selection activeCell="B26" sqref="B26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0" t="s">
        <v>1348</v>
      </c>
    </row>
    <row r="3" spans="1:4" x14ac:dyDescent="0.35">
      <c r="A3" s="11" t="s">
        <v>789</v>
      </c>
    </row>
    <row r="4" spans="1:4" x14ac:dyDescent="0.35">
      <c r="A4" s="328" t="s">
        <v>1346</v>
      </c>
    </row>
    <row r="5" spans="1:4" x14ac:dyDescent="0.35">
      <c r="A5" s="329" t="s">
        <v>1344</v>
      </c>
    </row>
    <row r="6" spans="1:4" x14ac:dyDescent="0.35">
      <c r="A6" s="327"/>
    </row>
    <row r="7" spans="1:4" x14ac:dyDescent="0.35">
      <c r="A7" s="328" t="s">
        <v>1347</v>
      </c>
    </row>
    <row r="8" spans="1:4" x14ac:dyDescent="0.35">
      <c r="A8" s="329" t="s">
        <v>1345</v>
      </c>
    </row>
    <row r="11" spans="1:4" x14ac:dyDescent="0.35">
      <c r="A11" s="13" t="s">
        <v>790</v>
      </c>
      <c r="D11" s="275">
        <f>data!C380</f>
        <v>4977258.080000001</v>
      </c>
    </row>
    <row r="12" spans="1:4" x14ac:dyDescent="0.35">
      <c r="A12" s="13" t="s">
        <v>791</v>
      </c>
      <c r="D12" s="275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6">
        <f>data!C414</f>
        <v>1744398.9100000001</v>
      </c>
    </row>
    <row r="26" spans="1:4" x14ac:dyDescent="0.35">
      <c r="A26" s="13" t="s">
        <v>791</v>
      </c>
      <c r="D26" s="276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D12" sqref="D12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H-152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Public Hospital District No 1 of Mason County, WA, DBA Mason Health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">
        <v>1369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">
        <v>1370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">
        <v>1376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">
        <v>1372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3604327721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3604271921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7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1484</v>
      </c>
      <c r="G23" s="81">
        <f>data!D127</f>
        <v>5068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357</v>
      </c>
      <c r="G26" s="81">
        <f>data!D130</f>
        <v>624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7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16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2</v>
      </c>
      <c r="E34" s="78" t="s">
        <v>324</v>
      </c>
      <c r="F34" s="81"/>
      <c r="G34" s="81">
        <f>data!E143</f>
        <v>25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68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6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N5" sqref="N5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Public Hospital District No 1 of Mason County, WA, DBA Mason Health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784</v>
      </c>
      <c r="C7" s="141">
        <f>data!B155</f>
        <v>3152</v>
      </c>
      <c r="D7" s="141">
        <f>data!B156</f>
        <v>76143</v>
      </c>
      <c r="E7" s="141">
        <f>data!B157</f>
        <v>34844693</v>
      </c>
      <c r="F7" s="141">
        <f>data!B158</f>
        <v>104157939</v>
      </c>
      <c r="G7" s="141">
        <f>data!B157+data!B158</f>
        <v>139002632</v>
      </c>
    </row>
    <row r="8" spans="1:7" ht="20.149999999999999" customHeight="1" x14ac:dyDescent="0.35">
      <c r="A8" s="77" t="s">
        <v>331</v>
      </c>
      <c r="B8" s="141">
        <f>data!C154</f>
        <v>410</v>
      </c>
      <c r="C8" s="141">
        <f>data!C155</f>
        <v>1090</v>
      </c>
      <c r="D8" s="141">
        <f>data!C156</f>
        <v>57589</v>
      </c>
      <c r="E8" s="141">
        <f>data!C157</f>
        <v>18935668</v>
      </c>
      <c r="F8" s="141">
        <f>data!C158</f>
        <v>69211551</v>
      </c>
      <c r="G8" s="141">
        <f>data!C157+data!C158</f>
        <v>88147219</v>
      </c>
    </row>
    <row r="9" spans="1:7" ht="20.149999999999999" customHeight="1" x14ac:dyDescent="0.35">
      <c r="A9" s="77" t="s">
        <v>829</v>
      </c>
      <c r="B9" s="141">
        <f>data!D154</f>
        <v>290</v>
      </c>
      <c r="C9" s="141">
        <f>data!D155</f>
        <v>826</v>
      </c>
      <c r="D9" s="141">
        <f>data!D156</f>
        <v>58964</v>
      </c>
      <c r="E9" s="141">
        <f>data!D157</f>
        <v>14477055</v>
      </c>
      <c r="F9" s="141">
        <f>data!D158</f>
        <v>63877009</v>
      </c>
      <c r="G9" s="141">
        <f>data!D157+data!D158</f>
        <v>78354064</v>
      </c>
    </row>
    <row r="10" spans="1:7" ht="20.149999999999999" customHeight="1" x14ac:dyDescent="0.35">
      <c r="A10" s="92" t="s">
        <v>215</v>
      </c>
      <c r="B10" s="141">
        <f>data!E154</f>
        <v>1484</v>
      </c>
      <c r="C10" s="141">
        <f>data!E155</f>
        <v>5068</v>
      </c>
      <c r="D10" s="141">
        <f>data!E156</f>
        <v>192696</v>
      </c>
      <c r="E10" s="141">
        <f>data!E157</f>
        <v>68257416</v>
      </c>
      <c r="F10" s="141">
        <f>data!E158</f>
        <v>237246499</v>
      </c>
      <c r="G10" s="141">
        <f>E10+F10</f>
        <v>305503915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7128462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2775753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E12" sqref="E12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Public Hospital District No 1 of Mason County, WA, DBA Mason Health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3867142.19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134197.78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121260.48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11688536.43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31031.78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3049813.06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194154.62000000002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19086136.34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16898.459999999995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343959.92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360858.38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554850.7300000001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501261.20999999996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1056111.94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775760.69999999984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775760.69999999984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2138665.59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2138665.59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A3" sqref="A3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Public Hospital District No 1 of Mason County, WA, DBA Mason Health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2015497.22</v>
      </c>
      <c r="D7" s="81">
        <f>+data!C211</f>
        <v>0</v>
      </c>
      <c r="E7" s="81">
        <f>+data!D211</f>
        <v>0</v>
      </c>
      <c r="F7" s="81">
        <f>+C7+D7-E7</f>
        <v>2015497.22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11042985.290000001</v>
      </c>
      <c r="D8" s="81">
        <f>+data!C212</f>
        <v>68261</v>
      </c>
      <c r="E8" s="81">
        <f>+data!D212</f>
        <v>0</v>
      </c>
      <c r="F8" s="81">
        <f t="shared" ref="F8:F15" si="0">+C8+D8-E8</f>
        <v>11111246.290000001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57364279.190000005</v>
      </c>
      <c r="D9" s="81">
        <f>+data!C213</f>
        <v>2579159</v>
      </c>
      <c r="E9" s="81">
        <f>+data!D213</f>
        <v>0</v>
      </c>
      <c r="F9" s="81">
        <f t="shared" si="0"/>
        <v>59943438.190000005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32599988.440000001</v>
      </c>
      <c r="D10" s="81">
        <f>+data!C214</f>
        <v>811019</v>
      </c>
      <c r="E10" s="81">
        <f>+data!D214</f>
        <v>0</v>
      </c>
      <c r="F10" s="81">
        <f t="shared" si="0"/>
        <v>33411007.440000001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0</v>
      </c>
      <c r="D11" s="81">
        <f>+data!C215</f>
        <v>0</v>
      </c>
      <c r="E11" s="81">
        <f>+data!D215</f>
        <v>0</v>
      </c>
      <c r="F11" s="81">
        <f t="shared" si="0"/>
        <v>0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39947733.399999999</v>
      </c>
      <c r="D12" s="81">
        <f>+data!C216</f>
        <v>3340045</v>
      </c>
      <c r="E12" s="81">
        <f>+data!D216</f>
        <v>59782</v>
      </c>
      <c r="F12" s="81">
        <f t="shared" si="0"/>
        <v>43227996.399999999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+data!C217</f>
        <v>640218</v>
      </c>
      <c r="E13" s="81">
        <f>+data!D217</f>
        <v>0</v>
      </c>
      <c r="F13" s="81">
        <f t="shared" si="0"/>
        <v>640218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1163193.04</v>
      </c>
      <c r="D14" s="81">
        <f>+data!C218</f>
        <v>10859</v>
      </c>
      <c r="E14" s="81">
        <f>+data!D218</f>
        <v>0</v>
      </c>
      <c r="F14" s="81">
        <f t="shared" si="0"/>
        <v>1174052.04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2907121.49</v>
      </c>
      <c r="D15" s="81">
        <f>+data!C219</f>
        <v>4263490</v>
      </c>
      <c r="E15" s="81">
        <f>+data!D219</f>
        <v>4296555</v>
      </c>
      <c r="F15" s="81">
        <f t="shared" si="0"/>
        <v>2874056.49</v>
      </c>
    </row>
    <row r="16" spans="1:6" ht="20.149999999999999" customHeight="1" x14ac:dyDescent="0.35">
      <c r="A16" s="77">
        <v>10</v>
      </c>
      <c r="B16" s="81" t="s">
        <v>587</v>
      </c>
      <c r="C16" s="81">
        <f>SUM(C7:C15)</f>
        <v>147040798.06999999</v>
      </c>
      <c r="D16" s="81">
        <f t="shared" ref="D16:F16" si="1">SUM(D7:D15)</f>
        <v>11713051</v>
      </c>
      <c r="E16" s="81">
        <f t="shared" si="1"/>
        <v>4356337</v>
      </c>
      <c r="F16" s="81">
        <f t="shared" si="1"/>
        <v>154397512.06999999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3487602.92</v>
      </c>
      <c r="D24" s="81">
        <f>+data!C225</f>
        <v>743405</v>
      </c>
      <c r="E24" s="81">
        <f>+data!D225</f>
        <v>0</v>
      </c>
      <c r="F24" s="81">
        <f>+C24+D24-E24</f>
        <v>4231007.92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23783269.239999998</v>
      </c>
      <c r="D25" s="81">
        <f>+data!C226</f>
        <v>3210097</v>
      </c>
      <c r="E25" s="81">
        <f>+data!D226</f>
        <v>0</v>
      </c>
      <c r="F25" s="81">
        <f t="shared" ref="F25:F31" si="2">+C25+D25-E25</f>
        <v>26993366.239999998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14113869.149999999</v>
      </c>
      <c r="D26" s="81">
        <f>+data!C227</f>
        <v>1781449</v>
      </c>
      <c r="E26" s="81">
        <f>+data!D227</f>
        <v>0</v>
      </c>
      <c r="F26" s="81">
        <f t="shared" si="2"/>
        <v>15895318.149999999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+data!C228</f>
        <v>0</v>
      </c>
      <c r="E27" s="81">
        <f>+data!D228</f>
        <v>0</v>
      </c>
      <c r="F27" s="81">
        <f t="shared" si="2"/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31788985.379999995</v>
      </c>
      <c r="D28" s="81">
        <f>+data!C229</f>
        <v>2460095</v>
      </c>
      <c r="E28" s="81">
        <f>+data!D229</f>
        <v>59782</v>
      </c>
      <c r="F28" s="81">
        <f t="shared" si="2"/>
        <v>34189298.379999995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+data!C230</f>
        <v>213406</v>
      </c>
      <c r="E29" s="81">
        <f>+data!D230</f>
        <v>0</v>
      </c>
      <c r="F29" s="81">
        <f t="shared" si="2"/>
        <v>213406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646333.89</v>
      </c>
      <c r="D30" s="81">
        <f>+data!C231</f>
        <v>173955</v>
      </c>
      <c r="E30" s="81">
        <f>+data!D231</f>
        <v>0</v>
      </c>
      <c r="F30" s="81">
        <f t="shared" si="2"/>
        <v>820288.89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+data!C232</f>
        <v>0</v>
      </c>
      <c r="E31" s="81">
        <f>+data!D232</f>
        <v>0</v>
      </c>
      <c r="F31" s="81">
        <f t="shared" si="2"/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SUM(C24:C31)</f>
        <v>73820060.579999998</v>
      </c>
      <c r="D32" s="81">
        <f t="shared" ref="D32:F32" si="3">SUM(D24:D31)</f>
        <v>8582407</v>
      </c>
      <c r="E32" s="81">
        <f t="shared" si="3"/>
        <v>59782</v>
      </c>
      <c r="F32" s="81">
        <f t="shared" si="3"/>
        <v>82342685.579999998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zoomScaleNormal="100" workbookViewId="0">
      <selection activeCell="D27" sqref="D27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Public Hospital District No 1 of Mason County, WA, DBA Mason Health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2833307.6500000004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81114866.900000006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53327533.840000004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8595382.379999999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24153319.02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0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167191102.14000002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1607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383989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3640128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4024117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4295282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+D24+D22+D13+D5</f>
        <v>178343808.79000002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data!Print_Area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2023-06-30T18:20:47Z</cp:lastPrinted>
  <dcterms:created xsi:type="dcterms:W3CDTF">1999-06-02T22:01:56Z</dcterms:created>
  <dcterms:modified xsi:type="dcterms:W3CDTF">2023-07-05T16:22:44Z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