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MFT Clearinghouse\7.3.2023\EVERGREEN_HEALTH\YearEndReport\"/>
    </mc:Choice>
  </mc:AlternateContent>
  <xr:revisionPtr revIDLastSave="0" documentId="13_ncr:1_{D9DF058B-5DFE-4993-813D-09F476884160}" xr6:coauthVersionLast="47" xr6:coauthVersionMax="47" xr10:uidLastSave="{00000000-0000-0000-0000-000000000000}"/>
  <workbookProtection workbookAlgorithmName="SHA-512" workbookHashValue="kPUlwVlwDkf0kyN1SgcFLMvryFB5v1kQdfBnRYKx12oBwILtfeT/2q552ALqCCW6mPFl3BxNjhYDGpZSryaKEQ==" workbookSaltValue="admWvXEjPi12nR5ZONqXAQ==" workbookSpinCount="100000" lockStructure="1"/>
  <bookViews>
    <workbookView xWindow="28680" yWindow="-120" windowWidth="29040" windowHeight="15840" tabRatio="807" activeTab="7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17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2" r:id="rId11"/>
    <sheet name="Prior Year" sheetId="25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 hidden="1">'Prior Year'!$DR$773:$DR$818</definedName>
    <definedName name="_Fill" hidden="1">#REF!</definedName>
    <definedName name="_xlnm._FilterDatabase" localSheetId="0" hidden="1">#REF!</definedName>
    <definedName name="_xlnm._FilterDatabase" localSheetId="11" hidden="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Year'!$A$434:$H$434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data!$A$44:$CE$94</definedName>
    <definedName name="_xlnm.Print_Area" localSheetId="9">FS!$A$1:$C$179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2">'Responses-1'!$A$1:$J$96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_xlnm.Print_Titles" localSheetId="0">data!$A:$A,data!$55:$58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D8" i="6"/>
  <c r="D9" i="6"/>
  <c r="D10" i="6"/>
  <c r="D11" i="6"/>
  <c r="D12" i="6"/>
  <c r="D13" i="6"/>
  <c r="D14" i="6"/>
  <c r="D15" i="6"/>
  <c r="D16" i="6"/>
  <c r="D7" i="6"/>
  <c r="E7" i="6"/>
  <c r="I67" i="15"/>
  <c r="I60" i="15"/>
  <c r="C136" i="8" l="1"/>
  <c r="D8" i="3"/>
  <c r="D7" i="3"/>
  <c r="D6" i="3"/>
  <c r="D9" i="3"/>
  <c r="M47" i="24"/>
  <c r="AR47" i="24"/>
  <c r="CC47" i="24"/>
  <c r="BR47" i="24"/>
  <c r="AR51" i="24"/>
  <c r="CC51" i="24"/>
  <c r="M51" i="24"/>
  <c r="AR94" i="24"/>
  <c r="M94" i="24"/>
  <c r="AR87" i="24" l="1"/>
  <c r="M87" i="24"/>
  <c r="AV88" i="24"/>
  <c r="AV87" i="24"/>
  <c r="AR83" i="24"/>
  <c r="CD83" i="24"/>
  <c r="M83" i="24"/>
  <c r="AR68" i="24"/>
  <c r="M66" i="24"/>
  <c r="AR66" i="24"/>
  <c r="CC66" i="24"/>
  <c r="AR65" i="24"/>
  <c r="M65" i="24"/>
  <c r="AR64" i="24"/>
  <c r="CC64" i="24"/>
  <c r="M64" i="24"/>
  <c r="CC63" i="24"/>
  <c r="BR63" i="24"/>
  <c r="CC61" i="24"/>
  <c r="BR61" i="24"/>
  <c r="AR61" i="24"/>
  <c r="M61" i="24"/>
  <c r="CC60" i="24"/>
  <c r="AR60" i="24"/>
  <c r="M60" i="24"/>
  <c r="CE60" i="24" l="1"/>
  <c r="C192" i="24" l="1"/>
  <c r="C191" i="24"/>
  <c r="C418" i="24" l="1"/>
  <c r="CE85" i="25" l="1"/>
  <c r="CE83" i="24"/>
  <c r="CE84" i="24"/>
  <c r="B28" i="27"/>
  <c r="H292" i="32" l="1"/>
  <c r="H356" i="32"/>
  <c r="H324" i="32"/>
  <c r="H228" i="32"/>
  <c r="H196" i="32"/>
  <c r="H132" i="32"/>
  <c r="H100" i="32"/>
  <c r="H68" i="32"/>
  <c r="A4" i="32"/>
  <c r="A36" i="32"/>
  <c r="A68" i="32"/>
  <c r="A100" i="32"/>
  <c r="A132" i="32"/>
  <c r="A164" i="32"/>
  <c r="A196" i="32"/>
  <c r="A228" i="32"/>
  <c r="A260" i="32"/>
  <c r="A292" i="32"/>
  <c r="A324" i="32"/>
  <c r="A356" i="32"/>
  <c r="A2" i="4"/>
  <c r="G3" i="4"/>
  <c r="D421" i="25"/>
  <c r="D420" i="24"/>
  <c r="D90" i="25"/>
  <c r="E90" i="25"/>
  <c r="F90" i="25"/>
  <c r="G90" i="25"/>
  <c r="H90" i="25"/>
  <c r="I90" i="25"/>
  <c r="J90" i="25"/>
  <c r="K90" i="25"/>
  <c r="L90" i="25"/>
  <c r="M90" i="25"/>
  <c r="N90" i="25"/>
  <c r="O90" i="25"/>
  <c r="P90" i="25"/>
  <c r="Q90" i="25"/>
  <c r="R90" i="25"/>
  <c r="S90" i="25"/>
  <c r="T90" i="25"/>
  <c r="U90" i="25"/>
  <c r="V90" i="25"/>
  <c r="W90" i="25"/>
  <c r="X90" i="25"/>
  <c r="Y90" i="25"/>
  <c r="Z90" i="25"/>
  <c r="AA90" i="25"/>
  <c r="AB90" i="25"/>
  <c r="AC90" i="25"/>
  <c r="AD90" i="25"/>
  <c r="AE90" i="25"/>
  <c r="AF90" i="25"/>
  <c r="AG90" i="25"/>
  <c r="AH90" i="25"/>
  <c r="AI90" i="25"/>
  <c r="AJ90" i="25"/>
  <c r="AK90" i="25"/>
  <c r="AL90" i="25"/>
  <c r="AM90" i="25"/>
  <c r="AN90" i="25"/>
  <c r="AO90" i="25"/>
  <c r="AP90" i="25"/>
  <c r="AQ90" i="25"/>
  <c r="AR90" i="25"/>
  <c r="AS90" i="25"/>
  <c r="AT90" i="25"/>
  <c r="AU90" i="25"/>
  <c r="AV90" i="25"/>
  <c r="C90" i="25"/>
  <c r="D89" i="24"/>
  <c r="AE3" i="31" s="1"/>
  <c r="E89" i="24"/>
  <c r="E26" i="32" s="1"/>
  <c r="F89" i="24"/>
  <c r="AE5" i="31" s="1"/>
  <c r="G89" i="24"/>
  <c r="AE6" i="31" s="1"/>
  <c r="H89" i="24"/>
  <c r="H26" i="32" s="1"/>
  <c r="I89" i="24"/>
  <c r="I26" i="32" s="1"/>
  <c r="J89" i="24"/>
  <c r="AE9" i="31" s="1"/>
  <c r="K89" i="24"/>
  <c r="D58" i="32" s="1"/>
  <c r="L89" i="24"/>
  <c r="AE11" i="31" s="1"/>
  <c r="M89" i="24"/>
  <c r="F58" i="32" s="1"/>
  <c r="N89" i="24"/>
  <c r="G58" i="32" s="1"/>
  <c r="O89" i="24"/>
  <c r="H58" i="32" s="1"/>
  <c r="P89" i="24"/>
  <c r="Q89" i="24"/>
  <c r="R89" i="24"/>
  <c r="S89" i="24"/>
  <c r="AE18" i="31" s="1"/>
  <c r="T89" i="24"/>
  <c r="AE19" i="31" s="1"/>
  <c r="U89" i="24"/>
  <c r="G90" i="32" s="1"/>
  <c r="V89" i="24"/>
  <c r="AE21" i="31" s="1"/>
  <c r="W89" i="24"/>
  <c r="AE22" i="31" s="1"/>
  <c r="X89" i="24"/>
  <c r="C122" i="32" s="1"/>
  <c r="Y89" i="24"/>
  <c r="D122" i="32" s="1"/>
  <c r="Z89" i="24"/>
  <c r="AE25" i="31" s="1"/>
  <c r="AA89" i="24"/>
  <c r="AE26" i="31" s="1"/>
  <c r="AB89" i="24"/>
  <c r="AE27" i="31" s="1"/>
  <c r="AC89" i="24"/>
  <c r="AE28" i="31" s="1"/>
  <c r="AD89" i="24"/>
  <c r="AE29" i="31" s="1"/>
  <c r="AE89" i="24"/>
  <c r="C154" i="32" s="1"/>
  <c r="AF89" i="24"/>
  <c r="D154" i="32" s="1"/>
  <c r="AG89" i="24"/>
  <c r="E154" i="32" s="1"/>
  <c r="AH89" i="24"/>
  <c r="F154" i="32" s="1"/>
  <c r="AI89" i="24"/>
  <c r="AE34" i="31" s="1"/>
  <c r="AJ89" i="24"/>
  <c r="AE35" i="31" s="1"/>
  <c r="AK89" i="24"/>
  <c r="AE36" i="31" s="1"/>
  <c r="AL89" i="24"/>
  <c r="C186" i="32" s="1"/>
  <c r="AM89" i="24"/>
  <c r="D186" i="32" s="1"/>
  <c r="AN89" i="24"/>
  <c r="E186" i="32" s="1"/>
  <c r="AO89" i="24"/>
  <c r="F186" i="32" s="1"/>
  <c r="AP89" i="24"/>
  <c r="AE41" i="31" s="1"/>
  <c r="AR89" i="24"/>
  <c r="AE43" i="31" s="1"/>
  <c r="AS89" i="24"/>
  <c r="AE44" i="31" s="1"/>
  <c r="AT89" i="24"/>
  <c r="AE45" i="31" s="1"/>
  <c r="AU89" i="24"/>
  <c r="AE46" i="31" s="1"/>
  <c r="AV89" i="24"/>
  <c r="AE47" i="31" s="1"/>
  <c r="C89" i="24"/>
  <c r="AE2" i="31" s="1"/>
  <c r="AK80" i="31"/>
  <c r="AJ80" i="31"/>
  <c r="AI80" i="31"/>
  <c r="AH80" i="31"/>
  <c r="AG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C80" i="31"/>
  <c r="B80" i="31"/>
  <c r="A80" i="31"/>
  <c r="AK79" i="31"/>
  <c r="AJ79" i="31"/>
  <c r="AI79" i="31"/>
  <c r="AH79" i="31"/>
  <c r="AG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C79" i="31"/>
  <c r="A79" i="31"/>
  <c r="AK78" i="31"/>
  <c r="AJ78" i="31"/>
  <c r="AI78" i="31"/>
  <c r="AH78" i="31"/>
  <c r="AG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C78" i="31"/>
  <c r="B78" i="31"/>
  <c r="A78" i="31"/>
  <c r="AK77" i="31"/>
  <c r="AJ77" i="31"/>
  <c r="AI77" i="31"/>
  <c r="AH77" i="31"/>
  <c r="AG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C77" i="31"/>
  <c r="B77" i="31"/>
  <c r="A77" i="31"/>
  <c r="AK76" i="31"/>
  <c r="AJ76" i="31"/>
  <c r="AI76" i="31"/>
  <c r="AH76" i="31"/>
  <c r="AG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C76" i="31"/>
  <c r="B76" i="31"/>
  <c r="A76" i="31"/>
  <c r="AK75" i="31"/>
  <c r="AJ75" i="31"/>
  <c r="AI75" i="31"/>
  <c r="AH75" i="31"/>
  <c r="AG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C75" i="31"/>
  <c r="B75" i="31"/>
  <c r="A75" i="31"/>
  <c r="AK74" i="31"/>
  <c r="AJ74" i="31"/>
  <c r="AI74" i="31"/>
  <c r="AH74" i="31"/>
  <c r="AG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C74" i="31"/>
  <c r="B74" i="31"/>
  <c r="A74" i="31"/>
  <c r="AK73" i="31"/>
  <c r="AJ73" i="31"/>
  <c r="AI73" i="31"/>
  <c r="AH73" i="31"/>
  <c r="AG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C73" i="31"/>
  <c r="B73" i="31"/>
  <c r="A73" i="31"/>
  <c r="AK72" i="31"/>
  <c r="AJ72" i="31"/>
  <c r="AI72" i="31"/>
  <c r="AH72" i="31"/>
  <c r="AG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C72" i="31"/>
  <c r="B72" i="31"/>
  <c r="A72" i="31"/>
  <c r="AK71" i="31"/>
  <c r="AJ71" i="31"/>
  <c r="AI71" i="31"/>
  <c r="AH71" i="31"/>
  <c r="AG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C71" i="31"/>
  <c r="B71" i="31"/>
  <c r="A71" i="31"/>
  <c r="AK70" i="31"/>
  <c r="AJ70" i="31"/>
  <c r="AI70" i="31"/>
  <c r="AH70" i="31"/>
  <c r="AG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C70" i="31"/>
  <c r="B70" i="31"/>
  <c r="A70" i="31"/>
  <c r="AK69" i="31"/>
  <c r="AJ69" i="31"/>
  <c r="AI69" i="31"/>
  <c r="AH69" i="31"/>
  <c r="AG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C69" i="31"/>
  <c r="B69" i="31"/>
  <c r="A69" i="31"/>
  <c r="AK68" i="31"/>
  <c r="AJ68" i="31"/>
  <c r="AI68" i="31"/>
  <c r="AH68" i="31"/>
  <c r="AG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C68" i="31"/>
  <c r="B68" i="31"/>
  <c r="A68" i="31"/>
  <c r="AK67" i="31"/>
  <c r="AJ67" i="31"/>
  <c r="AI67" i="31"/>
  <c r="AH67" i="31"/>
  <c r="AG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C67" i="31"/>
  <c r="B67" i="31"/>
  <c r="A67" i="31"/>
  <c r="AK66" i="31"/>
  <c r="AJ66" i="31"/>
  <c r="AI66" i="31"/>
  <c r="AH66" i="31"/>
  <c r="AG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C66" i="31"/>
  <c r="B66" i="31"/>
  <c r="A66" i="31"/>
  <c r="AK65" i="31"/>
  <c r="AJ65" i="31"/>
  <c r="AI65" i="31"/>
  <c r="AH65" i="31"/>
  <c r="AG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C65" i="31"/>
  <c r="B65" i="31"/>
  <c r="A65" i="31"/>
  <c r="AK64" i="31"/>
  <c r="AJ64" i="31"/>
  <c r="AI64" i="31"/>
  <c r="AH64" i="31"/>
  <c r="AG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C64" i="31"/>
  <c r="B64" i="31"/>
  <c r="A64" i="31"/>
  <c r="AK63" i="31"/>
  <c r="AJ63" i="31"/>
  <c r="AI63" i="31"/>
  <c r="AH63" i="31"/>
  <c r="AG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C63" i="31"/>
  <c r="B63" i="31"/>
  <c r="A63" i="31"/>
  <c r="AK62" i="31"/>
  <c r="AJ62" i="31"/>
  <c r="AI62" i="31"/>
  <c r="AH62" i="31"/>
  <c r="AG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C62" i="31"/>
  <c r="B62" i="31"/>
  <c r="A62" i="31"/>
  <c r="AK61" i="31"/>
  <c r="AJ61" i="31"/>
  <c r="AI61" i="31"/>
  <c r="AH61" i="31"/>
  <c r="AG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C61" i="31"/>
  <c r="B61" i="31"/>
  <c r="A61" i="31"/>
  <c r="AK60" i="31"/>
  <c r="AJ60" i="31"/>
  <c r="AI60" i="31"/>
  <c r="AH60" i="31"/>
  <c r="AG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C60" i="31"/>
  <c r="B60" i="31"/>
  <c r="A60" i="31"/>
  <c r="AK59" i="31"/>
  <c r="AJ59" i="31"/>
  <c r="AI59" i="31"/>
  <c r="AH59" i="31"/>
  <c r="AG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C59" i="31"/>
  <c r="B59" i="31"/>
  <c r="A59" i="31"/>
  <c r="AK58" i="31"/>
  <c r="AJ58" i="31"/>
  <c r="AI58" i="31"/>
  <c r="AH58" i="31"/>
  <c r="AG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C58" i="31"/>
  <c r="B58" i="31"/>
  <c r="A58" i="31"/>
  <c r="AK57" i="31"/>
  <c r="AJ57" i="31"/>
  <c r="AI57" i="31"/>
  <c r="AH57" i="31"/>
  <c r="AG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C57" i="31"/>
  <c r="B57" i="31"/>
  <c r="A57" i="31"/>
  <c r="AK56" i="31"/>
  <c r="AJ56" i="31"/>
  <c r="AI56" i="31"/>
  <c r="AH56" i="31"/>
  <c r="AG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A56" i="31"/>
  <c r="AK55" i="31"/>
  <c r="AJ55" i="31"/>
  <c r="AI55" i="31"/>
  <c r="AH55" i="31"/>
  <c r="AG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C55" i="31"/>
  <c r="B55" i="31"/>
  <c r="A55" i="31"/>
  <c r="AK54" i="31"/>
  <c r="AJ54" i="31"/>
  <c r="AI54" i="31"/>
  <c r="AH54" i="31"/>
  <c r="AG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C54" i="31"/>
  <c r="A54" i="31"/>
  <c r="AK53" i="31"/>
  <c r="AJ53" i="31"/>
  <c r="AI53" i="31"/>
  <c r="AH53" i="31"/>
  <c r="AG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C53" i="31"/>
  <c r="B53" i="31"/>
  <c r="A53" i="31"/>
  <c r="AK52" i="31"/>
  <c r="AJ52" i="31"/>
  <c r="AI52" i="31"/>
  <c r="AH52" i="31"/>
  <c r="AG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H51" i="31"/>
  <c r="AG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A51" i="31"/>
  <c r="AK50" i="31"/>
  <c r="AJ50" i="31"/>
  <c r="AI50" i="31"/>
  <c r="AH50" i="31"/>
  <c r="AG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C49" i="31"/>
  <c r="B49" i="31"/>
  <c r="A49" i="31"/>
  <c r="AK48" i="31"/>
  <c r="AJ48" i="31"/>
  <c r="AI48" i="31"/>
  <c r="AH48" i="31"/>
  <c r="AG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C47" i="31"/>
  <c r="B47" i="31"/>
  <c r="A47" i="31"/>
  <c r="AK46" i="31"/>
  <c r="AJ46" i="31"/>
  <c r="AI46" i="31"/>
  <c r="AH46" i="31"/>
  <c r="AG46" i="31"/>
  <c r="AF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A43" i="31"/>
  <c r="AK42" i="31"/>
  <c r="AJ42" i="31"/>
  <c r="AI42" i="31"/>
  <c r="AH42" i="31"/>
  <c r="AG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A23" i="31"/>
  <c r="AK22" i="31"/>
  <c r="AJ22" i="31"/>
  <c r="AI22" i="31"/>
  <c r="AH22" i="31"/>
  <c r="AG22" i="31"/>
  <c r="AF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C15" i="31"/>
  <c r="B15" i="31"/>
  <c r="A15" i="31"/>
  <c r="AK14" i="31"/>
  <c r="AJ14" i="31"/>
  <c r="AI14" i="31"/>
  <c r="AH14" i="31"/>
  <c r="AG14" i="31"/>
  <c r="AF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P2" i="30"/>
  <c r="BO2" i="30"/>
  <c r="BN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D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T2" i="28"/>
  <c r="AS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AA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B2" i="28"/>
  <c r="A2" i="28"/>
  <c r="N2" i="18"/>
  <c r="M2" i="18"/>
  <c r="L2" i="18"/>
  <c r="K2" i="18"/>
  <c r="J2" i="18"/>
  <c r="I2" i="18"/>
  <c r="H2" i="18"/>
  <c r="G2" i="18"/>
  <c r="F2" i="18"/>
  <c r="E2" i="18"/>
  <c r="D2" i="18"/>
  <c r="C2" i="18"/>
  <c r="B2" i="18"/>
  <c r="A2" i="18"/>
  <c r="D416" i="25"/>
  <c r="D417" i="25" s="1"/>
  <c r="E415" i="25" s="1"/>
  <c r="D382" i="25"/>
  <c r="D384" i="25" s="1"/>
  <c r="D367" i="25"/>
  <c r="D361" i="25"/>
  <c r="D341" i="25"/>
  <c r="D340" i="25"/>
  <c r="D330" i="25"/>
  <c r="D325" i="25"/>
  <c r="D307" i="25"/>
  <c r="D300" i="25"/>
  <c r="D292" i="25"/>
  <c r="D294" i="25" s="1"/>
  <c r="D282" i="25"/>
  <c r="D277" i="25"/>
  <c r="D257" i="25"/>
  <c r="D253" i="25"/>
  <c r="D246" i="25"/>
  <c r="D238" i="25"/>
  <c r="D234" i="25"/>
  <c r="C234" i="25"/>
  <c r="B234" i="25"/>
  <c r="E233" i="25"/>
  <c r="E232" i="25"/>
  <c r="E231" i="25"/>
  <c r="E230" i="25"/>
  <c r="E229" i="25"/>
  <c r="E228" i="25"/>
  <c r="E227" i="25"/>
  <c r="E226" i="25"/>
  <c r="D221" i="25"/>
  <c r="C221" i="25"/>
  <c r="B221" i="25"/>
  <c r="E220" i="25"/>
  <c r="E219" i="25"/>
  <c r="E218" i="25"/>
  <c r="E217" i="25"/>
  <c r="E216" i="25"/>
  <c r="E215" i="25"/>
  <c r="E214" i="25"/>
  <c r="E213" i="25"/>
  <c r="E212" i="25"/>
  <c r="D207" i="25"/>
  <c r="D203" i="25"/>
  <c r="D198" i="25"/>
  <c r="D194" i="25"/>
  <c r="D190" i="25"/>
  <c r="E171" i="25"/>
  <c r="E170" i="25"/>
  <c r="E169" i="25"/>
  <c r="E168" i="25"/>
  <c r="E167" i="25"/>
  <c r="E165" i="25"/>
  <c r="E164" i="25"/>
  <c r="E163" i="25"/>
  <c r="E162" i="25"/>
  <c r="E161" i="25"/>
  <c r="E159" i="25"/>
  <c r="E158" i="25"/>
  <c r="E157" i="25"/>
  <c r="E156" i="25"/>
  <c r="E155" i="25"/>
  <c r="E144" i="25"/>
  <c r="CE95" i="25"/>
  <c r="L613" i="25" s="1"/>
  <c r="CF94" i="25"/>
  <c r="CE94" i="25"/>
  <c r="J613" i="25" s="1"/>
  <c r="CE93" i="25"/>
  <c r="I613" i="25" s="1"/>
  <c r="CE92" i="25"/>
  <c r="G613" i="25" s="1"/>
  <c r="CE91" i="25"/>
  <c r="D613" i="25" s="1"/>
  <c r="CE89" i="25"/>
  <c r="CE88" i="25"/>
  <c r="CE84" i="25"/>
  <c r="CE83" i="25"/>
  <c r="CE82" i="25"/>
  <c r="CE81" i="25"/>
  <c r="CE80" i="25"/>
  <c r="CE79" i="25"/>
  <c r="CE78" i="25"/>
  <c r="CE77" i="25"/>
  <c r="CE76" i="25"/>
  <c r="CE75" i="25"/>
  <c r="CE74" i="25"/>
  <c r="CE73" i="25"/>
  <c r="CE72" i="25"/>
  <c r="CE71" i="25"/>
  <c r="CD70" i="25"/>
  <c r="C616" i="25" s="1"/>
  <c r="CC70" i="25"/>
  <c r="CB70" i="25"/>
  <c r="CA70" i="25"/>
  <c r="BZ70" i="25"/>
  <c r="BY70" i="25"/>
  <c r="BX70" i="25"/>
  <c r="BW70" i="25"/>
  <c r="BV70" i="25"/>
  <c r="BU70" i="25"/>
  <c r="BT70" i="25"/>
  <c r="BS70" i="25"/>
  <c r="BR70" i="25"/>
  <c r="BQ70" i="25"/>
  <c r="BP70" i="25"/>
  <c r="BO70" i="25"/>
  <c r="BN70" i="25"/>
  <c r="BM70" i="25"/>
  <c r="BL70" i="25"/>
  <c r="BK70" i="25"/>
  <c r="BJ70" i="25"/>
  <c r="BI70" i="25"/>
  <c r="BH70" i="25"/>
  <c r="BG70" i="25"/>
  <c r="BF70" i="25"/>
  <c r="BE70" i="25"/>
  <c r="BD70" i="25"/>
  <c r="BC70" i="25"/>
  <c r="BB70" i="25"/>
  <c r="BA70" i="25"/>
  <c r="AZ70" i="25"/>
  <c r="AY70" i="25"/>
  <c r="AX70" i="25"/>
  <c r="AW70" i="25"/>
  <c r="AV70" i="25"/>
  <c r="AU70" i="25"/>
  <c r="AT70" i="25"/>
  <c r="AS70" i="25"/>
  <c r="AR70" i="25"/>
  <c r="AQ70" i="25"/>
  <c r="AP70" i="25"/>
  <c r="AO70" i="25"/>
  <c r="AN70" i="25"/>
  <c r="AM70" i="25"/>
  <c r="AL70" i="25"/>
  <c r="AK70" i="25"/>
  <c r="AJ70" i="25"/>
  <c r="AI70" i="25"/>
  <c r="AH70" i="25"/>
  <c r="AG70" i="25"/>
  <c r="AF70" i="25"/>
  <c r="AE70" i="25"/>
  <c r="AD70" i="25"/>
  <c r="AC70" i="25"/>
  <c r="AB70" i="25"/>
  <c r="AA70" i="25"/>
  <c r="Z70" i="25"/>
  <c r="Y70" i="25"/>
  <c r="X70" i="25"/>
  <c r="W70" i="25"/>
  <c r="V70" i="25"/>
  <c r="U70" i="25"/>
  <c r="T70" i="25"/>
  <c r="S70" i="25"/>
  <c r="R70" i="25"/>
  <c r="Q70" i="25"/>
  <c r="P70" i="25"/>
  <c r="O70" i="25"/>
  <c r="N70" i="25"/>
  <c r="M70" i="25"/>
  <c r="L70" i="25"/>
  <c r="K70" i="25"/>
  <c r="J70" i="25"/>
  <c r="I70" i="25"/>
  <c r="H70" i="25"/>
  <c r="G70" i="25"/>
  <c r="F70" i="25"/>
  <c r="E70" i="25"/>
  <c r="D70" i="25"/>
  <c r="C70" i="25"/>
  <c r="CE69" i="25"/>
  <c r="CE67" i="25"/>
  <c r="CE66" i="25"/>
  <c r="CE65" i="25"/>
  <c r="F613" i="25" s="1"/>
  <c r="CE64" i="25"/>
  <c r="CE62" i="25"/>
  <c r="CE61" i="25"/>
  <c r="H613" i="25" s="1"/>
  <c r="B54" i="25"/>
  <c r="CD53" i="25"/>
  <c r="CC53" i="25"/>
  <c r="CC68" i="25" s="1"/>
  <c r="CB53" i="25"/>
  <c r="CB68" i="25" s="1"/>
  <c r="CA53" i="25"/>
  <c r="CA68" i="25" s="1"/>
  <c r="BZ53" i="25"/>
  <c r="BZ68" i="25" s="1"/>
  <c r="BY53" i="25"/>
  <c r="BY68" i="25" s="1"/>
  <c r="BX53" i="25"/>
  <c r="BX68" i="25" s="1"/>
  <c r="BW53" i="25"/>
  <c r="BW68" i="25" s="1"/>
  <c r="BV53" i="25"/>
  <c r="BV68" i="25" s="1"/>
  <c r="BU53" i="25"/>
  <c r="BU68" i="25" s="1"/>
  <c r="BT53" i="25"/>
  <c r="BT68" i="25" s="1"/>
  <c r="BS53" i="25"/>
  <c r="BS68" i="25" s="1"/>
  <c r="BR53" i="25"/>
  <c r="BR68" i="25" s="1"/>
  <c r="BQ53" i="25"/>
  <c r="BQ68" i="25" s="1"/>
  <c r="BP53" i="25"/>
  <c r="BP68" i="25" s="1"/>
  <c r="BO53" i="25"/>
  <c r="BO68" i="25" s="1"/>
  <c r="BN53" i="25"/>
  <c r="BN68" i="25" s="1"/>
  <c r="BM53" i="25"/>
  <c r="BM68" i="25" s="1"/>
  <c r="BL53" i="25"/>
  <c r="BL68" i="25" s="1"/>
  <c r="BK53" i="25"/>
  <c r="BK68" i="25" s="1"/>
  <c r="BJ53" i="25"/>
  <c r="BJ68" i="25" s="1"/>
  <c r="BI53" i="25"/>
  <c r="BI68" i="25" s="1"/>
  <c r="BH53" i="25"/>
  <c r="BH68" i="25" s="1"/>
  <c r="BG53" i="25"/>
  <c r="BG68" i="25" s="1"/>
  <c r="BF53" i="25"/>
  <c r="BF68" i="25" s="1"/>
  <c r="BE53" i="25"/>
  <c r="BE68" i="25" s="1"/>
  <c r="BD53" i="25"/>
  <c r="BD68" i="25" s="1"/>
  <c r="BC53" i="25"/>
  <c r="BC68" i="25" s="1"/>
  <c r="BB53" i="25"/>
  <c r="BB68" i="25" s="1"/>
  <c r="BA53" i="25"/>
  <c r="BA68" i="25" s="1"/>
  <c r="AZ53" i="25"/>
  <c r="AZ68" i="25" s="1"/>
  <c r="AY53" i="25"/>
  <c r="AY68" i="25" s="1"/>
  <c r="AX53" i="25"/>
  <c r="AX68" i="25" s="1"/>
  <c r="AW53" i="25"/>
  <c r="AW68" i="25" s="1"/>
  <c r="AV53" i="25"/>
  <c r="AV68" i="25" s="1"/>
  <c r="AU53" i="25"/>
  <c r="AU68" i="25" s="1"/>
  <c r="AT53" i="25"/>
  <c r="AT68" i="25" s="1"/>
  <c r="AS53" i="25"/>
  <c r="AS68" i="25" s="1"/>
  <c r="AR53" i="25"/>
  <c r="AR68" i="25" s="1"/>
  <c r="AQ53" i="25"/>
  <c r="AQ68" i="25" s="1"/>
  <c r="AP53" i="25"/>
  <c r="AP68" i="25" s="1"/>
  <c r="AO53" i="25"/>
  <c r="AO68" i="25" s="1"/>
  <c r="AN53" i="25"/>
  <c r="AN68" i="25" s="1"/>
  <c r="AM53" i="25"/>
  <c r="AM68" i="25" s="1"/>
  <c r="AL53" i="25"/>
  <c r="AL68" i="25" s="1"/>
  <c r="AK53" i="25"/>
  <c r="AK68" i="25" s="1"/>
  <c r="AJ53" i="25"/>
  <c r="AJ68" i="25" s="1"/>
  <c r="AI53" i="25"/>
  <c r="AI68" i="25" s="1"/>
  <c r="AH53" i="25"/>
  <c r="AH68" i="25" s="1"/>
  <c r="AG53" i="25"/>
  <c r="AG68" i="25" s="1"/>
  <c r="AF53" i="25"/>
  <c r="AF68" i="25" s="1"/>
  <c r="AE53" i="25"/>
  <c r="AE68" i="25" s="1"/>
  <c r="AD53" i="25"/>
  <c r="AD68" i="25" s="1"/>
  <c r="AC53" i="25"/>
  <c r="AC68" i="25" s="1"/>
  <c r="AB53" i="25"/>
  <c r="AB68" i="25" s="1"/>
  <c r="AA53" i="25"/>
  <c r="AA68" i="25" s="1"/>
  <c r="Z53" i="25"/>
  <c r="Z68" i="25" s="1"/>
  <c r="Y53" i="25"/>
  <c r="Y68" i="25" s="1"/>
  <c r="X53" i="25"/>
  <c r="X68" i="25" s="1"/>
  <c r="W53" i="25"/>
  <c r="W68" i="25" s="1"/>
  <c r="V53" i="25"/>
  <c r="V68" i="25" s="1"/>
  <c r="U53" i="25"/>
  <c r="U68" i="25" s="1"/>
  <c r="T53" i="25"/>
  <c r="T68" i="25" s="1"/>
  <c r="S53" i="25"/>
  <c r="S68" i="25" s="1"/>
  <c r="R53" i="25"/>
  <c r="R68" i="25" s="1"/>
  <c r="Q53" i="25"/>
  <c r="Q68" i="25" s="1"/>
  <c r="P53" i="25"/>
  <c r="P68" i="25" s="1"/>
  <c r="O53" i="25"/>
  <c r="O68" i="25" s="1"/>
  <c r="N53" i="25"/>
  <c r="N68" i="25" s="1"/>
  <c r="M53" i="25"/>
  <c r="M68" i="25" s="1"/>
  <c r="L53" i="25"/>
  <c r="L68" i="25" s="1"/>
  <c r="K53" i="25"/>
  <c r="K68" i="25" s="1"/>
  <c r="J53" i="25"/>
  <c r="J68" i="25" s="1"/>
  <c r="I53" i="25"/>
  <c r="I68" i="25" s="1"/>
  <c r="H53" i="25"/>
  <c r="H68" i="25" s="1"/>
  <c r="G53" i="25"/>
  <c r="G68" i="25" s="1"/>
  <c r="F53" i="25"/>
  <c r="F68" i="25" s="1"/>
  <c r="E53" i="25"/>
  <c r="E68" i="25" s="1"/>
  <c r="D53" i="25"/>
  <c r="D68" i="25" s="1"/>
  <c r="C53" i="25"/>
  <c r="C68" i="25" s="1"/>
  <c r="CE52" i="25"/>
  <c r="B50" i="25"/>
  <c r="AP49" i="25"/>
  <c r="AP63" i="25" s="1"/>
  <c r="CE48" i="25"/>
  <c r="D384" i="32"/>
  <c r="C384" i="32"/>
  <c r="D383" i="32"/>
  <c r="C383" i="32"/>
  <c r="D382" i="32"/>
  <c r="C382" i="32"/>
  <c r="D381" i="32"/>
  <c r="C381" i="32"/>
  <c r="D380" i="32"/>
  <c r="C380" i="32"/>
  <c r="D378" i="32"/>
  <c r="C378" i="32"/>
  <c r="D377" i="32"/>
  <c r="C377" i="32"/>
  <c r="D376" i="32"/>
  <c r="C376" i="32"/>
  <c r="I374" i="32"/>
  <c r="E372" i="32"/>
  <c r="D372" i="32"/>
  <c r="C372" i="32"/>
  <c r="D370" i="32"/>
  <c r="C370" i="32"/>
  <c r="D368" i="32"/>
  <c r="C368" i="32"/>
  <c r="D367" i="32"/>
  <c r="C367" i="32"/>
  <c r="D366" i="32"/>
  <c r="C366" i="32"/>
  <c r="D365" i="32"/>
  <c r="C365" i="32"/>
  <c r="D363" i="32"/>
  <c r="C363" i="32"/>
  <c r="D362" i="32"/>
  <c r="C362" i="32"/>
  <c r="I352" i="32"/>
  <c r="H352" i="32"/>
  <c r="G352" i="32"/>
  <c r="F352" i="32"/>
  <c r="E352" i="32"/>
  <c r="D352" i="32"/>
  <c r="C352" i="32"/>
  <c r="I351" i="32"/>
  <c r="H351" i="32"/>
  <c r="G351" i="32"/>
  <c r="F351" i="32"/>
  <c r="E351" i="32"/>
  <c r="D351" i="32"/>
  <c r="C351" i="32"/>
  <c r="I350" i="32"/>
  <c r="H350" i="32"/>
  <c r="G350" i="32"/>
  <c r="F350" i="32"/>
  <c r="E350" i="32"/>
  <c r="D350" i="32"/>
  <c r="C350" i="32"/>
  <c r="I349" i="32"/>
  <c r="H349" i="32"/>
  <c r="G349" i="32"/>
  <c r="F349" i="32"/>
  <c r="E349" i="32"/>
  <c r="D349" i="32"/>
  <c r="C349" i="32"/>
  <c r="I348" i="32"/>
  <c r="H348" i="32"/>
  <c r="G348" i="32"/>
  <c r="F348" i="32"/>
  <c r="E348" i="32"/>
  <c r="D348" i="32"/>
  <c r="C348" i="32"/>
  <c r="I346" i="32"/>
  <c r="H346" i="32"/>
  <c r="G346" i="32"/>
  <c r="F346" i="32"/>
  <c r="E346" i="32"/>
  <c r="D346" i="32"/>
  <c r="C346" i="32"/>
  <c r="I345" i="32"/>
  <c r="H345" i="32"/>
  <c r="G345" i="32"/>
  <c r="F345" i="32"/>
  <c r="E345" i="32"/>
  <c r="D345" i="32"/>
  <c r="C345" i="32"/>
  <c r="I344" i="32"/>
  <c r="H344" i="32"/>
  <c r="G344" i="32"/>
  <c r="F344" i="32"/>
  <c r="E344" i="32"/>
  <c r="D344" i="32"/>
  <c r="C344" i="32"/>
  <c r="I340" i="32"/>
  <c r="H340" i="32"/>
  <c r="G340" i="32"/>
  <c r="F340" i="32"/>
  <c r="E340" i="32"/>
  <c r="D340" i="32"/>
  <c r="C340" i="32"/>
  <c r="I338" i="32"/>
  <c r="H338" i="32"/>
  <c r="G338" i="32"/>
  <c r="F338" i="32"/>
  <c r="E338" i="32"/>
  <c r="D338" i="32"/>
  <c r="C338" i="32"/>
  <c r="I336" i="32"/>
  <c r="H336" i="32"/>
  <c r="G336" i="32"/>
  <c r="F336" i="32"/>
  <c r="E336" i="32"/>
  <c r="D336" i="32"/>
  <c r="C336" i="32"/>
  <c r="I335" i="32"/>
  <c r="H335" i="32"/>
  <c r="G335" i="32"/>
  <c r="F335" i="32"/>
  <c r="E335" i="32"/>
  <c r="D335" i="32"/>
  <c r="C335" i="32"/>
  <c r="I334" i="32"/>
  <c r="H334" i="32"/>
  <c r="G334" i="32"/>
  <c r="F334" i="32"/>
  <c r="E334" i="32"/>
  <c r="D334" i="32"/>
  <c r="C334" i="32"/>
  <c r="I333" i="32"/>
  <c r="H333" i="32"/>
  <c r="G333" i="32"/>
  <c r="F333" i="32"/>
  <c r="E333" i="32"/>
  <c r="D333" i="32"/>
  <c r="C333" i="32"/>
  <c r="I331" i="32"/>
  <c r="H331" i="32"/>
  <c r="G331" i="32"/>
  <c r="F331" i="32"/>
  <c r="E331" i="32"/>
  <c r="D331" i="32"/>
  <c r="C331" i="32"/>
  <c r="I330" i="32"/>
  <c r="H330" i="32"/>
  <c r="G330" i="32"/>
  <c r="F330" i="32"/>
  <c r="E330" i="32"/>
  <c r="D330" i="32"/>
  <c r="C330" i="32"/>
  <c r="I320" i="32"/>
  <c r="H320" i="32"/>
  <c r="G320" i="32"/>
  <c r="F320" i="32"/>
  <c r="E320" i="32"/>
  <c r="D320" i="32"/>
  <c r="C320" i="32"/>
  <c r="I319" i="32"/>
  <c r="H319" i="32"/>
  <c r="G319" i="32"/>
  <c r="F319" i="32"/>
  <c r="E319" i="32"/>
  <c r="D319" i="32"/>
  <c r="C319" i="32"/>
  <c r="I318" i="32"/>
  <c r="H318" i="32"/>
  <c r="G318" i="32"/>
  <c r="F318" i="32"/>
  <c r="E318" i="32"/>
  <c r="D318" i="32"/>
  <c r="C318" i="32"/>
  <c r="I317" i="32"/>
  <c r="H317" i="32"/>
  <c r="G317" i="32"/>
  <c r="F317" i="32"/>
  <c r="E317" i="32"/>
  <c r="D317" i="32"/>
  <c r="C317" i="32"/>
  <c r="I316" i="32"/>
  <c r="H316" i="32"/>
  <c r="G316" i="32"/>
  <c r="F316" i="32"/>
  <c r="E316" i="32"/>
  <c r="D316" i="32"/>
  <c r="C316" i="32"/>
  <c r="I314" i="32"/>
  <c r="H314" i="32"/>
  <c r="G314" i="32"/>
  <c r="F314" i="32"/>
  <c r="E314" i="32"/>
  <c r="D314" i="32"/>
  <c r="C314" i="32"/>
  <c r="I313" i="32"/>
  <c r="H313" i="32"/>
  <c r="G313" i="32"/>
  <c r="F313" i="32"/>
  <c r="E313" i="32"/>
  <c r="D313" i="32"/>
  <c r="C313" i="32"/>
  <c r="I312" i="32"/>
  <c r="H312" i="32"/>
  <c r="G312" i="32"/>
  <c r="F312" i="32"/>
  <c r="E312" i="32"/>
  <c r="D312" i="32"/>
  <c r="C312" i="32"/>
  <c r="I308" i="32"/>
  <c r="H308" i="32"/>
  <c r="G308" i="32"/>
  <c r="F308" i="32"/>
  <c r="E308" i="32"/>
  <c r="D308" i="32"/>
  <c r="C308" i="32"/>
  <c r="I306" i="32"/>
  <c r="H306" i="32"/>
  <c r="G306" i="32"/>
  <c r="F306" i="32"/>
  <c r="E306" i="32"/>
  <c r="D306" i="32"/>
  <c r="C306" i="32"/>
  <c r="I304" i="32"/>
  <c r="H304" i="32"/>
  <c r="G304" i="32"/>
  <c r="F304" i="32"/>
  <c r="E304" i="32"/>
  <c r="D304" i="32"/>
  <c r="C304" i="32"/>
  <c r="I303" i="32"/>
  <c r="H303" i="32"/>
  <c r="G303" i="32"/>
  <c r="F303" i="32"/>
  <c r="E303" i="32"/>
  <c r="D303" i="32"/>
  <c r="C303" i="32"/>
  <c r="I302" i="32"/>
  <c r="H302" i="32"/>
  <c r="G302" i="32"/>
  <c r="F302" i="32"/>
  <c r="E302" i="32"/>
  <c r="D302" i="32"/>
  <c r="C302" i="32"/>
  <c r="I301" i="32"/>
  <c r="H301" i="32"/>
  <c r="G301" i="32"/>
  <c r="F301" i="32"/>
  <c r="E301" i="32"/>
  <c r="D301" i="32"/>
  <c r="C301" i="32"/>
  <c r="I299" i="32"/>
  <c r="H299" i="32"/>
  <c r="G299" i="32"/>
  <c r="F299" i="32"/>
  <c r="E299" i="32"/>
  <c r="D299" i="32"/>
  <c r="C299" i="32"/>
  <c r="I298" i="32"/>
  <c r="H298" i="32"/>
  <c r="G298" i="32"/>
  <c r="F298" i="32"/>
  <c r="E298" i="32"/>
  <c r="D298" i="32"/>
  <c r="C298" i="32"/>
  <c r="I288" i="32"/>
  <c r="H288" i="32"/>
  <c r="G288" i="32"/>
  <c r="F288" i="32"/>
  <c r="E288" i="32"/>
  <c r="D288" i="32"/>
  <c r="C288" i="32"/>
  <c r="I287" i="32"/>
  <c r="H287" i="32"/>
  <c r="G287" i="32"/>
  <c r="F287" i="32"/>
  <c r="E287" i="32"/>
  <c r="D287" i="32"/>
  <c r="C287" i="32"/>
  <c r="I286" i="32"/>
  <c r="H286" i="32"/>
  <c r="G286" i="32"/>
  <c r="F286" i="32"/>
  <c r="E286" i="32"/>
  <c r="D286" i="32"/>
  <c r="C286" i="32"/>
  <c r="I285" i="32"/>
  <c r="H285" i="32"/>
  <c r="G285" i="32"/>
  <c r="F285" i="32"/>
  <c r="E285" i="32"/>
  <c r="D285" i="32"/>
  <c r="C285" i="32"/>
  <c r="I284" i="32"/>
  <c r="H284" i="32"/>
  <c r="G284" i="32"/>
  <c r="F284" i="32"/>
  <c r="E284" i="32"/>
  <c r="D284" i="32"/>
  <c r="C284" i="32"/>
  <c r="I282" i="32"/>
  <c r="H282" i="32"/>
  <c r="G282" i="32"/>
  <c r="F282" i="32"/>
  <c r="E282" i="32"/>
  <c r="D282" i="32"/>
  <c r="C282" i="32"/>
  <c r="I281" i="32"/>
  <c r="H281" i="32"/>
  <c r="G281" i="32"/>
  <c r="F281" i="32"/>
  <c r="E281" i="32"/>
  <c r="D281" i="32"/>
  <c r="C281" i="32"/>
  <c r="I280" i="32"/>
  <c r="H280" i="32"/>
  <c r="G280" i="32"/>
  <c r="F280" i="32"/>
  <c r="E280" i="32"/>
  <c r="D280" i="32"/>
  <c r="C280" i="32"/>
  <c r="I276" i="32"/>
  <c r="H276" i="32"/>
  <c r="G276" i="32"/>
  <c r="F276" i="32"/>
  <c r="E276" i="32"/>
  <c r="D276" i="32"/>
  <c r="C276" i="32"/>
  <c r="I274" i="32"/>
  <c r="H274" i="32"/>
  <c r="G274" i="32"/>
  <c r="F274" i="32"/>
  <c r="E274" i="32"/>
  <c r="D274" i="32"/>
  <c r="C274" i="32"/>
  <c r="I272" i="32"/>
  <c r="H272" i="32"/>
  <c r="G272" i="32"/>
  <c r="F272" i="32"/>
  <c r="E272" i="32"/>
  <c r="D272" i="32"/>
  <c r="C272" i="32"/>
  <c r="I271" i="32"/>
  <c r="H271" i="32"/>
  <c r="G271" i="32"/>
  <c r="F271" i="32"/>
  <c r="E271" i="32"/>
  <c r="D271" i="32"/>
  <c r="C271" i="32"/>
  <c r="I270" i="32"/>
  <c r="H270" i="32"/>
  <c r="G270" i="32"/>
  <c r="F270" i="32"/>
  <c r="E270" i="32"/>
  <c r="D270" i="32"/>
  <c r="C270" i="32"/>
  <c r="I269" i="32"/>
  <c r="H269" i="32"/>
  <c r="G269" i="32"/>
  <c r="F269" i="32"/>
  <c r="E269" i="32"/>
  <c r="D269" i="32"/>
  <c r="C269" i="32"/>
  <c r="I267" i="32"/>
  <c r="H267" i="32"/>
  <c r="G267" i="32"/>
  <c r="F267" i="32"/>
  <c r="E267" i="32"/>
  <c r="D267" i="32"/>
  <c r="C267" i="32"/>
  <c r="I266" i="32"/>
  <c r="H266" i="32"/>
  <c r="G266" i="32"/>
  <c r="F266" i="32"/>
  <c r="E266" i="32"/>
  <c r="D266" i="32"/>
  <c r="C266" i="32"/>
  <c r="I256" i="32"/>
  <c r="H256" i="32"/>
  <c r="G256" i="32"/>
  <c r="F256" i="32"/>
  <c r="E256" i="32"/>
  <c r="D256" i="32"/>
  <c r="C256" i="32"/>
  <c r="I255" i="32"/>
  <c r="H255" i="32"/>
  <c r="G255" i="32"/>
  <c r="F255" i="32"/>
  <c r="E255" i="32"/>
  <c r="D255" i="32"/>
  <c r="C255" i="32"/>
  <c r="I254" i="32"/>
  <c r="H254" i="32"/>
  <c r="G254" i="32"/>
  <c r="F254" i="32"/>
  <c r="E254" i="32"/>
  <c r="D254" i="32"/>
  <c r="C254" i="32"/>
  <c r="I253" i="32"/>
  <c r="H253" i="32"/>
  <c r="G253" i="32"/>
  <c r="F253" i="32"/>
  <c r="E253" i="32"/>
  <c r="D253" i="32"/>
  <c r="C253" i="32"/>
  <c r="I252" i="32"/>
  <c r="H252" i="32"/>
  <c r="G252" i="32"/>
  <c r="F252" i="32"/>
  <c r="E252" i="32"/>
  <c r="D252" i="32"/>
  <c r="C252" i="32"/>
  <c r="I250" i="32"/>
  <c r="H250" i="32"/>
  <c r="G250" i="32"/>
  <c r="F250" i="32"/>
  <c r="E250" i="32"/>
  <c r="D250" i="32"/>
  <c r="C250" i="32"/>
  <c r="I249" i="32"/>
  <c r="H249" i="32"/>
  <c r="G249" i="32"/>
  <c r="F249" i="32"/>
  <c r="E249" i="32"/>
  <c r="D249" i="32"/>
  <c r="C249" i="32"/>
  <c r="I248" i="32"/>
  <c r="H248" i="32"/>
  <c r="G248" i="32"/>
  <c r="F248" i="32"/>
  <c r="E248" i="32"/>
  <c r="D248" i="32"/>
  <c r="C248" i="32"/>
  <c r="I244" i="32"/>
  <c r="H244" i="32"/>
  <c r="G244" i="32"/>
  <c r="F244" i="32"/>
  <c r="E244" i="32"/>
  <c r="D244" i="32"/>
  <c r="C244" i="32"/>
  <c r="I242" i="32"/>
  <c r="H242" i="32"/>
  <c r="G242" i="32"/>
  <c r="F242" i="32"/>
  <c r="E242" i="32"/>
  <c r="D242" i="32"/>
  <c r="C242" i="32"/>
  <c r="I240" i="32"/>
  <c r="H240" i="32"/>
  <c r="G240" i="32"/>
  <c r="F240" i="32"/>
  <c r="E240" i="32"/>
  <c r="D240" i="32"/>
  <c r="C240" i="32"/>
  <c r="I239" i="32"/>
  <c r="H239" i="32"/>
  <c r="G239" i="32"/>
  <c r="F239" i="32"/>
  <c r="E239" i="32"/>
  <c r="D239" i="32"/>
  <c r="C239" i="32"/>
  <c r="I238" i="32"/>
  <c r="H238" i="32"/>
  <c r="G238" i="32"/>
  <c r="F238" i="32"/>
  <c r="E238" i="32"/>
  <c r="D238" i="32"/>
  <c r="C238" i="32"/>
  <c r="I237" i="32"/>
  <c r="H237" i="32"/>
  <c r="G237" i="32"/>
  <c r="F237" i="32"/>
  <c r="E237" i="32"/>
  <c r="D237" i="32"/>
  <c r="C237" i="32"/>
  <c r="I235" i="32"/>
  <c r="H235" i="32"/>
  <c r="G235" i="32"/>
  <c r="F235" i="32"/>
  <c r="E235" i="32"/>
  <c r="D235" i="32"/>
  <c r="C235" i="32"/>
  <c r="I234" i="32"/>
  <c r="H234" i="32"/>
  <c r="G234" i="32"/>
  <c r="F234" i="32"/>
  <c r="E234" i="32"/>
  <c r="D234" i="32"/>
  <c r="C234" i="32"/>
  <c r="H233" i="32"/>
  <c r="D233" i="32"/>
  <c r="C233" i="32"/>
  <c r="I224" i="32"/>
  <c r="H224" i="32"/>
  <c r="G224" i="32"/>
  <c r="F224" i="32"/>
  <c r="E224" i="32"/>
  <c r="D224" i="32"/>
  <c r="C224" i="32"/>
  <c r="I223" i="32"/>
  <c r="H223" i="32"/>
  <c r="G223" i="32"/>
  <c r="F223" i="32"/>
  <c r="E223" i="32"/>
  <c r="D223" i="32"/>
  <c r="C223" i="32"/>
  <c r="I222" i="32"/>
  <c r="H222" i="32"/>
  <c r="G222" i="32"/>
  <c r="F222" i="32"/>
  <c r="E222" i="32"/>
  <c r="D222" i="32"/>
  <c r="C222" i="32"/>
  <c r="I221" i="32"/>
  <c r="H221" i="32"/>
  <c r="G221" i="32"/>
  <c r="F221" i="32"/>
  <c r="E221" i="32"/>
  <c r="D221" i="32"/>
  <c r="C221" i="32"/>
  <c r="I220" i="32"/>
  <c r="H220" i="32"/>
  <c r="G220" i="32"/>
  <c r="F220" i="32"/>
  <c r="E220" i="32"/>
  <c r="D220" i="32"/>
  <c r="C220" i="32"/>
  <c r="I218" i="32"/>
  <c r="H218" i="32"/>
  <c r="G218" i="32"/>
  <c r="I217" i="32"/>
  <c r="H217" i="32"/>
  <c r="G217" i="32"/>
  <c r="F217" i="32"/>
  <c r="E217" i="32"/>
  <c r="D217" i="32"/>
  <c r="C217" i="32"/>
  <c r="I216" i="32"/>
  <c r="H216" i="32"/>
  <c r="G216" i="32"/>
  <c r="F216" i="32"/>
  <c r="E216" i="32"/>
  <c r="D216" i="32"/>
  <c r="C216" i="32"/>
  <c r="I212" i="32"/>
  <c r="H212" i="32"/>
  <c r="G212" i="32"/>
  <c r="F212" i="32"/>
  <c r="E212" i="32"/>
  <c r="D212" i="32"/>
  <c r="C212" i="32"/>
  <c r="I210" i="32"/>
  <c r="H210" i="32"/>
  <c r="G210" i="32"/>
  <c r="F210" i="32"/>
  <c r="E210" i="32"/>
  <c r="D210" i="32"/>
  <c r="C210" i="32"/>
  <c r="I208" i="32"/>
  <c r="H208" i="32"/>
  <c r="G208" i="32"/>
  <c r="F208" i="32"/>
  <c r="E208" i="32"/>
  <c r="D208" i="32"/>
  <c r="C208" i="32"/>
  <c r="I207" i="32"/>
  <c r="H207" i="32"/>
  <c r="G207" i="32"/>
  <c r="F207" i="32"/>
  <c r="E207" i="32"/>
  <c r="D207" i="32"/>
  <c r="C207" i="32"/>
  <c r="I206" i="32"/>
  <c r="H206" i="32"/>
  <c r="G206" i="32"/>
  <c r="F206" i="32"/>
  <c r="E206" i="32"/>
  <c r="D206" i="32"/>
  <c r="C206" i="32"/>
  <c r="I205" i="32"/>
  <c r="H205" i="32"/>
  <c r="G205" i="32"/>
  <c r="F205" i="32"/>
  <c r="E205" i="32"/>
  <c r="D205" i="32"/>
  <c r="C205" i="32"/>
  <c r="I203" i="32"/>
  <c r="H203" i="32"/>
  <c r="G203" i="32"/>
  <c r="F203" i="32"/>
  <c r="E203" i="32"/>
  <c r="D203" i="32"/>
  <c r="C203" i="32"/>
  <c r="I202" i="32"/>
  <c r="H202" i="32"/>
  <c r="G202" i="32"/>
  <c r="F202" i="32"/>
  <c r="E202" i="32"/>
  <c r="D202" i="32"/>
  <c r="C202" i="32"/>
  <c r="I201" i="32"/>
  <c r="E201" i="32"/>
  <c r="D201" i="32"/>
  <c r="C201" i="32"/>
  <c r="I192" i="32"/>
  <c r="H192" i="32"/>
  <c r="G192" i="32"/>
  <c r="F192" i="32"/>
  <c r="E192" i="32"/>
  <c r="D192" i="32"/>
  <c r="C192" i="32"/>
  <c r="I191" i="32"/>
  <c r="H191" i="32"/>
  <c r="G191" i="32"/>
  <c r="F191" i="32"/>
  <c r="E191" i="32"/>
  <c r="D191" i="32"/>
  <c r="C191" i="32"/>
  <c r="I190" i="32"/>
  <c r="H190" i="32"/>
  <c r="G190" i="32"/>
  <c r="F190" i="32"/>
  <c r="E190" i="32"/>
  <c r="D190" i="32"/>
  <c r="C190" i="32"/>
  <c r="I189" i="32"/>
  <c r="H189" i="32"/>
  <c r="G189" i="32"/>
  <c r="F189" i="32"/>
  <c r="E189" i="32"/>
  <c r="D189" i="32"/>
  <c r="C189" i="32"/>
  <c r="I188" i="32"/>
  <c r="H188" i="32"/>
  <c r="G188" i="32"/>
  <c r="F188" i="32"/>
  <c r="E188" i="32"/>
  <c r="D188" i="32"/>
  <c r="C188" i="32"/>
  <c r="I185" i="32"/>
  <c r="H185" i="32"/>
  <c r="G185" i="32"/>
  <c r="F185" i="32"/>
  <c r="E185" i="32"/>
  <c r="D185" i="32"/>
  <c r="C185" i="32"/>
  <c r="I184" i="32"/>
  <c r="G184" i="32"/>
  <c r="F184" i="32"/>
  <c r="E184" i="32"/>
  <c r="D184" i="32"/>
  <c r="C184" i="32"/>
  <c r="I180" i="32"/>
  <c r="H180" i="32"/>
  <c r="G180" i="32"/>
  <c r="F180" i="32"/>
  <c r="E180" i="32"/>
  <c r="D180" i="32"/>
  <c r="C180" i="32"/>
  <c r="I178" i="32"/>
  <c r="H178" i="32"/>
  <c r="G178" i="32"/>
  <c r="F178" i="32"/>
  <c r="E178" i="32"/>
  <c r="D178" i="32"/>
  <c r="C178" i="32"/>
  <c r="I176" i="32"/>
  <c r="H176" i="32"/>
  <c r="G176" i="32"/>
  <c r="F176" i="32"/>
  <c r="E176" i="32"/>
  <c r="D176" i="32"/>
  <c r="C176" i="32"/>
  <c r="I175" i="32"/>
  <c r="H175" i="32"/>
  <c r="G175" i="32"/>
  <c r="F175" i="32"/>
  <c r="E175" i="32"/>
  <c r="D175" i="32"/>
  <c r="C175" i="32"/>
  <c r="I174" i="32"/>
  <c r="H174" i="32"/>
  <c r="G174" i="32"/>
  <c r="F174" i="32"/>
  <c r="E174" i="32"/>
  <c r="D174" i="32"/>
  <c r="C174" i="32"/>
  <c r="I173" i="32"/>
  <c r="H173" i="32"/>
  <c r="G173" i="32"/>
  <c r="F173" i="32"/>
  <c r="E173" i="32"/>
  <c r="D173" i="32"/>
  <c r="C173" i="32"/>
  <c r="I171" i="32"/>
  <c r="H171" i="32"/>
  <c r="G171" i="32"/>
  <c r="F171" i="32"/>
  <c r="E171" i="32"/>
  <c r="D171" i="32"/>
  <c r="C171" i="32"/>
  <c r="I170" i="32"/>
  <c r="H170" i="32"/>
  <c r="G170" i="32"/>
  <c r="F170" i="32"/>
  <c r="E170" i="32"/>
  <c r="D170" i="32"/>
  <c r="C170" i="32"/>
  <c r="I169" i="32"/>
  <c r="H169" i="32"/>
  <c r="G169" i="32"/>
  <c r="F169" i="32"/>
  <c r="E169" i="32"/>
  <c r="D169" i="32"/>
  <c r="C169" i="32"/>
  <c r="I160" i="32"/>
  <c r="H160" i="32"/>
  <c r="G160" i="32"/>
  <c r="F160" i="32"/>
  <c r="E160" i="32"/>
  <c r="D160" i="32"/>
  <c r="C160" i="32"/>
  <c r="I159" i="32"/>
  <c r="H159" i="32"/>
  <c r="G159" i="32"/>
  <c r="F159" i="32"/>
  <c r="E159" i="32"/>
  <c r="D159" i="32"/>
  <c r="C159" i="32"/>
  <c r="I158" i="32"/>
  <c r="H158" i="32"/>
  <c r="G158" i="32"/>
  <c r="F158" i="32"/>
  <c r="E158" i="32"/>
  <c r="D158" i="32"/>
  <c r="C158" i="32"/>
  <c r="I157" i="32"/>
  <c r="H157" i="32"/>
  <c r="G157" i="32"/>
  <c r="F157" i="32"/>
  <c r="E157" i="32"/>
  <c r="D157" i="32"/>
  <c r="C157" i="32"/>
  <c r="I156" i="32"/>
  <c r="H156" i="32"/>
  <c r="G156" i="32"/>
  <c r="F156" i="32"/>
  <c r="E156" i="32"/>
  <c r="D156" i="32"/>
  <c r="C156" i="32"/>
  <c r="I153" i="32"/>
  <c r="H153" i="32"/>
  <c r="G153" i="32"/>
  <c r="F153" i="32"/>
  <c r="E153" i="32"/>
  <c r="D153" i="32"/>
  <c r="C153" i="32"/>
  <c r="I152" i="32"/>
  <c r="H152" i="32"/>
  <c r="G152" i="32"/>
  <c r="F152" i="32"/>
  <c r="E152" i="32"/>
  <c r="D152" i="32"/>
  <c r="C152" i="32"/>
  <c r="I148" i="32"/>
  <c r="H148" i="32"/>
  <c r="G148" i="32"/>
  <c r="F148" i="32"/>
  <c r="E148" i="32"/>
  <c r="D148" i="32"/>
  <c r="C148" i="32"/>
  <c r="I146" i="32"/>
  <c r="H146" i="32"/>
  <c r="G146" i="32"/>
  <c r="F146" i="32"/>
  <c r="E146" i="32"/>
  <c r="D146" i="32"/>
  <c r="C146" i="32"/>
  <c r="I144" i="32"/>
  <c r="H144" i="32"/>
  <c r="G144" i="32"/>
  <c r="F144" i="32"/>
  <c r="E144" i="32"/>
  <c r="D144" i="32"/>
  <c r="C144" i="32"/>
  <c r="I143" i="32"/>
  <c r="H143" i="32"/>
  <c r="G143" i="32"/>
  <c r="F143" i="32"/>
  <c r="E143" i="32"/>
  <c r="D143" i="32"/>
  <c r="C143" i="32"/>
  <c r="I142" i="32"/>
  <c r="H142" i="32"/>
  <c r="G142" i="32"/>
  <c r="F142" i="32"/>
  <c r="E142" i="32"/>
  <c r="D142" i="32"/>
  <c r="C142" i="32"/>
  <c r="I141" i="32"/>
  <c r="H141" i="32"/>
  <c r="G141" i="32"/>
  <c r="F141" i="32"/>
  <c r="E141" i="32"/>
  <c r="D141" i="32"/>
  <c r="C141" i="32"/>
  <c r="I139" i="32"/>
  <c r="H139" i="32"/>
  <c r="G139" i="32"/>
  <c r="F139" i="32"/>
  <c r="E139" i="32"/>
  <c r="D139" i="32"/>
  <c r="C139" i="32"/>
  <c r="I138" i="32"/>
  <c r="H138" i="32"/>
  <c r="G138" i="32"/>
  <c r="F138" i="32"/>
  <c r="E138" i="32"/>
  <c r="D138" i="32"/>
  <c r="C138" i="32"/>
  <c r="I137" i="32"/>
  <c r="H137" i="32"/>
  <c r="G137" i="32"/>
  <c r="F137" i="32"/>
  <c r="E137" i="32"/>
  <c r="D137" i="32"/>
  <c r="C137" i="32"/>
  <c r="I128" i="32"/>
  <c r="H128" i="32"/>
  <c r="G128" i="32"/>
  <c r="F128" i="32"/>
  <c r="E128" i="32"/>
  <c r="D128" i="32"/>
  <c r="C128" i="32"/>
  <c r="I127" i="32"/>
  <c r="H127" i="32"/>
  <c r="G127" i="32"/>
  <c r="F127" i="32"/>
  <c r="E127" i="32"/>
  <c r="D127" i="32"/>
  <c r="C127" i="32"/>
  <c r="I126" i="32"/>
  <c r="H126" i="32"/>
  <c r="G126" i="32"/>
  <c r="F126" i="32"/>
  <c r="E126" i="32"/>
  <c r="D126" i="32"/>
  <c r="C126" i="32"/>
  <c r="I125" i="32"/>
  <c r="H125" i="32"/>
  <c r="G125" i="32"/>
  <c r="F125" i="32"/>
  <c r="E125" i="32"/>
  <c r="D125" i="32"/>
  <c r="C125" i="32"/>
  <c r="I124" i="32"/>
  <c r="H124" i="32"/>
  <c r="G124" i="32"/>
  <c r="F124" i="32"/>
  <c r="E124" i="32"/>
  <c r="D124" i="32"/>
  <c r="C124" i="32"/>
  <c r="I121" i="32"/>
  <c r="H121" i="32"/>
  <c r="G121" i="32"/>
  <c r="F121" i="32"/>
  <c r="E121" i="32"/>
  <c r="D121" i="32"/>
  <c r="C121" i="32"/>
  <c r="I120" i="32"/>
  <c r="H120" i="32"/>
  <c r="G120" i="32"/>
  <c r="F120" i="32"/>
  <c r="E120" i="32"/>
  <c r="D120" i="32"/>
  <c r="C120" i="32"/>
  <c r="I116" i="32"/>
  <c r="H116" i="32"/>
  <c r="G116" i="32"/>
  <c r="F116" i="32"/>
  <c r="E116" i="32"/>
  <c r="D116" i="32"/>
  <c r="C116" i="32"/>
  <c r="I114" i="32"/>
  <c r="H114" i="32"/>
  <c r="G114" i="32"/>
  <c r="F114" i="32"/>
  <c r="E114" i="32"/>
  <c r="D114" i="32"/>
  <c r="C114" i="32"/>
  <c r="I112" i="32"/>
  <c r="H112" i="32"/>
  <c r="G112" i="32"/>
  <c r="F112" i="32"/>
  <c r="E112" i="32"/>
  <c r="D112" i="32"/>
  <c r="C112" i="32"/>
  <c r="I111" i="32"/>
  <c r="H111" i="32"/>
  <c r="G111" i="32"/>
  <c r="F111" i="32"/>
  <c r="E111" i="32"/>
  <c r="D111" i="32"/>
  <c r="C111" i="32"/>
  <c r="I110" i="32"/>
  <c r="H110" i="32"/>
  <c r="G110" i="32"/>
  <c r="F110" i="32"/>
  <c r="E110" i="32"/>
  <c r="D110" i="32"/>
  <c r="C110" i="32"/>
  <c r="I109" i="32"/>
  <c r="H109" i="32"/>
  <c r="G109" i="32"/>
  <c r="F109" i="32"/>
  <c r="E109" i="32"/>
  <c r="D109" i="32"/>
  <c r="C109" i="32"/>
  <c r="I107" i="32"/>
  <c r="H107" i="32"/>
  <c r="G107" i="32"/>
  <c r="F107" i="32"/>
  <c r="E107" i="32"/>
  <c r="D107" i="32"/>
  <c r="C107" i="32"/>
  <c r="I106" i="32"/>
  <c r="H106" i="32"/>
  <c r="G106" i="32"/>
  <c r="F106" i="32"/>
  <c r="E106" i="32"/>
  <c r="D106" i="32"/>
  <c r="C106" i="32"/>
  <c r="I105" i="32"/>
  <c r="H105" i="32"/>
  <c r="F105" i="32"/>
  <c r="E105" i="32"/>
  <c r="D105" i="32"/>
  <c r="C105" i="32"/>
  <c r="I96" i="32"/>
  <c r="H96" i="32"/>
  <c r="G96" i="32"/>
  <c r="F96" i="32"/>
  <c r="E96" i="32"/>
  <c r="D96" i="32"/>
  <c r="C96" i="32"/>
  <c r="I95" i="32"/>
  <c r="H95" i="32"/>
  <c r="G95" i="32"/>
  <c r="F95" i="32"/>
  <c r="E95" i="32"/>
  <c r="D95" i="32"/>
  <c r="C95" i="32"/>
  <c r="I94" i="32"/>
  <c r="H94" i="32"/>
  <c r="G94" i="32"/>
  <c r="F94" i="32"/>
  <c r="E94" i="32"/>
  <c r="D94" i="32"/>
  <c r="C94" i="32"/>
  <c r="I93" i="32"/>
  <c r="H93" i="32"/>
  <c r="G93" i="32"/>
  <c r="F93" i="32"/>
  <c r="E93" i="32"/>
  <c r="D93" i="32"/>
  <c r="C93" i="32"/>
  <c r="I92" i="32"/>
  <c r="H92" i="32"/>
  <c r="G92" i="32"/>
  <c r="F92" i="32"/>
  <c r="E92" i="32"/>
  <c r="D92" i="32"/>
  <c r="C92" i="32"/>
  <c r="I89" i="32"/>
  <c r="H89" i="32"/>
  <c r="G89" i="32"/>
  <c r="F89" i="32"/>
  <c r="E89" i="32"/>
  <c r="D89" i="32"/>
  <c r="C89" i="32"/>
  <c r="I88" i="32"/>
  <c r="H88" i="32"/>
  <c r="G88" i="32"/>
  <c r="F88" i="32"/>
  <c r="E88" i="32"/>
  <c r="D88" i="32"/>
  <c r="C88" i="32"/>
  <c r="I84" i="32"/>
  <c r="H84" i="32"/>
  <c r="G84" i="32"/>
  <c r="F84" i="32"/>
  <c r="E84" i="32"/>
  <c r="D84" i="32"/>
  <c r="C84" i="32"/>
  <c r="I82" i="32"/>
  <c r="H82" i="32"/>
  <c r="G82" i="32"/>
  <c r="F82" i="32"/>
  <c r="E82" i="32"/>
  <c r="D82" i="32"/>
  <c r="C82" i="32"/>
  <c r="I80" i="32"/>
  <c r="H80" i="32"/>
  <c r="G80" i="32"/>
  <c r="F80" i="32"/>
  <c r="E80" i="32"/>
  <c r="D80" i="32"/>
  <c r="C80" i="32"/>
  <c r="I79" i="32"/>
  <c r="H79" i="32"/>
  <c r="G79" i="32"/>
  <c r="F79" i="32"/>
  <c r="E79" i="32"/>
  <c r="D79" i="32"/>
  <c r="C79" i="32"/>
  <c r="I78" i="32"/>
  <c r="H78" i="32"/>
  <c r="G78" i="32"/>
  <c r="F78" i="32"/>
  <c r="E78" i="32"/>
  <c r="D78" i="32"/>
  <c r="C78" i="32"/>
  <c r="I77" i="32"/>
  <c r="H77" i="32"/>
  <c r="G77" i="32"/>
  <c r="F77" i="32"/>
  <c r="E77" i="32"/>
  <c r="D77" i="32"/>
  <c r="C77" i="32"/>
  <c r="I75" i="32"/>
  <c r="H75" i="32"/>
  <c r="G75" i="32"/>
  <c r="F75" i="32"/>
  <c r="E75" i="32"/>
  <c r="D75" i="32"/>
  <c r="C75" i="32"/>
  <c r="I74" i="32"/>
  <c r="H74" i="32"/>
  <c r="G74" i="32"/>
  <c r="F74" i="32"/>
  <c r="E74" i="32"/>
  <c r="D74" i="32"/>
  <c r="C74" i="32"/>
  <c r="I73" i="32"/>
  <c r="H73" i="32"/>
  <c r="G73" i="32"/>
  <c r="I64" i="32"/>
  <c r="H64" i="32"/>
  <c r="G64" i="32"/>
  <c r="F64" i="32"/>
  <c r="E64" i="32"/>
  <c r="D64" i="32"/>
  <c r="C64" i="32"/>
  <c r="I63" i="32"/>
  <c r="H63" i="32"/>
  <c r="G63" i="32"/>
  <c r="F63" i="32"/>
  <c r="E63" i="32"/>
  <c r="D63" i="32"/>
  <c r="C63" i="32"/>
  <c r="I62" i="32"/>
  <c r="H62" i="32"/>
  <c r="G62" i="32"/>
  <c r="F62" i="32"/>
  <c r="E62" i="32"/>
  <c r="D62" i="32"/>
  <c r="C62" i="32"/>
  <c r="I61" i="32"/>
  <c r="H61" i="32"/>
  <c r="G61" i="32"/>
  <c r="F61" i="32"/>
  <c r="E61" i="32"/>
  <c r="D61" i="32"/>
  <c r="C61" i="32"/>
  <c r="I60" i="32"/>
  <c r="H60" i="32"/>
  <c r="G60" i="32"/>
  <c r="F60" i="32"/>
  <c r="E60" i="32"/>
  <c r="D60" i="32"/>
  <c r="C60" i="32"/>
  <c r="I57" i="32"/>
  <c r="H57" i="32"/>
  <c r="G57" i="32"/>
  <c r="F57" i="32"/>
  <c r="E57" i="32"/>
  <c r="D57" i="32"/>
  <c r="C57" i="32"/>
  <c r="I56" i="32"/>
  <c r="H56" i="32"/>
  <c r="G56" i="32"/>
  <c r="F56" i="32"/>
  <c r="E56" i="32"/>
  <c r="D56" i="32"/>
  <c r="C56" i="32"/>
  <c r="I52" i="32"/>
  <c r="H52" i="32"/>
  <c r="G52" i="32"/>
  <c r="F52" i="32"/>
  <c r="E52" i="32"/>
  <c r="D52" i="32"/>
  <c r="C52" i="32"/>
  <c r="I50" i="32"/>
  <c r="H50" i="32"/>
  <c r="G50" i="32"/>
  <c r="F50" i="32"/>
  <c r="E50" i="32"/>
  <c r="D50" i="32"/>
  <c r="C50" i="32"/>
  <c r="I48" i="32"/>
  <c r="H48" i="32"/>
  <c r="G48" i="32"/>
  <c r="F48" i="32"/>
  <c r="E48" i="32"/>
  <c r="D48" i="32"/>
  <c r="C48" i="32"/>
  <c r="I47" i="32"/>
  <c r="H47" i="32"/>
  <c r="G47" i="32"/>
  <c r="F47" i="32"/>
  <c r="E47" i="32"/>
  <c r="D47" i="32"/>
  <c r="C47" i="32"/>
  <c r="I46" i="32"/>
  <c r="H46" i="32"/>
  <c r="G46" i="32"/>
  <c r="F46" i="32"/>
  <c r="E46" i="32"/>
  <c r="D46" i="32"/>
  <c r="C46" i="32"/>
  <c r="I45" i="32"/>
  <c r="H45" i="32"/>
  <c r="G45" i="32"/>
  <c r="F45" i="32"/>
  <c r="E45" i="32"/>
  <c r="D45" i="32"/>
  <c r="C45" i="32"/>
  <c r="I43" i="32"/>
  <c r="H43" i="32"/>
  <c r="G43" i="32"/>
  <c r="F43" i="32"/>
  <c r="E43" i="32"/>
  <c r="D43" i="32"/>
  <c r="C43" i="32"/>
  <c r="I42" i="32"/>
  <c r="H42" i="32"/>
  <c r="G42" i="32"/>
  <c r="F42" i="32"/>
  <c r="E42" i="32"/>
  <c r="D42" i="32"/>
  <c r="C42" i="32"/>
  <c r="H41" i="32"/>
  <c r="G41" i="32"/>
  <c r="F41" i="32"/>
  <c r="E41" i="32"/>
  <c r="D41" i="32"/>
  <c r="C41" i="32"/>
  <c r="I32" i="32"/>
  <c r="H32" i="32"/>
  <c r="G32" i="32"/>
  <c r="F32" i="32"/>
  <c r="E32" i="32"/>
  <c r="D32" i="32"/>
  <c r="C32" i="32"/>
  <c r="I31" i="32"/>
  <c r="H31" i="32"/>
  <c r="G31" i="32"/>
  <c r="F31" i="32"/>
  <c r="E31" i="32"/>
  <c r="D31" i="32"/>
  <c r="C31" i="32"/>
  <c r="I30" i="32"/>
  <c r="H30" i="32"/>
  <c r="G30" i="32"/>
  <c r="F30" i="32"/>
  <c r="E30" i="32"/>
  <c r="D30" i="32"/>
  <c r="C30" i="32"/>
  <c r="I29" i="32"/>
  <c r="H29" i="32"/>
  <c r="G29" i="32"/>
  <c r="F29" i="32"/>
  <c r="E29" i="32"/>
  <c r="D29" i="32"/>
  <c r="C29" i="32"/>
  <c r="I28" i="32"/>
  <c r="H28" i="32"/>
  <c r="G28" i="32"/>
  <c r="F28" i="32"/>
  <c r="E28" i="32"/>
  <c r="D28" i="32"/>
  <c r="C28" i="32"/>
  <c r="I25" i="32"/>
  <c r="H25" i="32"/>
  <c r="G25" i="32"/>
  <c r="F25" i="32"/>
  <c r="E25" i="32"/>
  <c r="D25" i="32"/>
  <c r="C25" i="32"/>
  <c r="I24" i="32"/>
  <c r="H24" i="32"/>
  <c r="G24" i="32"/>
  <c r="F24" i="32"/>
  <c r="E24" i="32"/>
  <c r="D24" i="32"/>
  <c r="C24" i="32"/>
  <c r="I20" i="32"/>
  <c r="H20" i="32"/>
  <c r="G20" i="32"/>
  <c r="F20" i="32"/>
  <c r="E20" i="32"/>
  <c r="D20" i="32"/>
  <c r="C20" i="32"/>
  <c r="I18" i="32"/>
  <c r="H18" i="32"/>
  <c r="G18" i="32"/>
  <c r="F18" i="32"/>
  <c r="E18" i="32"/>
  <c r="D18" i="32"/>
  <c r="C18" i="32"/>
  <c r="I16" i="32"/>
  <c r="H16" i="32"/>
  <c r="G16" i="32"/>
  <c r="F16" i="32"/>
  <c r="E16" i="32"/>
  <c r="D16" i="32"/>
  <c r="C16" i="32"/>
  <c r="I15" i="32"/>
  <c r="H15" i="32"/>
  <c r="G15" i="32"/>
  <c r="F15" i="32"/>
  <c r="E15" i="32"/>
  <c r="D15" i="32"/>
  <c r="C15" i="32"/>
  <c r="I14" i="32"/>
  <c r="H14" i="32"/>
  <c r="G14" i="32"/>
  <c r="F14" i="32"/>
  <c r="E14" i="32"/>
  <c r="D14" i="32"/>
  <c r="C14" i="32"/>
  <c r="I13" i="32"/>
  <c r="H13" i="32"/>
  <c r="G13" i="32"/>
  <c r="F13" i="32"/>
  <c r="E13" i="32"/>
  <c r="D13" i="32"/>
  <c r="C13" i="32"/>
  <c r="I11" i="32"/>
  <c r="H11" i="32"/>
  <c r="G11" i="32"/>
  <c r="F11" i="32"/>
  <c r="E11" i="32"/>
  <c r="D11" i="32"/>
  <c r="C11" i="32"/>
  <c r="I10" i="32"/>
  <c r="H10" i="32"/>
  <c r="G10" i="32"/>
  <c r="F10" i="32"/>
  <c r="E10" i="32"/>
  <c r="D10" i="32"/>
  <c r="C10" i="32"/>
  <c r="I9" i="32"/>
  <c r="H9" i="32"/>
  <c r="G9" i="32"/>
  <c r="F9" i="32"/>
  <c r="E9" i="32"/>
  <c r="D9" i="32"/>
  <c r="C9" i="32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5" i="8"/>
  <c r="C134" i="8"/>
  <c r="C133" i="8"/>
  <c r="C132" i="8"/>
  <c r="C131" i="8"/>
  <c r="C130" i="8"/>
  <c r="C129" i="8"/>
  <c r="C128" i="8"/>
  <c r="C127" i="8"/>
  <c r="C126" i="8"/>
  <c r="C125" i="8"/>
  <c r="C119" i="8"/>
  <c r="C118" i="8"/>
  <c r="C117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C15" i="6"/>
  <c r="C14" i="6"/>
  <c r="C13" i="6"/>
  <c r="C12" i="6"/>
  <c r="C11" i="6"/>
  <c r="C10" i="6"/>
  <c r="C9" i="6"/>
  <c r="C8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5" i="3"/>
  <c r="F4" i="3"/>
  <c r="B4" i="3"/>
  <c r="D25" i="17"/>
  <c r="D11" i="17"/>
  <c r="E69" i="15"/>
  <c r="D69" i="15"/>
  <c r="I66" i="15"/>
  <c r="E65" i="15"/>
  <c r="D65" i="15"/>
  <c r="E64" i="15"/>
  <c r="D64" i="15"/>
  <c r="E63" i="15"/>
  <c r="D63" i="15"/>
  <c r="I62" i="15"/>
  <c r="I61" i="15"/>
  <c r="E59" i="15"/>
  <c r="D59" i="15"/>
  <c r="E58" i="15"/>
  <c r="D58" i="15"/>
  <c r="E57" i="15"/>
  <c r="D57" i="15"/>
  <c r="E56" i="15"/>
  <c r="D56" i="15"/>
  <c r="E55" i="15"/>
  <c r="D55" i="15"/>
  <c r="E54" i="15"/>
  <c r="D54" i="15"/>
  <c r="E53" i="15"/>
  <c r="D53" i="15"/>
  <c r="E52" i="15"/>
  <c r="D52" i="15"/>
  <c r="E51" i="15"/>
  <c r="D51" i="15"/>
  <c r="E50" i="15"/>
  <c r="D50" i="15"/>
  <c r="E49" i="15"/>
  <c r="D49" i="15"/>
  <c r="E48" i="15"/>
  <c r="D48" i="15"/>
  <c r="E47" i="15"/>
  <c r="D47" i="15"/>
  <c r="E46" i="15"/>
  <c r="D46" i="15"/>
  <c r="E45" i="15"/>
  <c r="D45" i="15"/>
  <c r="E44" i="15"/>
  <c r="D44" i="15"/>
  <c r="E43" i="15"/>
  <c r="D43" i="15"/>
  <c r="E42" i="15"/>
  <c r="D42" i="15"/>
  <c r="E41" i="15"/>
  <c r="D41" i="15"/>
  <c r="E39" i="15"/>
  <c r="D39" i="15"/>
  <c r="E38" i="15"/>
  <c r="D38" i="15"/>
  <c r="E37" i="15"/>
  <c r="D37" i="15"/>
  <c r="E36" i="15"/>
  <c r="D36" i="15"/>
  <c r="E35" i="15"/>
  <c r="D35" i="15"/>
  <c r="E34" i="15"/>
  <c r="D34" i="15"/>
  <c r="E33" i="15"/>
  <c r="D33" i="15"/>
  <c r="D30" i="15"/>
  <c r="D29" i="15"/>
  <c r="D28" i="15"/>
  <c r="E27" i="15"/>
  <c r="D27" i="15"/>
  <c r="E26" i="15"/>
  <c r="D26" i="15"/>
  <c r="E25" i="15"/>
  <c r="D25" i="15"/>
  <c r="E24" i="15"/>
  <c r="D24" i="15"/>
  <c r="E23" i="15"/>
  <c r="D23" i="15"/>
  <c r="E22" i="15"/>
  <c r="D22" i="15"/>
  <c r="E21" i="15"/>
  <c r="D21" i="15"/>
  <c r="E20" i="15"/>
  <c r="D20" i="15"/>
  <c r="E19" i="15"/>
  <c r="D19" i="15"/>
  <c r="E18" i="15"/>
  <c r="D18" i="15"/>
  <c r="E17" i="15"/>
  <c r="D17" i="15"/>
  <c r="E16" i="15"/>
  <c r="D16" i="15"/>
  <c r="E15" i="15"/>
  <c r="D15" i="15"/>
  <c r="G12" i="15"/>
  <c r="F12" i="15"/>
  <c r="E12" i="15"/>
  <c r="D12" i="15"/>
  <c r="C12" i="15"/>
  <c r="B12" i="15"/>
  <c r="A12" i="15"/>
  <c r="E19" i="27"/>
  <c r="E18" i="27"/>
  <c r="E17" i="27"/>
  <c r="D415" i="24"/>
  <c r="CP2" i="30" s="1"/>
  <c r="D381" i="24"/>
  <c r="D366" i="24"/>
  <c r="C120" i="8" s="1"/>
  <c r="D360" i="24"/>
  <c r="D340" i="24"/>
  <c r="C86" i="8" s="1"/>
  <c r="D339" i="24"/>
  <c r="D329" i="24"/>
  <c r="C74" i="8" s="1"/>
  <c r="D324" i="24"/>
  <c r="C68" i="8" s="1"/>
  <c r="D306" i="24"/>
  <c r="C49" i="8" s="1"/>
  <c r="D299" i="24"/>
  <c r="C42" i="8" s="1"/>
  <c r="D291" i="24"/>
  <c r="D281" i="24"/>
  <c r="C22" i="8" s="1"/>
  <c r="D276" i="24"/>
  <c r="C16" i="8" s="1"/>
  <c r="D256" i="24"/>
  <c r="D252" i="24"/>
  <c r="D245" i="24"/>
  <c r="D13" i="7" s="1"/>
  <c r="D237" i="24"/>
  <c r="D233" i="24"/>
  <c r="C233" i="24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F24" i="6" s="1"/>
  <c r="D220" i="24"/>
  <c r="C220" i="24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F8" i="6" s="1"/>
  <c r="E211" i="24"/>
  <c r="F7" i="6" s="1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168" i="24"/>
  <c r="D28" i="4" s="1"/>
  <c r="E167" i="24"/>
  <c r="C28" i="4" s="1"/>
  <c r="E166" i="24"/>
  <c r="B28" i="4" s="1"/>
  <c r="E164" i="24"/>
  <c r="F19" i="4" s="1"/>
  <c r="E163" i="24"/>
  <c r="E19" i="4" s="1"/>
  <c r="E162" i="24"/>
  <c r="D19" i="4" s="1"/>
  <c r="E161" i="24"/>
  <c r="C19" i="4" s="1"/>
  <c r="E160" i="24"/>
  <c r="B19" i="4" s="1"/>
  <c r="E158" i="24"/>
  <c r="F10" i="4" s="1"/>
  <c r="E157" i="24"/>
  <c r="E10" i="4" s="1"/>
  <c r="E156" i="24"/>
  <c r="D10" i="4" s="1"/>
  <c r="E155" i="24"/>
  <c r="C10" i="4" s="1"/>
  <c r="E154" i="24"/>
  <c r="B10" i="4" s="1"/>
  <c r="E143" i="24"/>
  <c r="G34" i="3" s="1"/>
  <c r="CE94" i="24"/>
  <c r="I384" i="32" s="1"/>
  <c r="CF93" i="24"/>
  <c r="CE93" i="24"/>
  <c r="I383" i="32" s="1"/>
  <c r="CE92" i="24"/>
  <c r="I382" i="32" s="1"/>
  <c r="CE91" i="24"/>
  <c r="I381" i="32" s="1"/>
  <c r="CE90" i="24"/>
  <c r="CE88" i="24"/>
  <c r="I377" i="32" s="1"/>
  <c r="I372" i="32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E371" i="32" s="1"/>
  <c r="CC69" i="24"/>
  <c r="CB69" i="24"/>
  <c r="CA69" i="24"/>
  <c r="BZ69" i="24"/>
  <c r="BY69" i="24"/>
  <c r="BX69" i="24"/>
  <c r="BW69" i="24"/>
  <c r="BV69" i="24"/>
  <c r="BU69" i="24"/>
  <c r="BT69" i="24"/>
  <c r="BS69" i="24"/>
  <c r="BR69" i="24"/>
  <c r="BQ69" i="24"/>
  <c r="BP69" i="24"/>
  <c r="BO69" i="24"/>
  <c r="BN69" i="24"/>
  <c r="BM69" i="24"/>
  <c r="BL69" i="24"/>
  <c r="BK69" i="24"/>
  <c r="BJ69" i="24"/>
  <c r="BI69" i="24"/>
  <c r="BH69" i="24"/>
  <c r="BG69" i="24"/>
  <c r="BF69" i="24"/>
  <c r="BE69" i="24"/>
  <c r="BD69" i="24"/>
  <c r="BC69" i="24"/>
  <c r="BB69" i="24"/>
  <c r="BA69" i="24"/>
  <c r="AZ69" i="24"/>
  <c r="AY69" i="24"/>
  <c r="AX69" i="24"/>
  <c r="AW69" i="24"/>
  <c r="AV69" i="24"/>
  <c r="AU69" i="24"/>
  <c r="AT69" i="24"/>
  <c r="AS69" i="24"/>
  <c r="AR69" i="24"/>
  <c r="AQ69" i="24"/>
  <c r="AP69" i="24"/>
  <c r="AO69" i="24"/>
  <c r="AN69" i="24"/>
  <c r="AM69" i="24"/>
  <c r="AL69" i="24"/>
  <c r="AK69" i="24"/>
  <c r="AJ69" i="24"/>
  <c r="AI69" i="24"/>
  <c r="AH69" i="24"/>
  <c r="AG69" i="24"/>
  <c r="AF69" i="24"/>
  <c r="AE69" i="24"/>
  <c r="AD69" i="24"/>
  <c r="AC69" i="24"/>
  <c r="AB69" i="24"/>
  <c r="AA69" i="24"/>
  <c r="Z69" i="24"/>
  <c r="Y69" i="24"/>
  <c r="X69" i="24"/>
  <c r="W69" i="24"/>
  <c r="V69" i="24"/>
  <c r="U69" i="24"/>
  <c r="O20" i="31" s="1"/>
  <c r="T69" i="24"/>
  <c r="S69" i="24"/>
  <c r="R69" i="24"/>
  <c r="Q69" i="24"/>
  <c r="O16" i="31" s="1"/>
  <c r="P69" i="24"/>
  <c r="O69" i="24"/>
  <c r="N69" i="24"/>
  <c r="M69" i="24"/>
  <c r="L69" i="24"/>
  <c r="K69" i="24"/>
  <c r="J69" i="24"/>
  <c r="I69" i="24"/>
  <c r="H69" i="24"/>
  <c r="O7" i="31" s="1"/>
  <c r="G69" i="24"/>
  <c r="F69" i="24"/>
  <c r="E69" i="24"/>
  <c r="D69" i="24"/>
  <c r="C69" i="24"/>
  <c r="CE68" i="24"/>
  <c r="I370" i="32" s="1"/>
  <c r="CE66" i="24"/>
  <c r="I368" i="32" s="1"/>
  <c r="CE65" i="24"/>
  <c r="I367" i="32" s="1"/>
  <c r="CE64" i="24"/>
  <c r="CE63" i="24"/>
  <c r="I365" i="32" s="1"/>
  <c r="CE61" i="24"/>
  <c r="I363" i="32" s="1"/>
  <c r="B53" i="24"/>
  <c r="CE51" i="24"/>
  <c r="B49" i="24"/>
  <c r="CE47" i="24"/>
  <c r="D293" i="24" l="1"/>
  <c r="C35" i="8" s="1"/>
  <c r="C33" i="8"/>
  <c r="I58" i="32"/>
  <c r="C90" i="32"/>
  <c r="AE17" i="31"/>
  <c r="E218" i="32"/>
  <c r="AE38" i="31"/>
  <c r="H90" i="32"/>
  <c r="G26" i="32"/>
  <c r="AE14" i="31"/>
  <c r="AE30" i="31"/>
  <c r="I90" i="32"/>
  <c r="F218" i="32"/>
  <c r="AE8" i="31"/>
  <c r="E58" i="32"/>
  <c r="F90" i="32"/>
  <c r="AU48" i="24"/>
  <c r="AU62" i="24" s="1"/>
  <c r="H46" i="31" s="1"/>
  <c r="G48" i="24"/>
  <c r="G62" i="24" s="1"/>
  <c r="G12" i="32" s="1"/>
  <c r="W48" i="24"/>
  <c r="W62" i="24" s="1"/>
  <c r="H22" i="31" s="1"/>
  <c r="BK48" i="24"/>
  <c r="BK62" i="24" s="1"/>
  <c r="H62" i="31" s="1"/>
  <c r="H48" i="24"/>
  <c r="H62" i="24" s="1"/>
  <c r="H7" i="31" s="1"/>
  <c r="P48" i="24"/>
  <c r="P62" i="24" s="1"/>
  <c r="I44" i="32" s="1"/>
  <c r="X48" i="24"/>
  <c r="X62" i="24" s="1"/>
  <c r="C108" i="32" s="1"/>
  <c r="AF48" i="24"/>
  <c r="AF62" i="24" s="1"/>
  <c r="H31" i="31" s="1"/>
  <c r="AN48" i="24"/>
  <c r="AN62" i="24" s="1"/>
  <c r="E172" i="32" s="1"/>
  <c r="AV48" i="24"/>
  <c r="AV62" i="24" s="1"/>
  <c r="F204" i="32" s="1"/>
  <c r="BD48" i="24"/>
  <c r="BD62" i="24" s="1"/>
  <c r="G236" i="32" s="1"/>
  <c r="BL48" i="24"/>
  <c r="BL62" i="24" s="1"/>
  <c r="H63" i="31" s="1"/>
  <c r="BT48" i="24"/>
  <c r="BT62" i="24" s="1"/>
  <c r="I300" i="32" s="1"/>
  <c r="CB48" i="24"/>
  <c r="CB62" i="24" s="1"/>
  <c r="H79" i="31" s="1"/>
  <c r="AM48" i="24"/>
  <c r="AM62" i="24" s="1"/>
  <c r="H38" i="31" s="1"/>
  <c r="BS48" i="24"/>
  <c r="BS62" i="24" s="1"/>
  <c r="H70" i="31" s="1"/>
  <c r="Q48" i="24"/>
  <c r="Q62" i="24" s="1"/>
  <c r="H16" i="31" s="1"/>
  <c r="AO48" i="24"/>
  <c r="AO62" i="24" s="1"/>
  <c r="F172" i="32" s="1"/>
  <c r="AW48" i="24"/>
  <c r="AW62" i="24" s="1"/>
  <c r="G204" i="32" s="1"/>
  <c r="J48" i="24"/>
  <c r="J62" i="24" s="1"/>
  <c r="H9" i="31" s="1"/>
  <c r="R48" i="24"/>
  <c r="R62" i="24" s="1"/>
  <c r="D76" i="32" s="1"/>
  <c r="Z48" i="24"/>
  <c r="Z62" i="24" s="1"/>
  <c r="E108" i="32" s="1"/>
  <c r="AH48" i="24"/>
  <c r="AH62" i="24" s="1"/>
  <c r="H33" i="31" s="1"/>
  <c r="AP48" i="24"/>
  <c r="AP62" i="24" s="1"/>
  <c r="H41" i="31" s="1"/>
  <c r="AX48" i="24"/>
  <c r="AX62" i="24" s="1"/>
  <c r="H204" i="32" s="1"/>
  <c r="BF48" i="24"/>
  <c r="BF62" i="24" s="1"/>
  <c r="H57" i="31" s="1"/>
  <c r="BN48" i="24"/>
  <c r="BN62" i="24" s="1"/>
  <c r="C300" i="32" s="1"/>
  <c r="BV48" i="24"/>
  <c r="BV62" i="24" s="1"/>
  <c r="H73" i="31" s="1"/>
  <c r="CD48" i="24"/>
  <c r="O48" i="24"/>
  <c r="O62" i="24" s="1"/>
  <c r="H14" i="31" s="1"/>
  <c r="BC48" i="24"/>
  <c r="BC62" i="24" s="1"/>
  <c r="H54" i="31" s="1"/>
  <c r="CA48" i="24"/>
  <c r="CA62" i="24" s="1"/>
  <c r="I332" i="32" s="1"/>
  <c r="AG48" i="24"/>
  <c r="AG62" i="24" s="1"/>
  <c r="H32" i="31" s="1"/>
  <c r="CC48" i="24"/>
  <c r="CC62" i="24" s="1"/>
  <c r="H80" i="31" s="1"/>
  <c r="C48" i="24"/>
  <c r="C62" i="24" s="1"/>
  <c r="C12" i="32" s="1"/>
  <c r="K48" i="24"/>
  <c r="K62" i="24" s="1"/>
  <c r="H10" i="31" s="1"/>
  <c r="S48" i="24"/>
  <c r="S62" i="24" s="1"/>
  <c r="H18" i="31" s="1"/>
  <c r="AA48" i="24"/>
  <c r="AA62" i="24" s="1"/>
  <c r="H26" i="31" s="1"/>
  <c r="AI48" i="24"/>
  <c r="AI62" i="24" s="1"/>
  <c r="H34" i="31" s="1"/>
  <c r="AQ48" i="24"/>
  <c r="AQ62" i="24" s="1"/>
  <c r="H42" i="31" s="1"/>
  <c r="AY48" i="24"/>
  <c r="AY62" i="24" s="1"/>
  <c r="I204" i="32" s="1"/>
  <c r="BG48" i="24"/>
  <c r="BG62" i="24" s="1"/>
  <c r="H58" i="31" s="1"/>
  <c r="BO48" i="24"/>
  <c r="BO62" i="24" s="1"/>
  <c r="D300" i="32" s="1"/>
  <c r="BW48" i="24"/>
  <c r="BW62" i="24" s="1"/>
  <c r="E332" i="32" s="1"/>
  <c r="I48" i="24"/>
  <c r="I62" i="24" s="1"/>
  <c r="H8" i="31" s="1"/>
  <c r="BU48" i="24"/>
  <c r="BU62" i="24" s="1"/>
  <c r="C332" i="32" s="1"/>
  <c r="D48" i="24"/>
  <c r="D62" i="24" s="1"/>
  <c r="H3" i="31" s="1"/>
  <c r="L48" i="24"/>
  <c r="L62" i="24" s="1"/>
  <c r="T48" i="24"/>
  <c r="T62" i="24" s="1"/>
  <c r="H19" i="31" s="1"/>
  <c r="AB48" i="24"/>
  <c r="AB62" i="24" s="1"/>
  <c r="H27" i="31" s="1"/>
  <c r="AJ48" i="24"/>
  <c r="AJ62" i="24" s="1"/>
  <c r="H35" i="31" s="1"/>
  <c r="AR48" i="24"/>
  <c r="AR62" i="24" s="1"/>
  <c r="H43" i="31" s="1"/>
  <c r="AZ48" i="24"/>
  <c r="AZ62" i="24" s="1"/>
  <c r="C236" i="32" s="1"/>
  <c r="BH48" i="24"/>
  <c r="BH62" i="24" s="1"/>
  <c r="H59" i="31" s="1"/>
  <c r="BP48" i="24"/>
  <c r="BP62" i="24" s="1"/>
  <c r="H67" i="31" s="1"/>
  <c r="BX48" i="24"/>
  <c r="BX62" i="24" s="1"/>
  <c r="H75" i="31" s="1"/>
  <c r="AE48" i="24"/>
  <c r="AE62" i="24" s="1"/>
  <c r="H30" i="31" s="1"/>
  <c r="BM48" i="24"/>
  <c r="BM62" i="24" s="1"/>
  <c r="H64" i="31" s="1"/>
  <c r="E48" i="24"/>
  <c r="E62" i="24" s="1"/>
  <c r="H4" i="31" s="1"/>
  <c r="M48" i="24"/>
  <c r="M62" i="24" s="1"/>
  <c r="F44" i="32" s="1"/>
  <c r="U48" i="24"/>
  <c r="U62" i="24" s="1"/>
  <c r="H20" i="31" s="1"/>
  <c r="AC48" i="24"/>
  <c r="AC62" i="24" s="1"/>
  <c r="H108" i="32" s="1"/>
  <c r="AK48" i="24"/>
  <c r="AK62" i="24" s="1"/>
  <c r="H36" i="31" s="1"/>
  <c r="AS48" i="24"/>
  <c r="AS62" i="24" s="1"/>
  <c r="C204" i="32" s="1"/>
  <c r="BA48" i="24"/>
  <c r="BA62" i="24" s="1"/>
  <c r="H52" i="31" s="1"/>
  <c r="BI48" i="24"/>
  <c r="BI62" i="24" s="1"/>
  <c r="H60" i="31" s="1"/>
  <c r="BQ48" i="24"/>
  <c r="BQ62" i="24" s="1"/>
  <c r="H68" i="31" s="1"/>
  <c r="BY48" i="24"/>
  <c r="BY62" i="24" s="1"/>
  <c r="G332" i="32" s="1"/>
  <c r="Y48" i="24"/>
  <c r="Y62" i="24" s="1"/>
  <c r="H24" i="31" s="1"/>
  <c r="BE48" i="24"/>
  <c r="BE62" i="24" s="1"/>
  <c r="H56" i="31" s="1"/>
  <c r="F48" i="24"/>
  <c r="F62" i="24" s="1"/>
  <c r="H5" i="31" s="1"/>
  <c r="N48" i="24"/>
  <c r="N62" i="24" s="1"/>
  <c r="G44" i="32" s="1"/>
  <c r="V48" i="24"/>
  <c r="V62" i="24" s="1"/>
  <c r="H21" i="31" s="1"/>
  <c r="AD48" i="24"/>
  <c r="AD62" i="24" s="1"/>
  <c r="I108" i="32" s="1"/>
  <c r="AL48" i="24"/>
  <c r="AL62" i="24" s="1"/>
  <c r="C172" i="32" s="1"/>
  <c r="AT48" i="24"/>
  <c r="AT62" i="24" s="1"/>
  <c r="H45" i="31" s="1"/>
  <c r="BB48" i="24"/>
  <c r="BB62" i="24" s="1"/>
  <c r="E236" i="32" s="1"/>
  <c r="BJ48" i="24"/>
  <c r="BJ62" i="24" s="1"/>
  <c r="H61" i="31" s="1"/>
  <c r="BR48" i="24"/>
  <c r="BR62" i="24" s="1"/>
  <c r="H69" i="31" s="1"/>
  <c r="BZ48" i="24"/>
  <c r="BZ62" i="24" s="1"/>
  <c r="H77" i="31" s="1"/>
  <c r="CF91" i="25"/>
  <c r="G122" i="32"/>
  <c r="H154" i="32"/>
  <c r="D26" i="32"/>
  <c r="I186" i="32"/>
  <c r="G154" i="32"/>
  <c r="G186" i="32"/>
  <c r="AE10" i="31"/>
  <c r="D416" i="24"/>
  <c r="E414" i="24" s="1"/>
  <c r="AE37" i="31"/>
  <c r="I122" i="32"/>
  <c r="F26" i="32"/>
  <c r="AE13" i="31"/>
  <c r="D218" i="32"/>
  <c r="C26" i="32"/>
  <c r="AE16" i="31"/>
  <c r="AE24" i="31"/>
  <c r="AE40" i="31"/>
  <c r="AE32" i="31"/>
  <c r="I154" i="32"/>
  <c r="H122" i="32"/>
  <c r="AE12" i="31"/>
  <c r="C218" i="32"/>
  <c r="AE4" i="31"/>
  <c r="AE20" i="31"/>
  <c r="G10" i="4"/>
  <c r="CE69" i="24"/>
  <c r="I371" i="32" s="1"/>
  <c r="B14" i="31"/>
  <c r="B33" i="31"/>
  <c r="B34" i="31"/>
  <c r="B35" i="31"/>
  <c r="B36" i="31"/>
  <c r="B51" i="31"/>
  <c r="B56" i="31"/>
  <c r="H164" i="32"/>
  <c r="B79" i="31"/>
  <c r="H4" i="32"/>
  <c r="H260" i="32"/>
  <c r="B23" i="31"/>
  <c r="B24" i="31"/>
  <c r="B41" i="31"/>
  <c r="B42" i="31"/>
  <c r="B43" i="31"/>
  <c r="B54" i="31"/>
  <c r="H36" i="32"/>
  <c r="E381" i="25"/>
  <c r="D368" i="25"/>
  <c r="D385" i="25" s="1"/>
  <c r="D418" i="25" s="1"/>
  <c r="D422" i="25" s="1"/>
  <c r="D425" i="25" s="1"/>
  <c r="D309" i="25"/>
  <c r="D353" i="25" s="1"/>
  <c r="D259" i="25"/>
  <c r="CE90" i="25"/>
  <c r="K613" i="25" s="1"/>
  <c r="CF92" i="25"/>
  <c r="CD86" i="25"/>
  <c r="B94" i="15" s="1"/>
  <c r="F94" i="15" s="1"/>
  <c r="AP86" i="25"/>
  <c r="C708" i="25" s="1"/>
  <c r="G19" i="4"/>
  <c r="AE39" i="31"/>
  <c r="AE15" i="31"/>
  <c r="AE7" i="31"/>
  <c r="AE31" i="31"/>
  <c r="AE23" i="31"/>
  <c r="J612" i="24"/>
  <c r="C83" i="32"/>
  <c r="C58" i="32"/>
  <c r="D90" i="32"/>
  <c r="AE33" i="31"/>
  <c r="E90" i="32"/>
  <c r="E122" i="32"/>
  <c r="F122" i="32"/>
  <c r="E32" i="6"/>
  <c r="O6" i="31"/>
  <c r="G19" i="32"/>
  <c r="O22" i="31"/>
  <c r="I83" i="32"/>
  <c r="O30" i="31"/>
  <c r="C147" i="32"/>
  <c r="O46" i="31"/>
  <c r="E211" i="32"/>
  <c r="O54" i="31"/>
  <c r="F243" i="32"/>
  <c r="O62" i="31"/>
  <c r="G275" i="32"/>
  <c r="O70" i="31"/>
  <c r="H307" i="32"/>
  <c r="E233" i="24"/>
  <c r="F32" i="6" s="1"/>
  <c r="I380" i="32"/>
  <c r="CF90" i="24"/>
  <c r="CB52" i="24" s="1"/>
  <c r="CB67" i="24" s="1"/>
  <c r="D612" i="24"/>
  <c r="O14" i="31"/>
  <c r="H51" i="32"/>
  <c r="O38" i="31"/>
  <c r="D179" i="32"/>
  <c r="O78" i="31"/>
  <c r="I339" i="32"/>
  <c r="BK2" i="30"/>
  <c r="I362" i="32"/>
  <c r="H612" i="24"/>
  <c r="E220" i="24"/>
  <c r="F16" i="6" s="1"/>
  <c r="I612" i="24"/>
  <c r="I366" i="32"/>
  <c r="F612" i="24"/>
  <c r="BQ2" i="30"/>
  <c r="D383" i="24"/>
  <c r="D12" i="17" s="1"/>
  <c r="DF2" i="30"/>
  <c r="C170" i="8"/>
  <c r="AV52" i="24"/>
  <c r="AV67" i="24" s="1"/>
  <c r="D22" i="7"/>
  <c r="D258" i="24"/>
  <c r="D27" i="7" s="1"/>
  <c r="O2" i="31"/>
  <c r="C19" i="32"/>
  <c r="O18" i="31"/>
  <c r="E83" i="32"/>
  <c r="O42" i="31"/>
  <c r="H179" i="32"/>
  <c r="O58" i="31"/>
  <c r="C275" i="32"/>
  <c r="O74" i="31"/>
  <c r="E339" i="32"/>
  <c r="C85" i="8"/>
  <c r="D341" i="24"/>
  <c r="C87" i="8" s="1"/>
  <c r="X52" i="24"/>
  <c r="X67" i="24" s="1"/>
  <c r="O10" i="31"/>
  <c r="D51" i="32"/>
  <c r="O26" i="31"/>
  <c r="F115" i="32"/>
  <c r="O34" i="31"/>
  <c r="G147" i="32"/>
  <c r="O50" i="31"/>
  <c r="I211" i="32"/>
  <c r="O66" i="31"/>
  <c r="D307" i="32"/>
  <c r="L52" i="24"/>
  <c r="L67" i="24" s="1"/>
  <c r="BX52" i="24"/>
  <c r="BX67" i="24" s="1"/>
  <c r="O3" i="31"/>
  <c r="D19" i="32"/>
  <c r="O11" i="31"/>
  <c r="E51" i="32"/>
  <c r="O19" i="31"/>
  <c r="F83" i="32"/>
  <c r="O27" i="31"/>
  <c r="G115" i="32"/>
  <c r="O35" i="31"/>
  <c r="H147" i="32"/>
  <c r="O43" i="31"/>
  <c r="I179" i="32"/>
  <c r="O51" i="31"/>
  <c r="C243" i="32"/>
  <c r="O59" i="31"/>
  <c r="D275" i="32"/>
  <c r="O67" i="31"/>
  <c r="E307" i="32"/>
  <c r="O75" i="31"/>
  <c r="F339" i="32"/>
  <c r="E221" i="25"/>
  <c r="O4" i="31"/>
  <c r="E19" i="32"/>
  <c r="O12" i="31"/>
  <c r="F51" i="32"/>
  <c r="O28" i="31"/>
  <c r="H115" i="32"/>
  <c r="O36" i="31"/>
  <c r="I147" i="32"/>
  <c r="O44" i="31"/>
  <c r="C211" i="32"/>
  <c r="O52" i="31"/>
  <c r="D243" i="32"/>
  <c r="O60" i="31"/>
  <c r="E275" i="32"/>
  <c r="O68" i="31"/>
  <c r="F307" i="32"/>
  <c r="O76" i="31"/>
  <c r="G339" i="32"/>
  <c r="E28" i="4"/>
  <c r="G28" i="4"/>
  <c r="CF2" i="28"/>
  <c r="D5" i="7"/>
  <c r="O5" i="31"/>
  <c r="F19" i="32"/>
  <c r="O13" i="31"/>
  <c r="G51" i="32"/>
  <c r="O21" i="31"/>
  <c r="H83" i="32"/>
  <c r="O29" i="31"/>
  <c r="I115" i="32"/>
  <c r="O37" i="31"/>
  <c r="C179" i="32"/>
  <c r="O45" i="31"/>
  <c r="D211" i="32"/>
  <c r="O53" i="31"/>
  <c r="E243" i="32"/>
  <c r="O61" i="31"/>
  <c r="F275" i="32"/>
  <c r="O69" i="31"/>
  <c r="G307" i="32"/>
  <c r="O77" i="31"/>
  <c r="H339" i="32"/>
  <c r="L612" i="24"/>
  <c r="O15" i="31"/>
  <c r="I51" i="32"/>
  <c r="O23" i="31"/>
  <c r="C115" i="32"/>
  <c r="O31" i="31"/>
  <c r="D147" i="32"/>
  <c r="O39" i="31"/>
  <c r="E179" i="32"/>
  <c r="O47" i="31"/>
  <c r="F211" i="32"/>
  <c r="O55" i="31"/>
  <c r="G243" i="32"/>
  <c r="H275" i="32"/>
  <c r="O63" i="31"/>
  <c r="O71" i="31"/>
  <c r="I307" i="32"/>
  <c r="O79" i="31"/>
  <c r="C371" i="32"/>
  <c r="C113" i="8"/>
  <c r="C615" i="24"/>
  <c r="H19" i="32"/>
  <c r="G83" i="32"/>
  <c r="CB49" i="25"/>
  <c r="CB63" i="25" s="1"/>
  <c r="CB86" i="25" s="1"/>
  <c r="BT49" i="25"/>
  <c r="BT63" i="25" s="1"/>
  <c r="BT86" i="25" s="1"/>
  <c r="BL49" i="25"/>
  <c r="BL63" i="25" s="1"/>
  <c r="BL86" i="25" s="1"/>
  <c r="BD49" i="25"/>
  <c r="BD63" i="25" s="1"/>
  <c r="BD86" i="25" s="1"/>
  <c r="AV49" i="25"/>
  <c r="AV63" i="25" s="1"/>
  <c r="AV86" i="25" s="1"/>
  <c r="AN49" i="25"/>
  <c r="AN63" i="25" s="1"/>
  <c r="AN86" i="25" s="1"/>
  <c r="AF49" i="25"/>
  <c r="AF63" i="25" s="1"/>
  <c r="AF86" i="25" s="1"/>
  <c r="X49" i="25"/>
  <c r="X63" i="25" s="1"/>
  <c r="X86" i="25" s="1"/>
  <c r="P49" i="25"/>
  <c r="P63" i="25" s="1"/>
  <c r="P86" i="25" s="1"/>
  <c r="H49" i="25"/>
  <c r="H63" i="25" s="1"/>
  <c r="H86" i="25" s="1"/>
  <c r="CA49" i="25"/>
  <c r="CA63" i="25" s="1"/>
  <c r="CA86" i="25" s="1"/>
  <c r="BS49" i="25"/>
  <c r="BS63" i="25" s="1"/>
  <c r="BS86" i="25" s="1"/>
  <c r="BK49" i="25"/>
  <c r="BK63" i="25" s="1"/>
  <c r="BK86" i="25" s="1"/>
  <c r="BC49" i="25"/>
  <c r="BC63" i="25" s="1"/>
  <c r="BC86" i="25" s="1"/>
  <c r="AU49" i="25"/>
  <c r="AU63" i="25" s="1"/>
  <c r="AU86" i="25" s="1"/>
  <c r="AM49" i="25"/>
  <c r="AM63" i="25" s="1"/>
  <c r="AM86" i="25" s="1"/>
  <c r="AE49" i="25"/>
  <c r="AE63" i="25" s="1"/>
  <c r="AE86" i="25" s="1"/>
  <c r="W49" i="25"/>
  <c r="W63" i="25" s="1"/>
  <c r="W86" i="25" s="1"/>
  <c r="O49" i="25"/>
  <c r="O63" i="25" s="1"/>
  <c r="O86" i="25" s="1"/>
  <c r="G49" i="25"/>
  <c r="G63" i="25" s="1"/>
  <c r="G86" i="25" s="1"/>
  <c r="BZ49" i="25"/>
  <c r="BZ63" i="25" s="1"/>
  <c r="BZ86" i="25" s="1"/>
  <c r="BR49" i="25"/>
  <c r="BR63" i="25" s="1"/>
  <c r="BR86" i="25" s="1"/>
  <c r="BJ49" i="25"/>
  <c r="BJ63" i="25" s="1"/>
  <c r="BJ86" i="25" s="1"/>
  <c r="BB49" i="25"/>
  <c r="BB63" i="25" s="1"/>
  <c r="BB86" i="25" s="1"/>
  <c r="AT49" i="25"/>
  <c r="AT63" i="25" s="1"/>
  <c r="AT86" i="25" s="1"/>
  <c r="AL49" i="25"/>
  <c r="AL63" i="25" s="1"/>
  <c r="AL86" i="25" s="1"/>
  <c r="AD49" i="25"/>
  <c r="AD63" i="25" s="1"/>
  <c r="AD86" i="25" s="1"/>
  <c r="V49" i="25"/>
  <c r="V63" i="25" s="1"/>
  <c r="V86" i="25" s="1"/>
  <c r="N49" i="25"/>
  <c r="N63" i="25" s="1"/>
  <c r="N86" i="25" s="1"/>
  <c r="F49" i="25"/>
  <c r="F63" i="25" s="1"/>
  <c r="F86" i="25" s="1"/>
  <c r="BX49" i="25"/>
  <c r="BX63" i="25" s="1"/>
  <c r="BX86" i="25" s="1"/>
  <c r="BP49" i="25"/>
  <c r="BP63" i="25" s="1"/>
  <c r="BP86" i="25" s="1"/>
  <c r="BH49" i="25"/>
  <c r="BH63" i="25" s="1"/>
  <c r="BH86" i="25" s="1"/>
  <c r="AZ49" i="25"/>
  <c r="AZ63" i="25" s="1"/>
  <c r="AZ86" i="25" s="1"/>
  <c r="AR49" i="25"/>
  <c r="AR63" i="25" s="1"/>
  <c r="AR86" i="25" s="1"/>
  <c r="AJ49" i="25"/>
  <c r="AJ63" i="25" s="1"/>
  <c r="AJ86" i="25" s="1"/>
  <c r="AB49" i="25"/>
  <c r="AB63" i="25" s="1"/>
  <c r="AB86" i="25" s="1"/>
  <c r="T49" i="25"/>
  <c r="T63" i="25" s="1"/>
  <c r="T86" i="25" s="1"/>
  <c r="L49" i="25"/>
  <c r="L63" i="25" s="1"/>
  <c r="L86" i="25" s="1"/>
  <c r="D49" i="25"/>
  <c r="D63" i="25" s="1"/>
  <c r="D86" i="25" s="1"/>
  <c r="BW49" i="25"/>
  <c r="BW63" i="25" s="1"/>
  <c r="BW86" i="25" s="1"/>
  <c r="BO49" i="25"/>
  <c r="BO63" i="25" s="1"/>
  <c r="BO86" i="25" s="1"/>
  <c r="BG49" i="25"/>
  <c r="BG63" i="25" s="1"/>
  <c r="BG86" i="25" s="1"/>
  <c r="AY49" i="25"/>
  <c r="AY63" i="25" s="1"/>
  <c r="AY86" i="25" s="1"/>
  <c r="AQ49" i="25"/>
  <c r="AQ63" i="25" s="1"/>
  <c r="AQ86" i="25" s="1"/>
  <c r="AI49" i="25"/>
  <c r="AI63" i="25" s="1"/>
  <c r="AI86" i="25" s="1"/>
  <c r="AA49" i="25"/>
  <c r="AA63" i="25" s="1"/>
  <c r="AA86" i="25" s="1"/>
  <c r="S49" i="25"/>
  <c r="S63" i="25" s="1"/>
  <c r="S86" i="25" s="1"/>
  <c r="K49" i="25"/>
  <c r="K63" i="25" s="1"/>
  <c r="K86" i="25" s="1"/>
  <c r="C49" i="25"/>
  <c r="CC49" i="25"/>
  <c r="CC63" i="25" s="1"/>
  <c r="CC86" i="25" s="1"/>
  <c r="BF49" i="25"/>
  <c r="BF63" i="25" s="1"/>
  <c r="BF86" i="25" s="1"/>
  <c r="AK49" i="25"/>
  <c r="AK63" i="25" s="1"/>
  <c r="AK86" i="25" s="1"/>
  <c r="Q49" i="25"/>
  <c r="Q63" i="25" s="1"/>
  <c r="Q86" i="25" s="1"/>
  <c r="BY49" i="25"/>
  <c r="BY63" i="25" s="1"/>
  <c r="BY86" i="25" s="1"/>
  <c r="BE49" i="25"/>
  <c r="BE63" i="25" s="1"/>
  <c r="BE86" i="25" s="1"/>
  <c r="AH49" i="25"/>
  <c r="AH63" i="25" s="1"/>
  <c r="AH86" i="25" s="1"/>
  <c r="M49" i="25"/>
  <c r="M63" i="25" s="1"/>
  <c r="M86" i="25" s="1"/>
  <c r="BQ49" i="25"/>
  <c r="BQ63" i="25" s="1"/>
  <c r="BQ86" i="25" s="1"/>
  <c r="AW49" i="25"/>
  <c r="AW63" i="25" s="1"/>
  <c r="AW86" i="25" s="1"/>
  <c r="Z49" i="25"/>
  <c r="Z63" i="25" s="1"/>
  <c r="Z86" i="25" s="1"/>
  <c r="E49" i="25"/>
  <c r="E63" i="25" s="1"/>
  <c r="E86" i="25" s="1"/>
  <c r="BN49" i="25"/>
  <c r="BN63" i="25" s="1"/>
  <c r="BN86" i="25" s="1"/>
  <c r="AS49" i="25"/>
  <c r="AS63" i="25" s="1"/>
  <c r="AS86" i="25" s="1"/>
  <c r="Y49" i="25"/>
  <c r="Y63" i="25" s="1"/>
  <c r="Y86" i="25" s="1"/>
  <c r="BI49" i="25"/>
  <c r="BI63" i="25" s="1"/>
  <c r="BI86" i="25" s="1"/>
  <c r="R49" i="25"/>
  <c r="R63" i="25" s="1"/>
  <c r="R86" i="25" s="1"/>
  <c r="BA49" i="25"/>
  <c r="BA63" i="25" s="1"/>
  <c r="BA86" i="25" s="1"/>
  <c r="J49" i="25"/>
  <c r="J63" i="25" s="1"/>
  <c r="J86" i="25" s="1"/>
  <c r="AX49" i="25"/>
  <c r="AX63" i="25" s="1"/>
  <c r="AX86" i="25" s="1"/>
  <c r="I49" i="25"/>
  <c r="I63" i="25" s="1"/>
  <c r="I86" i="25" s="1"/>
  <c r="CD49" i="25"/>
  <c r="AO49" i="25"/>
  <c r="AO63" i="25" s="1"/>
  <c r="AO86" i="25" s="1"/>
  <c r="BV49" i="25"/>
  <c r="BV63" i="25" s="1"/>
  <c r="BV86" i="25" s="1"/>
  <c r="AG49" i="25"/>
  <c r="AG63" i="25" s="1"/>
  <c r="AG86" i="25" s="1"/>
  <c r="U49" i="25"/>
  <c r="U63" i="25" s="1"/>
  <c r="U86" i="25" s="1"/>
  <c r="BU49" i="25"/>
  <c r="BU63" i="25" s="1"/>
  <c r="BU86" i="25" s="1"/>
  <c r="BM49" i="25"/>
  <c r="BM63" i="25" s="1"/>
  <c r="BM86" i="25" s="1"/>
  <c r="O8" i="31"/>
  <c r="I19" i="32"/>
  <c r="O24" i="31"/>
  <c r="D115" i="32"/>
  <c r="O32" i="31"/>
  <c r="E147" i="32"/>
  <c r="O40" i="31"/>
  <c r="F179" i="32"/>
  <c r="O48" i="31"/>
  <c r="G211" i="32"/>
  <c r="O56" i="31"/>
  <c r="H243" i="32"/>
  <c r="O64" i="31"/>
  <c r="I275" i="32"/>
  <c r="O72" i="31"/>
  <c r="C339" i="32"/>
  <c r="O80" i="31"/>
  <c r="D371" i="32"/>
  <c r="G612" i="24"/>
  <c r="O9" i="31"/>
  <c r="C51" i="32"/>
  <c r="D83" i="32"/>
  <c r="O17" i="31"/>
  <c r="O25" i="31"/>
  <c r="E115" i="32"/>
  <c r="O33" i="31"/>
  <c r="F147" i="32"/>
  <c r="O41" i="31"/>
  <c r="G179" i="32"/>
  <c r="O49" i="31"/>
  <c r="H211" i="32"/>
  <c r="O57" i="31"/>
  <c r="I243" i="32"/>
  <c r="O65" i="31"/>
  <c r="C307" i="32"/>
  <c r="O73" i="31"/>
  <c r="D339" i="32"/>
  <c r="CD85" i="24"/>
  <c r="CF91" i="24"/>
  <c r="D32" i="6"/>
  <c r="D367" i="24"/>
  <c r="AC49" i="25"/>
  <c r="AC63" i="25" s="1"/>
  <c r="AC86" i="25" s="1"/>
  <c r="CE68" i="25"/>
  <c r="E234" i="25"/>
  <c r="CE70" i="25"/>
  <c r="CE53" i="25"/>
  <c r="D342" i="25"/>
  <c r="D351" i="25" s="1"/>
  <c r="D308" i="24" l="1"/>
  <c r="G308" i="24" s="1"/>
  <c r="E16" i="31"/>
  <c r="C73" i="32"/>
  <c r="E29" i="15"/>
  <c r="E17" i="31"/>
  <c r="D73" i="32"/>
  <c r="E30" i="15"/>
  <c r="I41" i="32"/>
  <c r="E15" i="31"/>
  <c r="E28" i="15"/>
  <c r="H51" i="31"/>
  <c r="H17" i="31"/>
  <c r="D204" i="32"/>
  <c r="H66" i="31"/>
  <c r="H48" i="31"/>
  <c r="E12" i="32"/>
  <c r="H2" i="31"/>
  <c r="H23" i="31"/>
  <c r="H55" i="31"/>
  <c r="F300" i="32"/>
  <c r="H65" i="31"/>
  <c r="C44" i="32"/>
  <c r="H12" i="31"/>
  <c r="H140" i="32"/>
  <c r="H53" i="31"/>
  <c r="G76" i="32"/>
  <c r="H71" i="31"/>
  <c r="I12" i="32"/>
  <c r="E76" i="32"/>
  <c r="H39" i="31"/>
  <c r="I172" i="32"/>
  <c r="H76" i="31"/>
  <c r="H74" i="31"/>
  <c r="H12" i="32"/>
  <c r="D44" i="32"/>
  <c r="D332" i="32"/>
  <c r="H268" i="32"/>
  <c r="G268" i="32"/>
  <c r="I76" i="32"/>
  <c r="H37" i="31"/>
  <c r="C167" i="8"/>
  <c r="H40" i="31"/>
  <c r="H6" i="31"/>
  <c r="H49" i="31"/>
  <c r="H76" i="32"/>
  <c r="H50" i="31"/>
  <c r="H28" i="31"/>
  <c r="H78" i="31"/>
  <c r="H47" i="31"/>
  <c r="C140" i="32"/>
  <c r="H29" i="31"/>
  <c r="E204" i="32"/>
  <c r="E140" i="32"/>
  <c r="F76" i="32"/>
  <c r="C76" i="32"/>
  <c r="D236" i="32"/>
  <c r="H72" i="31"/>
  <c r="D108" i="32"/>
  <c r="H15" i="31"/>
  <c r="H25" i="31"/>
  <c r="F108" i="32"/>
  <c r="C364" i="32"/>
  <c r="H44" i="32"/>
  <c r="D268" i="32"/>
  <c r="H236" i="32"/>
  <c r="F268" i="32"/>
  <c r="F236" i="32"/>
  <c r="X85" i="24"/>
  <c r="C689" i="24" s="1"/>
  <c r="F140" i="32"/>
  <c r="F12" i="32"/>
  <c r="D172" i="32"/>
  <c r="H44" i="31"/>
  <c r="BT52" i="24"/>
  <c r="BT67" i="24" s="1"/>
  <c r="BT85" i="24" s="1"/>
  <c r="C84" i="15" s="1"/>
  <c r="G84" i="15" s="1"/>
  <c r="D12" i="32"/>
  <c r="E300" i="32"/>
  <c r="I140" i="32"/>
  <c r="G140" i="32"/>
  <c r="H13" i="31"/>
  <c r="G300" i="32"/>
  <c r="E52" i="24"/>
  <c r="E67" i="24" s="1"/>
  <c r="M4" i="31" s="1"/>
  <c r="AB52" i="24"/>
  <c r="AB67" i="24" s="1"/>
  <c r="G113" i="32" s="1"/>
  <c r="CA52" i="24"/>
  <c r="CA67" i="24" s="1"/>
  <c r="M78" i="31" s="1"/>
  <c r="CE62" i="24"/>
  <c r="I364" i="32" s="1"/>
  <c r="BE52" i="24"/>
  <c r="BE67" i="24" s="1"/>
  <c r="M56" i="31" s="1"/>
  <c r="BL52" i="24"/>
  <c r="BL67" i="24" s="1"/>
  <c r="H273" i="32" s="1"/>
  <c r="S52" i="24"/>
  <c r="S67" i="24" s="1"/>
  <c r="M18" i="31" s="1"/>
  <c r="AD52" i="24"/>
  <c r="AD67" i="24" s="1"/>
  <c r="M29" i="31" s="1"/>
  <c r="BJ52" i="24"/>
  <c r="BJ67" i="24" s="1"/>
  <c r="F273" i="32" s="1"/>
  <c r="BW52" i="24"/>
  <c r="BW67" i="24" s="1"/>
  <c r="BW85" i="24" s="1"/>
  <c r="C87" i="15" s="1"/>
  <c r="G87" i="15" s="1"/>
  <c r="F332" i="32"/>
  <c r="I268" i="32"/>
  <c r="D364" i="32"/>
  <c r="AL52" i="24"/>
  <c r="AL67" i="24" s="1"/>
  <c r="M37" i="31" s="1"/>
  <c r="BM52" i="24"/>
  <c r="BM67" i="24" s="1"/>
  <c r="BM85" i="24" s="1"/>
  <c r="I277" i="32" s="1"/>
  <c r="E44" i="32"/>
  <c r="C268" i="32"/>
  <c r="D140" i="32"/>
  <c r="AV85" i="24"/>
  <c r="C60" i="15" s="1"/>
  <c r="H11" i="31"/>
  <c r="H172" i="32"/>
  <c r="G172" i="32"/>
  <c r="G108" i="32"/>
  <c r="H300" i="32"/>
  <c r="H332" i="32"/>
  <c r="E268" i="32"/>
  <c r="O52" i="24"/>
  <c r="O67" i="24" s="1"/>
  <c r="O85" i="24" s="1"/>
  <c r="C680" i="24" s="1"/>
  <c r="AH52" i="24"/>
  <c r="AH67" i="24" s="1"/>
  <c r="AH85" i="24" s="1"/>
  <c r="C699" i="24" s="1"/>
  <c r="I236" i="32"/>
  <c r="CE48" i="24"/>
  <c r="W52" i="24"/>
  <c r="W67" i="24" s="1"/>
  <c r="I81" i="32" s="1"/>
  <c r="AP52" i="24"/>
  <c r="AP67" i="24" s="1"/>
  <c r="AP85" i="24" s="1"/>
  <c r="G181" i="32" s="1"/>
  <c r="AU52" i="24"/>
  <c r="AU67" i="24" s="1"/>
  <c r="AU85" i="24" s="1"/>
  <c r="C712" i="24" s="1"/>
  <c r="K52" i="24"/>
  <c r="K67" i="24" s="1"/>
  <c r="K85" i="24" s="1"/>
  <c r="D26" i="17"/>
  <c r="B54" i="15"/>
  <c r="F54" i="15" s="1"/>
  <c r="D350" i="24"/>
  <c r="M79" i="31"/>
  <c r="C369" i="32"/>
  <c r="CB85" i="24"/>
  <c r="C699" i="25"/>
  <c r="B45" i="15"/>
  <c r="C648" i="25"/>
  <c r="B91" i="15"/>
  <c r="C628" i="25"/>
  <c r="B79" i="15"/>
  <c r="B84" i="15"/>
  <c r="C641" i="25"/>
  <c r="M47" i="31"/>
  <c r="F209" i="32"/>
  <c r="C707" i="25"/>
  <c r="B53" i="15"/>
  <c r="C700" i="25"/>
  <c r="B46" i="15"/>
  <c r="C644" i="25"/>
  <c r="B87" i="15"/>
  <c r="C637" i="25"/>
  <c r="B72" i="15"/>
  <c r="C712" i="25"/>
  <c r="B58" i="15"/>
  <c r="C697" i="25"/>
  <c r="B43" i="15"/>
  <c r="C682" i="25"/>
  <c r="B28" i="15"/>
  <c r="C623" i="25"/>
  <c r="B92" i="15"/>
  <c r="BA52" i="24"/>
  <c r="BA67" i="24" s="1"/>
  <c r="AR52" i="24"/>
  <c r="AR67" i="24" s="1"/>
  <c r="BH52" i="24"/>
  <c r="BH67" i="24" s="1"/>
  <c r="AT52" i="24"/>
  <c r="AT67" i="24" s="1"/>
  <c r="AE52" i="24"/>
  <c r="AE67" i="24" s="1"/>
  <c r="I52" i="24"/>
  <c r="I67" i="24" s="1"/>
  <c r="BU52" i="24"/>
  <c r="BU67" i="24" s="1"/>
  <c r="AX52" i="24"/>
  <c r="AX67" i="24" s="1"/>
  <c r="AA52" i="24"/>
  <c r="AA67" i="24" s="1"/>
  <c r="C624" i="25"/>
  <c r="B81" i="15"/>
  <c r="C710" i="25"/>
  <c r="B56" i="15"/>
  <c r="C643" i="25"/>
  <c r="B86" i="15"/>
  <c r="C629" i="25"/>
  <c r="B64" i="15"/>
  <c r="M75" i="31"/>
  <c r="F337" i="32"/>
  <c r="C691" i="25"/>
  <c r="B37" i="15"/>
  <c r="C677" i="25"/>
  <c r="B23" i="15"/>
  <c r="C711" i="25"/>
  <c r="B57" i="15"/>
  <c r="C615" i="25"/>
  <c r="B69" i="15"/>
  <c r="C685" i="25"/>
  <c r="B31" i="15"/>
  <c r="C670" i="25"/>
  <c r="B16" i="15"/>
  <c r="C622" i="25"/>
  <c r="B80" i="15"/>
  <c r="C633" i="25"/>
  <c r="B66" i="15"/>
  <c r="C705" i="25"/>
  <c r="B51" i="15"/>
  <c r="C690" i="25"/>
  <c r="B36" i="15"/>
  <c r="AF52" i="24"/>
  <c r="AF67" i="24" s="1"/>
  <c r="BQ52" i="24"/>
  <c r="BQ67" i="24" s="1"/>
  <c r="AS52" i="24"/>
  <c r="AS67" i="24" s="1"/>
  <c r="U52" i="24"/>
  <c r="U67" i="24" s="1"/>
  <c r="P52" i="24"/>
  <c r="P67" i="24" s="1"/>
  <c r="BB52" i="24"/>
  <c r="BB67" i="24" s="1"/>
  <c r="AM52" i="24"/>
  <c r="AM67" i="24" s="1"/>
  <c r="Q52" i="24"/>
  <c r="Q67" i="24" s="1"/>
  <c r="CC52" i="24"/>
  <c r="CC67" i="24" s="1"/>
  <c r="BF52" i="24"/>
  <c r="BF67" i="24" s="1"/>
  <c r="AI52" i="24"/>
  <c r="AI67" i="24" s="1"/>
  <c r="C695" i="25"/>
  <c r="B41" i="15"/>
  <c r="C619" i="25"/>
  <c r="B71" i="15"/>
  <c r="B76" i="15"/>
  <c r="C638" i="25"/>
  <c r="C121" i="8"/>
  <c r="D384" i="24"/>
  <c r="C679" i="25"/>
  <c r="B25" i="15"/>
  <c r="C689" i="25"/>
  <c r="B35" i="15"/>
  <c r="C675" i="25"/>
  <c r="B21" i="15"/>
  <c r="C693" i="25"/>
  <c r="B39" i="15"/>
  <c r="C618" i="25"/>
  <c r="B74" i="15"/>
  <c r="M52" i="24"/>
  <c r="M67" i="24" s="1"/>
  <c r="AJ52" i="24"/>
  <c r="AJ67" i="24" s="1"/>
  <c r="BY52" i="24"/>
  <c r="BY67" i="24" s="1"/>
  <c r="BD52" i="24"/>
  <c r="BD67" i="24" s="1"/>
  <c r="AK52" i="24"/>
  <c r="AK67" i="24" s="1"/>
  <c r="E373" i="32"/>
  <c r="C94" i="15"/>
  <c r="C639" i="25"/>
  <c r="B77" i="15"/>
  <c r="C617" i="25"/>
  <c r="B62" i="15"/>
  <c r="C671" i="25"/>
  <c r="B17" i="15"/>
  <c r="C683" i="25"/>
  <c r="B29" i="15"/>
  <c r="C701" i="25"/>
  <c r="B47" i="15"/>
  <c r="C686" i="25"/>
  <c r="B32" i="15"/>
  <c r="C672" i="25"/>
  <c r="B18" i="15"/>
  <c r="C627" i="25"/>
  <c r="B82" i="15"/>
  <c r="C634" i="25"/>
  <c r="B67" i="15"/>
  <c r="C706" i="25"/>
  <c r="B52" i="15"/>
  <c r="AZ52" i="24"/>
  <c r="AZ67" i="24" s="1"/>
  <c r="BP52" i="24"/>
  <c r="BP67" i="24" s="1"/>
  <c r="C137" i="8"/>
  <c r="E380" i="24"/>
  <c r="F52" i="24"/>
  <c r="F67" i="24" s="1"/>
  <c r="BR52" i="24"/>
  <c r="BR67" i="24" s="1"/>
  <c r="BC52" i="24"/>
  <c r="BC67" i="24" s="1"/>
  <c r="AG52" i="24"/>
  <c r="AG67" i="24" s="1"/>
  <c r="J52" i="24"/>
  <c r="J67" i="24" s="1"/>
  <c r="BV52" i="24"/>
  <c r="BV67" i="24" s="1"/>
  <c r="AY52" i="24"/>
  <c r="AY67" i="24" s="1"/>
  <c r="AN52" i="24"/>
  <c r="AN67" i="24" s="1"/>
  <c r="C621" i="25"/>
  <c r="B93" i="15"/>
  <c r="C681" i="25"/>
  <c r="B27" i="15"/>
  <c r="M23" i="31"/>
  <c r="C113" i="32"/>
  <c r="CE49" i="25"/>
  <c r="C63" i="25"/>
  <c r="C674" i="25"/>
  <c r="B20" i="15"/>
  <c r="C620" i="25"/>
  <c r="B78" i="15"/>
  <c r="C645" i="25"/>
  <c r="B88" i="15"/>
  <c r="C698" i="25"/>
  <c r="B44" i="15"/>
  <c r="Y52" i="24"/>
  <c r="Y67" i="24" s="1"/>
  <c r="BN52" i="24"/>
  <c r="BN67" i="24" s="1"/>
  <c r="BX85" i="24"/>
  <c r="C642" i="25"/>
  <c r="B85" i="15"/>
  <c r="C676" i="25"/>
  <c r="B22" i="15"/>
  <c r="C692" i="25"/>
  <c r="B38" i="15"/>
  <c r="C703" i="25"/>
  <c r="B49" i="15"/>
  <c r="C709" i="25"/>
  <c r="B55" i="15"/>
  <c r="C694" i="25"/>
  <c r="B40" i="15"/>
  <c r="C680" i="25"/>
  <c r="B26" i="15"/>
  <c r="B90" i="15"/>
  <c r="C647" i="25"/>
  <c r="C636" i="25"/>
  <c r="B75" i="15"/>
  <c r="C714" i="25"/>
  <c r="B60" i="15"/>
  <c r="AC52" i="24"/>
  <c r="AC67" i="24" s="1"/>
  <c r="D52" i="24"/>
  <c r="D67" i="24" s="1"/>
  <c r="BI52" i="24"/>
  <c r="BI67" i="24" s="1"/>
  <c r="N52" i="24"/>
  <c r="N67" i="24" s="1"/>
  <c r="BZ52" i="24"/>
  <c r="BZ67" i="24" s="1"/>
  <c r="BK52" i="24"/>
  <c r="BK67" i="24" s="1"/>
  <c r="AO52" i="24"/>
  <c r="AO67" i="24" s="1"/>
  <c r="R52" i="24"/>
  <c r="R67" i="24" s="1"/>
  <c r="CD52" i="24"/>
  <c r="BG52" i="24"/>
  <c r="BG67" i="24" s="1"/>
  <c r="C684" i="25"/>
  <c r="B30" i="15"/>
  <c r="C696" i="25"/>
  <c r="B42" i="15"/>
  <c r="C635" i="25"/>
  <c r="B73" i="15"/>
  <c r="C704" i="25"/>
  <c r="B50" i="15"/>
  <c r="C646" i="25"/>
  <c r="B89" i="15"/>
  <c r="C678" i="25"/>
  <c r="B24" i="15"/>
  <c r="C713" i="25"/>
  <c r="B59" i="15"/>
  <c r="M11" i="31"/>
  <c r="E49" i="32"/>
  <c r="AQ52" i="24"/>
  <c r="AQ67" i="24" s="1"/>
  <c r="C687" i="25"/>
  <c r="B33" i="15"/>
  <c r="C631" i="25"/>
  <c r="B65" i="15"/>
  <c r="C632" i="25"/>
  <c r="B61" i="15"/>
  <c r="B70" i="15"/>
  <c r="C630" i="25"/>
  <c r="C626" i="25"/>
  <c r="B63" i="15"/>
  <c r="C702" i="25"/>
  <c r="B48" i="15"/>
  <c r="C688" i="25"/>
  <c r="B34" i="15"/>
  <c r="C673" i="25"/>
  <c r="B19" i="15"/>
  <c r="C640" i="25"/>
  <c r="B83" i="15"/>
  <c r="C625" i="25"/>
  <c r="B68" i="15"/>
  <c r="H52" i="24"/>
  <c r="H67" i="24" s="1"/>
  <c r="T52" i="24"/>
  <c r="T67" i="24" s="1"/>
  <c r="V52" i="24"/>
  <c r="V67" i="24" s="1"/>
  <c r="G52" i="24"/>
  <c r="G67" i="24" s="1"/>
  <c r="BS52" i="24"/>
  <c r="BS67" i="24" s="1"/>
  <c r="AW52" i="24"/>
  <c r="AW67" i="24" s="1"/>
  <c r="Z52" i="24"/>
  <c r="Z67" i="24" s="1"/>
  <c r="C52" i="24"/>
  <c r="C67" i="24" s="1"/>
  <c r="BO52" i="24"/>
  <c r="BO67" i="24" s="1"/>
  <c r="L85" i="24"/>
  <c r="D352" i="24" l="1"/>
  <c r="C103" i="8" s="1"/>
  <c r="C50" i="8"/>
  <c r="E85" i="24"/>
  <c r="C670" i="24" s="1"/>
  <c r="E17" i="32"/>
  <c r="M61" i="31"/>
  <c r="S85" i="24"/>
  <c r="C31" i="15" s="1"/>
  <c r="G31" i="15" s="1"/>
  <c r="M63" i="31"/>
  <c r="BL85" i="24"/>
  <c r="C637" i="24" s="1"/>
  <c r="M22" i="31"/>
  <c r="AD85" i="24"/>
  <c r="C42" i="15" s="1"/>
  <c r="G42" i="15" s="1"/>
  <c r="BJ85" i="24"/>
  <c r="C617" i="24" s="1"/>
  <c r="M71" i="31"/>
  <c r="M27" i="31"/>
  <c r="AB85" i="24"/>
  <c r="C693" i="24" s="1"/>
  <c r="E81" i="32"/>
  <c r="E337" i="32"/>
  <c r="AL85" i="24"/>
  <c r="C181" i="32" s="1"/>
  <c r="I305" i="32"/>
  <c r="C36" i="15"/>
  <c r="G36" i="15" s="1"/>
  <c r="D49" i="32"/>
  <c r="C117" i="32"/>
  <c r="M74" i="31"/>
  <c r="M10" i="31"/>
  <c r="C640" i="24"/>
  <c r="I309" i="32"/>
  <c r="F145" i="32"/>
  <c r="I113" i="32"/>
  <c r="C27" i="15"/>
  <c r="G27" i="15" s="1"/>
  <c r="H53" i="32"/>
  <c r="C713" i="24"/>
  <c r="CA85" i="24"/>
  <c r="I341" i="32" s="1"/>
  <c r="M14" i="31"/>
  <c r="F213" i="32"/>
  <c r="I337" i="32"/>
  <c r="H49" i="32"/>
  <c r="C643" i="24"/>
  <c r="E341" i="32"/>
  <c r="BE85" i="24"/>
  <c r="H245" i="32" s="1"/>
  <c r="H241" i="32"/>
  <c r="F149" i="32"/>
  <c r="M33" i="31"/>
  <c r="C46" i="15"/>
  <c r="G46" i="15" s="1"/>
  <c r="C177" i="32"/>
  <c r="C638" i="24"/>
  <c r="C77" i="15"/>
  <c r="G77" i="15" s="1"/>
  <c r="E209" i="32"/>
  <c r="M46" i="31"/>
  <c r="C707" i="24"/>
  <c r="G177" i="32"/>
  <c r="W85" i="24"/>
  <c r="C35" i="15" s="1"/>
  <c r="G35" i="15" s="1"/>
  <c r="C54" i="15"/>
  <c r="G54" i="15" s="1"/>
  <c r="M41" i="31"/>
  <c r="C59" i="15"/>
  <c r="G59" i="15" s="1"/>
  <c r="I273" i="32"/>
  <c r="E213" i="32"/>
  <c r="M64" i="31"/>
  <c r="M70" i="31"/>
  <c r="H305" i="32"/>
  <c r="BS85" i="24"/>
  <c r="M55" i="31"/>
  <c r="G241" i="32"/>
  <c r="BD85" i="24"/>
  <c r="F80" i="15"/>
  <c r="M6" i="31"/>
  <c r="G17" i="32"/>
  <c r="G85" i="24"/>
  <c r="F38" i="15"/>
  <c r="M54" i="31"/>
  <c r="F241" i="32"/>
  <c r="BC85" i="24"/>
  <c r="F32" i="15"/>
  <c r="F74" i="15"/>
  <c r="M80" i="31"/>
  <c r="D369" i="32"/>
  <c r="CC85" i="24"/>
  <c r="E53" i="32"/>
  <c r="C24" i="15"/>
  <c r="G24" i="15" s="1"/>
  <c r="C677" i="24"/>
  <c r="M21" i="31"/>
  <c r="H81" i="32"/>
  <c r="V85" i="24"/>
  <c r="F83" i="15"/>
  <c r="F63" i="15"/>
  <c r="F33" i="15"/>
  <c r="F50" i="15"/>
  <c r="M28" i="31"/>
  <c r="H113" i="32"/>
  <c r="AC85" i="24"/>
  <c r="F93" i="15"/>
  <c r="M69" i="31"/>
  <c r="G305" i="32"/>
  <c r="BR85" i="24"/>
  <c r="M35" i="31"/>
  <c r="H145" i="32"/>
  <c r="AJ85" i="24"/>
  <c r="F76" i="15"/>
  <c r="M16" i="31"/>
  <c r="C81" i="32"/>
  <c r="Q85" i="24"/>
  <c r="F36" i="15"/>
  <c r="F16" i="15"/>
  <c r="H23" i="15"/>
  <c r="I23" i="15" s="1"/>
  <c r="F23" i="15"/>
  <c r="F81" i="15"/>
  <c r="M59" i="31"/>
  <c r="D273" i="32"/>
  <c r="BH85" i="24"/>
  <c r="F43" i="15"/>
  <c r="F46" i="15"/>
  <c r="H46" i="15"/>
  <c r="I46" i="15" s="1"/>
  <c r="F79" i="15"/>
  <c r="M60" i="31"/>
  <c r="E273" i="32"/>
  <c r="BI85" i="24"/>
  <c r="M32" i="31"/>
  <c r="E145" i="32"/>
  <c r="AG85" i="24"/>
  <c r="M68" i="31"/>
  <c r="F305" i="32"/>
  <c r="BQ85" i="24"/>
  <c r="F56" i="15"/>
  <c r="F28" i="15"/>
  <c r="F87" i="15"/>
  <c r="H87" i="15" s="1"/>
  <c r="I87" i="15" s="1"/>
  <c r="F26" i="15"/>
  <c r="M76" i="31"/>
  <c r="G337" i="32"/>
  <c r="BY85" i="24"/>
  <c r="F25" i="15"/>
  <c r="M31" i="31"/>
  <c r="D145" i="32"/>
  <c r="AF85" i="24"/>
  <c r="M45" i="31"/>
  <c r="D209" i="32"/>
  <c r="AT85" i="24"/>
  <c r="F84" i="15"/>
  <c r="H84" i="15" s="1"/>
  <c r="I84" i="15" s="1"/>
  <c r="F45" i="15"/>
  <c r="M19" i="31"/>
  <c r="F81" i="32"/>
  <c r="T85" i="24"/>
  <c r="F42" i="15"/>
  <c r="M17" i="31"/>
  <c r="D81" i="32"/>
  <c r="R85" i="24"/>
  <c r="F40" i="15"/>
  <c r="H22" i="15"/>
  <c r="I22" i="15" s="1"/>
  <c r="F22" i="15"/>
  <c r="F78" i="15"/>
  <c r="M5" i="31"/>
  <c r="F17" i="32"/>
  <c r="F85" i="24"/>
  <c r="F47" i="15"/>
  <c r="H47" i="15"/>
  <c r="I47" i="15" s="1"/>
  <c r="F77" i="15"/>
  <c r="M12" i="31"/>
  <c r="F49" i="32"/>
  <c r="M85" i="24"/>
  <c r="F39" i="15"/>
  <c r="C138" i="8"/>
  <c r="D417" i="24"/>
  <c r="F71" i="15"/>
  <c r="M38" i="31"/>
  <c r="D177" i="32"/>
  <c r="AM85" i="24"/>
  <c r="M43" i="31"/>
  <c r="I177" i="32"/>
  <c r="AR85" i="24"/>
  <c r="F65" i="15"/>
  <c r="M65" i="31"/>
  <c r="C305" i="32"/>
  <c r="BN85" i="24"/>
  <c r="F27" i="15"/>
  <c r="M30" i="31"/>
  <c r="C145" i="32"/>
  <c r="AE85" i="24"/>
  <c r="M3" i="31"/>
  <c r="D17" i="32"/>
  <c r="D85" i="24"/>
  <c r="F88" i="15"/>
  <c r="M66" i="31"/>
  <c r="D305" i="32"/>
  <c r="BO85" i="24"/>
  <c r="F19" i="15"/>
  <c r="F59" i="15"/>
  <c r="H59" i="15"/>
  <c r="I59" i="15" s="1"/>
  <c r="M53" i="31"/>
  <c r="E241" i="32"/>
  <c r="BB85" i="24"/>
  <c r="F31" i="15"/>
  <c r="F37" i="15"/>
  <c r="F53" i="15"/>
  <c r="H53" i="15"/>
  <c r="I53" i="15" s="1"/>
  <c r="CE52" i="24"/>
  <c r="F70" i="15"/>
  <c r="F30" i="15"/>
  <c r="M62" i="31"/>
  <c r="G273" i="32"/>
  <c r="BK85" i="24"/>
  <c r="F75" i="15"/>
  <c r="F55" i="15"/>
  <c r="H55" i="15"/>
  <c r="I55" i="15" s="1"/>
  <c r="F85" i="15"/>
  <c r="H20" i="15"/>
  <c r="I20" i="15" s="1"/>
  <c r="F20" i="15"/>
  <c r="M50" i="31"/>
  <c r="I209" i="32"/>
  <c r="AY85" i="24"/>
  <c r="F82" i="15"/>
  <c r="F29" i="15"/>
  <c r="G94" i="15"/>
  <c r="H94" i="15" s="1"/>
  <c r="I94" i="15" s="1"/>
  <c r="H21" i="15"/>
  <c r="I21" i="15" s="1"/>
  <c r="F21" i="15"/>
  <c r="F41" i="15"/>
  <c r="M15" i="31"/>
  <c r="I49" i="32"/>
  <c r="P85" i="24"/>
  <c r="M49" i="31"/>
  <c r="H209" i="32"/>
  <c r="AX85" i="24"/>
  <c r="M52" i="31"/>
  <c r="D241" i="32"/>
  <c r="BA85" i="24"/>
  <c r="F48" i="15"/>
  <c r="M57" i="31"/>
  <c r="I241" i="32"/>
  <c r="BF85" i="24"/>
  <c r="F86" i="15"/>
  <c r="M24" i="31"/>
  <c r="D113" i="32"/>
  <c r="Y85" i="24"/>
  <c r="F52" i="15"/>
  <c r="H52" i="15"/>
  <c r="I52" i="15" s="1"/>
  <c r="M40" i="31"/>
  <c r="F177" i="32"/>
  <c r="AO85" i="24"/>
  <c r="M39" i="31"/>
  <c r="E177" i="32"/>
  <c r="AN85" i="24"/>
  <c r="F51" i="15"/>
  <c r="H51" i="15"/>
  <c r="I51" i="15" s="1"/>
  <c r="M26" i="31"/>
  <c r="F113" i="32"/>
  <c r="AA85" i="24"/>
  <c r="M25" i="31"/>
  <c r="E113" i="32"/>
  <c r="Z85" i="24"/>
  <c r="F34" i="15"/>
  <c r="H24" i="15"/>
  <c r="I24" i="15" s="1"/>
  <c r="F24" i="15"/>
  <c r="M77" i="31"/>
  <c r="H337" i="32"/>
  <c r="BZ85" i="24"/>
  <c r="M73" i="31"/>
  <c r="D337" i="32"/>
  <c r="BV85" i="24"/>
  <c r="M67" i="31"/>
  <c r="E305" i="32"/>
  <c r="BP85" i="24"/>
  <c r="M20" i="31"/>
  <c r="G81" i="32"/>
  <c r="U85" i="24"/>
  <c r="F69" i="15"/>
  <c r="F64" i="15"/>
  <c r="M72" i="31"/>
  <c r="C337" i="32"/>
  <c r="BU85" i="24"/>
  <c r="F92" i="15"/>
  <c r="F72" i="15"/>
  <c r="F89" i="15"/>
  <c r="F90" i="15"/>
  <c r="M51" i="31"/>
  <c r="C241" i="32"/>
  <c r="AZ85" i="24"/>
  <c r="F57" i="15"/>
  <c r="H57" i="15"/>
  <c r="I57" i="15" s="1"/>
  <c r="M58" i="31"/>
  <c r="C273" i="32"/>
  <c r="BG85" i="24"/>
  <c r="M42" i="31"/>
  <c r="H177" i="32"/>
  <c r="AQ85" i="24"/>
  <c r="F73" i="15"/>
  <c r="F58" i="15"/>
  <c r="H58" i="15"/>
  <c r="I58" i="15" s="1"/>
  <c r="M48" i="31"/>
  <c r="G209" i="32"/>
  <c r="AW85" i="24"/>
  <c r="M7" i="31"/>
  <c r="H17" i="32"/>
  <c r="H85" i="24"/>
  <c r="D53" i="32"/>
  <c r="C23" i="15"/>
  <c r="G23" i="15" s="1"/>
  <c r="C676" i="24"/>
  <c r="M13" i="31"/>
  <c r="G49" i="32"/>
  <c r="N85" i="24"/>
  <c r="F49" i="15"/>
  <c r="F341" i="32"/>
  <c r="C88" i="15"/>
  <c r="G88" i="15" s="1"/>
  <c r="C644" i="24"/>
  <c r="F44" i="15"/>
  <c r="H44" i="15"/>
  <c r="I44" i="15" s="1"/>
  <c r="C86" i="25"/>
  <c r="CE63" i="25"/>
  <c r="M9" i="31"/>
  <c r="C49" i="32"/>
  <c r="J85" i="24"/>
  <c r="F18" i="15"/>
  <c r="F17" i="15"/>
  <c r="M36" i="31"/>
  <c r="I145" i="32"/>
  <c r="AK85" i="24"/>
  <c r="F35" i="15"/>
  <c r="M34" i="31"/>
  <c r="G145" i="32"/>
  <c r="AI85" i="24"/>
  <c r="M44" i="31"/>
  <c r="C209" i="32"/>
  <c r="AS85" i="24"/>
  <c r="D616" i="25"/>
  <c r="C649" i="25"/>
  <c r="M717" i="25" s="1"/>
  <c r="M8" i="31"/>
  <c r="I17" i="32"/>
  <c r="I85" i="24"/>
  <c r="F91" i="15"/>
  <c r="C92" i="15"/>
  <c r="G92" i="15" s="1"/>
  <c r="C373" i="32"/>
  <c r="C622" i="24"/>
  <c r="G352" i="24" l="1"/>
  <c r="CE87" i="24"/>
  <c r="I376" i="32" s="1"/>
  <c r="AQ89" i="24"/>
  <c r="AF42" i="31"/>
  <c r="H184" i="32"/>
  <c r="E21" i="32"/>
  <c r="C74" i="15"/>
  <c r="G74" i="15" s="1"/>
  <c r="H277" i="32"/>
  <c r="C17" i="15"/>
  <c r="G17" i="15" s="1"/>
  <c r="H36" i="15"/>
  <c r="I36" i="15" s="1"/>
  <c r="E85" i="32"/>
  <c r="H54" i="15"/>
  <c r="I54" i="15" s="1"/>
  <c r="I117" i="32"/>
  <c r="C695" i="24"/>
  <c r="C684" i="24"/>
  <c r="H27" i="15"/>
  <c r="H77" i="15"/>
  <c r="I77" i="15" s="1"/>
  <c r="C76" i="15"/>
  <c r="G76" i="15" s="1"/>
  <c r="C40" i="15"/>
  <c r="G40" i="15" s="1"/>
  <c r="C614" i="24"/>
  <c r="D615" i="24" s="1"/>
  <c r="F277" i="32"/>
  <c r="G117" i="32"/>
  <c r="C688" i="24"/>
  <c r="C703" i="24"/>
  <c r="C50" i="15"/>
  <c r="G50" i="15" s="1"/>
  <c r="C647" i="24"/>
  <c r="C69" i="15"/>
  <c r="G69" i="15" s="1"/>
  <c r="I85" i="32"/>
  <c r="C91" i="15"/>
  <c r="G91" i="15" s="1"/>
  <c r="H35" i="15"/>
  <c r="I35" i="15" s="1"/>
  <c r="H50" i="15"/>
  <c r="I50" i="15" s="1"/>
  <c r="H149" i="32"/>
  <c r="C48" i="15"/>
  <c r="C701" i="24"/>
  <c r="C213" i="32"/>
  <c r="C57" i="15"/>
  <c r="G57" i="15" s="1"/>
  <c r="C710" i="24"/>
  <c r="C49" i="15"/>
  <c r="I149" i="32"/>
  <c r="C702" i="24"/>
  <c r="H21" i="32"/>
  <c r="C20" i="15"/>
  <c r="G20" i="15" s="1"/>
  <c r="C673" i="24"/>
  <c r="C71" i="15"/>
  <c r="C277" i="32"/>
  <c r="C618" i="24"/>
  <c r="C341" i="32"/>
  <c r="C85" i="15"/>
  <c r="C641" i="24"/>
  <c r="D245" i="32"/>
  <c r="C65" i="15"/>
  <c r="C630" i="24"/>
  <c r="C56" i="15"/>
  <c r="C709" i="24"/>
  <c r="I181" i="32"/>
  <c r="C168" i="8"/>
  <c r="D421" i="24"/>
  <c r="F309" i="32"/>
  <c r="C81" i="15"/>
  <c r="C623" i="24"/>
  <c r="G21" i="32"/>
  <c r="C19" i="15"/>
  <c r="C672" i="24"/>
  <c r="F117" i="32"/>
  <c r="C39" i="15"/>
  <c r="C692" i="24"/>
  <c r="I53" i="32"/>
  <c r="C28" i="15"/>
  <c r="C681" i="24"/>
  <c r="H92" i="15"/>
  <c r="I92" i="15" s="1"/>
  <c r="G85" i="32"/>
  <c r="C686" i="24"/>
  <c r="C33" i="15"/>
  <c r="H42" i="15"/>
  <c r="I42" i="15" s="1"/>
  <c r="D149" i="32"/>
  <c r="C44" i="15"/>
  <c r="G44" i="15" s="1"/>
  <c r="C697" i="24"/>
  <c r="D277" i="32"/>
  <c r="C72" i="15"/>
  <c r="C636" i="24"/>
  <c r="H341" i="32"/>
  <c r="C90" i="15"/>
  <c r="C646" i="24"/>
  <c r="M2" i="31"/>
  <c r="CE67" i="24"/>
  <c r="I369" i="32" s="1"/>
  <c r="C17" i="32"/>
  <c r="C85" i="24"/>
  <c r="H88" i="15"/>
  <c r="I88" i="15" s="1"/>
  <c r="C669" i="25"/>
  <c r="C716" i="25" s="1"/>
  <c r="B15" i="15"/>
  <c r="CE86" i="25"/>
  <c r="C717" i="25" s="1"/>
  <c r="C66" i="15"/>
  <c r="G66" i="15" s="1"/>
  <c r="E245" i="32"/>
  <c r="C632" i="24"/>
  <c r="C149" i="32"/>
  <c r="C43" i="15"/>
  <c r="C696" i="24"/>
  <c r="H181" i="32"/>
  <c r="C55" i="15"/>
  <c r="G55" i="15" s="1"/>
  <c r="C708" i="24"/>
  <c r="G149" i="32"/>
  <c r="C47" i="15"/>
  <c r="G47" i="15" s="1"/>
  <c r="C700" i="24"/>
  <c r="G213" i="32"/>
  <c r="C61" i="15"/>
  <c r="C631" i="24"/>
  <c r="E309" i="32"/>
  <c r="C80" i="15"/>
  <c r="C621" i="24"/>
  <c r="E117" i="32"/>
  <c r="C38" i="15"/>
  <c r="C691" i="24"/>
  <c r="C52" i="15"/>
  <c r="G52" i="15" s="1"/>
  <c r="E181" i="32"/>
  <c r="C705" i="24"/>
  <c r="I245" i="32"/>
  <c r="C70" i="15"/>
  <c r="C629" i="24"/>
  <c r="H213" i="32"/>
  <c r="C616" i="24"/>
  <c r="C62" i="15"/>
  <c r="I213" i="32"/>
  <c r="C63" i="15"/>
  <c r="C625" i="24"/>
  <c r="C309" i="32"/>
  <c r="C78" i="15"/>
  <c r="C619" i="24"/>
  <c r="D181" i="32"/>
  <c r="C51" i="15"/>
  <c r="G51" i="15" s="1"/>
  <c r="C704" i="24"/>
  <c r="F21" i="32"/>
  <c r="C18" i="15"/>
  <c r="C671" i="24"/>
  <c r="C45" i="15"/>
  <c r="E149" i="32"/>
  <c r="C698" i="24"/>
  <c r="G309" i="32"/>
  <c r="C82" i="15"/>
  <c r="C626" i="24"/>
  <c r="H117" i="32"/>
  <c r="C41" i="15"/>
  <c r="C694" i="24"/>
  <c r="F245" i="32"/>
  <c r="C67" i="15"/>
  <c r="G67" i="15" s="1"/>
  <c r="C633" i="24"/>
  <c r="H309" i="32"/>
  <c r="C83" i="15"/>
  <c r="C639" i="24"/>
  <c r="D707" i="25"/>
  <c r="D699" i="25"/>
  <c r="D691" i="25"/>
  <c r="D683" i="25"/>
  <c r="D712" i="25"/>
  <c r="D704" i="25"/>
  <c r="D696" i="25"/>
  <c r="D688" i="25"/>
  <c r="D709" i="25"/>
  <c r="D701" i="25"/>
  <c r="D693" i="25"/>
  <c r="D685" i="25"/>
  <c r="D714" i="25"/>
  <c r="D706" i="25"/>
  <c r="D698" i="25"/>
  <c r="D690" i="25"/>
  <c r="D682" i="25"/>
  <c r="D713" i="25"/>
  <c r="D705" i="25"/>
  <c r="D697" i="25"/>
  <c r="D689" i="25"/>
  <c r="D681" i="25"/>
  <c r="D703" i="25"/>
  <c r="D675" i="25"/>
  <c r="D624" i="25"/>
  <c r="D620" i="25"/>
  <c r="D695" i="25"/>
  <c r="D672" i="25"/>
  <c r="D626" i="25"/>
  <c r="D687" i="25"/>
  <c r="D680" i="25"/>
  <c r="D677" i="25"/>
  <c r="D669" i="25"/>
  <c r="D629" i="25"/>
  <c r="D623" i="25"/>
  <c r="D619" i="25"/>
  <c r="D717" i="25"/>
  <c r="D674" i="25"/>
  <c r="D710" i="25"/>
  <c r="D708" i="25"/>
  <c r="D679" i="25"/>
  <c r="D671" i="25"/>
  <c r="D648" i="25"/>
  <c r="D647" i="25"/>
  <c r="D646" i="25"/>
  <c r="D630" i="25"/>
  <c r="D627" i="25"/>
  <c r="D622" i="25"/>
  <c r="D618" i="25"/>
  <c r="D678" i="25"/>
  <c r="D640" i="25"/>
  <c r="D632" i="25"/>
  <c r="D694" i="25"/>
  <c r="D684" i="25"/>
  <c r="D670" i="25"/>
  <c r="D645" i="25"/>
  <c r="D637" i="25"/>
  <c r="D642" i="25"/>
  <c r="D634" i="25"/>
  <c r="D702" i="25"/>
  <c r="D692" i="25"/>
  <c r="D673" i="25"/>
  <c r="D644" i="25"/>
  <c r="D636" i="25"/>
  <c r="D641" i="25"/>
  <c r="D633" i="25"/>
  <c r="D643" i="25"/>
  <c r="D628" i="25"/>
  <c r="D635" i="25"/>
  <c r="D700" i="25"/>
  <c r="D686" i="25"/>
  <c r="D639" i="25"/>
  <c r="D617" i="25"/>
  <c r="D638" i="25"/>
  <c r="D631" i="25"/>
  <c r="D625" i="25"/>
  <c r="D711" i="25"/>
  <c r="D676" i="25"/>
  <c r="D621" i="25"/>
  <c r="F181" i="32"/>
  <c r="C53" i="15"/>
  <c r="G53" i="15" s="1"/>
  <c r="C706" i="24"/>
  <c r="G277" i="32"/>
  <c r="C635" i="24"/>
  <c r="C75" i="15"/>
  <c r="E277" i="32"/>
  <c r="C73" i="15"/>
  <c r="C634" i="24"/>
  <c r="H85" i="32"/>
  <c r="C34" i="15"/>
  <c r="C687" i="24"/>
  <c r="I21" i="32"/>
  <c r="C21" i="15"/>
  <c r="G21" i="15" s="1"/>
  <c r="C674" i="24"/>
  <c r="C53" i="32"/>
  <c r="C22" i="15"/>
  <c r="G22" i="15" s="1"/>
  <c r="C675" i="24"/>
  <c r="F85" i="32"/>
  <c r="C32" i="15"/>
  <c r="C685" i="24"/>
  <c r="C85" i="32"/>
  <c r="C29" i="15"/>
  <c r="C682" i="24"/>
  <c r="D117" i="32"/>
  <c r="C37" i="15"/>
  <c r="C690" i="24"/>
  <c r="F53" i="32"/>
  <c r="C678" i="24"/>
  <c r="C25" i="15"/>
  <c r="C683" i="24"/>
  <c r="C30" i="15"/>
  <c r="D85" i="32"/>
  <c r="D213" i="32"/>
  <c r="C58" i="15"/>
  <c r="G58" i="15" s="1"/>
  <c r="C711" i="24"/>
  <c r="C89" i="15"/>
  <c r="G341" i="32"/>
  <c r="C645" i="24"/>
  <c r="D373" i="32"/>
  <c r="C93" i="15"/>
  <c r="C620" i="24"/>
  <c r="G53" i="32"/>
  <c r="C26" i="15"/>
  <c r="C679" i="24"/>
  <c r="D341" i="32"/>
  <c r="C86" i="15"/>
  <c r="C642" i="24"/>
  <c r="D21" i="32"/>
  <c r="C669" i="24"/>
  <c r="C16" i="15"/>
  <c r="C245" i="32"/>
  <c r="C64" i="15"/>
  <c r="C628" i="24"/>
  <c r="H31" i="15"/>
  <c r="I31" i="15" s="1"/>
  <c r="D309" i="32"/>
  <c r="C627" i="24"/>
  <c r="C79" i="15"/>
  <c r="G245" i="32"/>
  <c r="C68" i="15"/>
  <c r="G68" i="15" s="1"/>
  <c r="C624" i="24"/>
  <c r="AE42" i="31" l="1"/>
  <c r="H186" i="32"/>
  <c r="CE89" i="24"/>
  <c r="H17" i="15"/>
  <c r="I17" i="15" s="1"/>
  <c r="H74" i="15"/>
  <c r="I74" i="15" s="1"/>
  <c r="H76" i="15"/>
  <c r="I76" i="15" s="1"/>
  <c r="H69" i="15"/>
  <c r="H40" i="15"/>
  <c r="I40" i="15" s="1"/>
  <c r="G83" i="15"/>
  <c r="H83" i="15" s="1"/>
  <c r="I83" i="15" s="1"/>
  <c r="G72" i="15"/>
  <c r="H72" i="15" s="1"/>
  <c r="I72" i="15" s="1"/>
  <c r="G79" i="15"/>
  <c r="H79" i="15" s="1"/>
  <c r="I79" i="15" s="1"/>
  <c r="G19" i="15"/>
  <c r="H19" i="15" s="1"/>
  <c r="I19" i="15" s="1"/>
  <c r="G16" i="15"/>
  <c r="H16" i="15" s="1"/>
  <c r="I16" i="15" s="1"/>
  <c r="G81" i="15"/>
  <c r="H81" i="15" s="1"/>
  <c r="I81" i="15" s="1"/>
  <c r="G25" i="15"/>
  <c r="H25" i="15" s="1"/>
  <c r="I25" i="15" s="1"/>
  <c r="G26" i="15"/>
  <c r="H26" i="15"/>
  <c r="I26" i="15" s="1"/>
  <c r="G30" i="15"/>
  <c r="H30" i="15" s="1"/>
  <c r="I30" i="15" s="1"/>
  <c r="G18" i="15"/>
  <c r="H18" i="15"/>
  <c r="I18" i="15" s="1"/>
  <c r="G80" i="15"/>
  <c r="H80" i="15" s="1"/>
  <c r="I80" i="15" s="1"/>
  <c r="G85" i="15"/>
  <c r="H85" i="15" s="1"/>
  <c r="I85" i="15" s="1"/>
  <c r="G71" i="15"/>
  <c r="H71" i="15" s="1"/>
  <c r="I71" i="15" s="1"/>
  <c r="H91" i="15"/>
  <c r="I91" i="15" s="1"/>
  <c r="C648" i="24"/>
  <c r="M716" i="24" s="1"/>
  <c r="G32" i="15"/>
  <c r="H32" i="15" s="1"/>
  <c r="I32" i="15" s="1"/>
  <c r="G38" i="15"/>
  <c r="H38" i="15" s="1"/>
  <c r="I38" i="15" s="1"/>
  <c r="G28" i="15"/>
  <c r="H28" i="15" s="1"/>
  <c r="I28" i="15" s="1"/>
  <c r="G34" i="15"/>
  <c r="H34" i="15"/>
  <c r="I34" i="15" s="1"/>
  <c r="D713" i="24"/>
  <c r="D712" i="24"/>
  <c r="D708" i="24"/>
  <c r="D700" i="24"/>
  <c r="D711" i="24"/>
  <c r="D704" i="24"/>
  <c r="D696" i="24"/>
  <c r="D688" i="24"/>
  <c r="D680" i="24"/>
  <c r="D683" i="24"/>
  <c r="D678" i="24"/>
  <c r="D669" i="24"/>
  <c r="D627" i="24"/>
  <c r="D709" i="24"/>
  <c r="D692" i="24"/>
  <c r="D687" i="24"/>
  <c r="D682" i="24"/>
  <c r="D677" i="24"/>
  <c r="D674" i="24"/>
  <c r="D623" i="24"/>
  <c r="D619" i="24"/>
  <c r="D707" i="24"/>
  <c r="D706" i="24"/>
  <c r="D705" i="24"/>
  <c r="D671" i="24"/>
  <c r="D625" i="24"/>
  <c r="D699" i="24"/>
  <c r="D698" i="24"/>
  <c r="D697" i="24"/>
  <c r="D690" i="24"/>
  <c r="D685" i="24"/>
  <c r="D673" i="24"/>
  <c r="D716" i="24"/>
  <c r="D695" i="24"/>
  <c r="D670" i="24"/>
  <c r="D647" i="24"/>
  <c r="D646" i="24"/>
  <c r="D645" i="24"/>
  <c r="D629" i="24"/>
  <c r="D626" i="24"/>
  <c r="D621" i="24"/>
  <c r="D617" i="24"/>
  <c r="D694" i="24"/>
  <c r="D691" i="24"/>
  <c r="D640" i="24"/>
  <c r="D632" i="24"/>
  <c r="D693" i="24"/>
  <c r="D684" i="24"/>
  <c r="D637" i="24"/>
  <c r="D616" i="24"/>
  <c r="D686" i="24"/>
  <c r="D675" i="24"/>
  <c r="D642" i="24"/>
  <c r="D634" i="24"/>
  <c r="D624" i="24"/>
  <c r="D701" i="24"/>
  <c r="D635" i="24"/>
  <c r="D703" i="24"/>
  <c r="D679" i="24"/>
  <c r="D639" i="24"/>
  <c r="D631" i="24"/>
  <c r="D628" i="24"/>
  <c r="D681" i="24"/>
  <c r="D644" i="24"/>
  <c r="D636" i="24"/>
  <c r="D622" i="24"/>
  <c r="D672" i="24"/>
  <c r="D710" i="24"/>
  <c r="D702" i="24"/>
  <c r="D641" i="24"/>
  <c r="D633" i="24"/>
  <c r="D643" i="24"/>
  <c r="D676" i="24"/>
  <c r="D638" i="24"/>
  <c r="D630" i="24"/>
  <c r="D620" i="24"/>
  <c r="D689" i="24"/>
  <c r="D668" i="24"/>
  <c r="D618" i="24"/>
  <c r="G86" i="15"/>
  <c r="H86" i="15" s="1"/>
  <c r="I86" i="15" s="1"/>
  <c r="G73" i="15"/>
  <c r="H73" i="15" s="1"/>
  <c r="I73" i="15" s="1"/>
  <c r="G63" i="15"/>
  <c r="H63" i="15" s="1"/>
  <c r="I63" i="15" s="1"/>
  <c r="G65" i="15"/>
  <c r="H65" i="15"/>
  <c r="I65" i="15" s="1"/>
  <c r="C21" i="32"/>
  <c r="C15" i="15"/>
  <c r="G15" i="15" s="1"/>
  <c r="C668" i="24"/>
  <c r="C715" i="24" s="1"/>
  <c r="CE85" i="24"/>
  <c r="G45" i="15"/>
  <c r="H45" i="15" s="1"/>
  <c r="I45" i="15" s="1"/>
  <c r="G93" i="15"/>
  <c r="H93" i="15" s="1"/>
  <c r="I93" i="15" s="1"/>
  <c r="G70" i="15"/>
  <c r="H70" i="15" s="1"/>
  <c r="I70" i="15" s="1"/>
  <c r="G29" i="15"/>
  <c r="H29" i="15" s="1"/>
  <c r="G82" i="15"/>
  <c r="H82" i="15" s="1"/>
  <c r="I82" i="15" s="1"/>
  <c r="F15" i="15"/>
  <c r="G90" i="15"/>
  <c r="H90" i="15" s="1"/>
  <c r="I90" i="15" s="1"/>
  <c r="G37" i="15"/>
  <c r="H37" i="15" s="1"/>
  <c r="I37" i="15" s="1"/>
  <c r="G41" i="15"/>
  <c r="H41" i="15" s="1"/>
  <c r="I41" i="15" s="1"/>
  <c r="G89" i="15"/>
  <c r="H89" i="15" s="1"/>
  <c r="I89" i="15" s="1"/>
  <c r="G75" i="15"/>
  <c r="H75" i="15" s="1"/>
  <c r="I75" i="15" s="1"/>
  <c r="G33" i="15"/>
  <c r="H33" i="15" s="1"/>
  <c r="I33" i="15" s="1"/>
  <c r="G39" i="15"/>
  <c r="H39" i="15" s="1"/>
  <c r="I39" i="15" s="1"/>
  <c r="C172" i="8"/>
  <c r="D424" i="24"/>
  <c r="G48" i="15"/>
  <c r="H48" i="15" s="1"/>
  <c r="I48" i="15" s="1"/>
  <c r="G78" i="15"/>
  <c r="H78" i="15" s="1"/>
  <c r="I78" i="15" s="1"/>
  <c r="G49" i="15"/>
  <c r="H49" i="15" s="1"/>
  <c r="I49" i="15" s="1"/>
  <c r="D716" i="25"/>
  <c r="E624" i="25"/>
  <c r="G56" i="15"/>
  <c r="H56" i="15" s="1"/>
  <c r="G64" i="15"/>
  <c r="H64" i="15" s="1"/>
  <c r="I64" i="15" s="1"/>
  <c r="E613" i="25"/>
  <c r="G43" i="15"/>
  <c r="H43" i="15" s="1"/>
  <c r="I378" i="32" l="1"/>
  <c r="K612" i="24"/>
  <c r="C177" i="8"/>
  <c r="H424" i="24"/>
  <c r="H15" i="15"/>
  <c r="I15" i="15" s="1"/>
  <c r="E612" i="24"/>
  <c r="E712" i="25"/>
  <c r="E704" i="25"/>
  <c r="E696" i="25"/>
  <c r="E688" i="25"/>
  <c r="E709" i="25"/>
  <c r="E701" i="25"/>
  <c r="E693" i="25"/>
  <c r="E685" i="25"/>
  <c r="E714" i="25"/>
  <c r="E706" i="25"/>
  <c r="E698" i="25"/>
  <c r="E690" i="25"/>
  <c r="E682" i="25"/>
  <c r="E711" i="25"/>
  <c r="E703" i="25"/>
  <c r="E695" i="25"/>
  <c r="E687" i="25"/>
  <c r="E710" i="25"/>
  <c r="E702" i="25"/>
  <c r="E694" i="25"/>
  <c r="E686" i="25"/>
  <c r="E707" i="25"/>
  <c r="E705" i="25"/>
  <c r="E672" i="25"/>
  <c r="E626" i="25"/>
  <c r="E699" i="25"/>
  <c r="E697" i="25"/>
  <c r="E680" i="25"/>
  <c r="E677" i="25"/>
  <c r="E669" i="25"/>
  <c r="E629" i="25"/>
  <c r="E717" i="25"/>
  <c r="E691" i="25"/>
  <c r="E689" i="25"/>
  <c r="E674" i="25"/>
  <c r="E708" i="25"/>
  <c r="E683" i="25"/>
  <c r="E681" i="25"/>
  <c r="E679" i="25"/>
  <c r="E671" i="25"/>
  <c r="E648" i="25"/>
  <c r="E647" i="25"/>
  <c r="E646" i="25"/>
  <c r="E630" i="25"/>
  <c r="E627" i="25"/>
  <c r="E700" i="25"/>
  <c r="E676" i="25"/>
  <c r="E645" i="25"/>
  <c r="E644" i="25"/>
  <c r="E643" i="25"/>
  <c r="E642" i="25"/>
  <c r="E641" i="25"/>
  <c r="E640" i="25"/>
  <c r="E639" i="25"/>
  <c r="E638" i="25"/>
  <c r="E637" i="25"/>
  <c r="E636" i="25"/>
  <c r="E635" i="25"/>
  <c r="E634" i="25"/>
  <c r="E633" i="25"/>
  <c r="E632" i="25"/>
  <c r="E631" i="25"/>
  <c r="E625" i="25"/>
  <c r="E684" i="25"/>
  <c r="E670" i="25"/>
  <c r="E628" i="25"/>
  <c r="E713" i="25"/>
  <c r="E675" i="25"/>
  <c r="E692" i="25"/>
  <c r="E678" i="25"/>
  <c r="E673" i="25"/>
  <c r="I373" i="32"/>
  <c r="C716" i="24"/>
  <c r="D715" i="24"/>
  <c r="E623" i="24"/>
  <c r="E710" i="24" l="1"/>
  <c r="E705" i="24"/>
  <c r="E697" i="24"/>
  <c r="E716" i="24"/>
  <c r="E709" i="24"/>
  <c r="E701" i="24"/>
  <c r="E693" i="24"/>
  <c r="E685" i="24"/>
  <c r="E677" i="24"/>
  <c r="E692" i="24"/>
  <c r="E687" i="24"/>
  <c r="E682" i="24"/>
  <c r="E674" i="24"/>
  <c r="E713" i="24"/>
  <c r="E708" i="24"/>
  <c r="E707" i="24"/>
  <c r="E706" i="24"/>
  <c r="E671" i="24"/>
  <c r="E625" i="24"/>
  <c r="E704" i="24"/>
  <c r="E703" i="24"/>
  <c r="E702" i="24"/>
  <c r="E691" i="24"/>
  <c r="E686" i="24"/>
  <c r="E681" i="24"/>
  <c r="E676" i="24"/>
  <c r="E668" i="24"/>
  <c r="E628" i="24"/>
  <c r="E696" i="24"/>
  <c r="E695" i="24"/>
  <c r="E680" i="24"/>
  <c r="E670" i="24"/>
  <c r="E647" i="24"/>
  <c r="E646" i="24"/>
  <c r="E645" i="24"/>
  <c r="E629" i="24"/>
  <c r="E626" i="24"/>
  <c r="E711" i="24"/>
  <c r="E694" i="24"/>
  <c r="E689" i="24"/>
  <c r="E684" i="24"/>
  <c r="E679" i="24"/>
  <c r="E675" i="24"/>
  <c r="E644" i="24"/>
  <c r="E643" i="24"/>
  <c r="E642" i="24"/>
  <c r="E641" i="24"/>
  <c r="E640" i="24"/>
  <c r="E639" i="24"/>
  <c r="E638" i="24"/>
  <c r="E637" i="24"/>
  <c r="E636" i="24"/>
  <c r="E635" i="24"/>
  <c r="E634" i="24"/>
  <c r="E633" i="24"/>
  <c r="E632" i="24"/>
  <c r="E631" i="24"/>
  <c r="E630" i="24"/>
  <c r="E624" i="24"/>
  <c r="E678" i="24"/>
  <c r="E700" i="24"/>
  <c r="E712" i="24"/>
  <c r="E673" i="24"/>
  <c r="E699" i="24"/>
  <c r="E690" i="24"/>
  <c r="E688" i="24"/>
  <c r="E669" i="24"/>
  <c r="E698" i="24"/>
  <c r="E683" i="24"/>
  <c r="E627" i="24"/>
  <c r="E672" i="24"/>
  <c r="E716" i="25"/>
  <c r="F625" i="25"/>
  <c r="E715" i="24" l="1"/>
  <c r="F624" i="24"/>
  <c r="F709" i="25"/>
  <c r="F701" i="25"/>
  <c r="F693" i="25"/>
  <c r="F685" i="25"/>
  <c r="F714" i="25"/>
  <c r="F706" i="25"/>
  <c r="F698" i="25"/>
  <c r="F690" i="25"/>
  <c r="F682" i="25"/>
  <c r="F711" i="25"/>
  <c r="F703" i="25"/>
  <c r="F695" i="25"/>
  <c r="F687" i="25"/>
  <c r="F717" i="25"/>
  <c r="F708" i="25"/>
  <c r="F700" i="25"/>
  <c r="F692" i="25"/>
  <c r="F684" i="25"/>
  <c r="F707" i="25"/>
  <c r="F699" i="25"/>
  <c r="F691" i="25"/>
  <c r="F683" i="25"/>
  <c r="F697" i="25"/>
  <c r="F680" i="25"/>
  <c r="F677" i="25"/>
  <c r="F669" i="25"/>
  <c r="F629" i="25"/>
  <c r="F689" i="25"/>
  <c r="F674" i="25"/>
  <c r="F681" i="25"/>
  <c r="F679" i="25"/>
  <c r="F671" i="25"/>
  <c r="F648" i="25"/>
  <c r="F647" i="25"/>
  <c r="F646" i="25"/>
  <c r="F630" i="25"/>
  <c r="F627" i="25"/>
  <c r="F712" i="25"/>
  <c r="F710" i="25"/>
  <c r="F676" i="25"/>
  <c r="F645" i="25"/>
  <c r="F644" i="25"/>
  <c r="F643" i="25"/>
  <c r="F642" i="25"/>
  <c r="F641" i="25"/>
  <c r="F640" i="25"/>
  <c r="F639" i="25"/>
  <c r="F638" i="25"/>
  <c r="F637" i="25"/>
  <c r="F636" i="25"/>
  <c r="F635" i="25"/>
  <c r="F634" i="25"/>
  <c r="F633" i="25"/>
  <c r="F632" i="25"/>
  <c r="F631" i="25"/>
  <c r="F704" i="25"/>
  <c r="F702" i="25"/>
  <c r="F673" i="25"/>
  <c r="F705" i="25"/>
  <c r="F694" i="25"/>
  <c r="F672" i="25"/>
  <c r="F628" i="25"/>
  <c r="F688" i="25"/>
  <c r="F696" i="25"/>
  <c r="F686" i="25"/>
  <c r="F626" i="25"/>
  <c r="F713" i="25"/>
  <c r="F670" i="25"/>
  <c r="F678" i="25"/>
  <c r="F675" i="25"/>
  <c r="F716" i="25" l="1"/>
  <c r="G626" i="25"/>
  <c r="F716" i="24"/>
  <c r="F711" i="24"/>
  <c r="F702" i="24"/>
  <c r="F710" i="24"/>
  <c r="F706" i="24"/>
  <c r="F698" i="24"/>
  <c r="F690" i="24"/>
  <c r="F682" i="24"/>
  <c r="F713" i="24"/>
  <c r="F709" i="24"/>
  <c r="F708" i="24"/>
  <c r="F707" i="24"/>
  <c r="F677" i="24"/>
  <c r="F671" i="24"/>
  <c r="F625" i="24"/>
  <c r="F705" i="24"/>
  <c r="F704" i="24"/>
  <c r="F703" i="24"/>
  <c r="F691" i="24"/>
  <c r="F686" i="24"/>
  <c r="F681" i="24"/>
  <c r="F676" i="24"/>
  <c r="F668" i="24"/>
  <c r="F628" i="24"/>
  <c r="F701" i="24"/>
  <c r="F700" i="24"/>
  <c r="F699" i="24"/>
  <c r="F673" i="24"/>
  <c r="F694" i="24"/>
  <c r="F689" i="24"/>
  <c r="F684" i="24"/>
  <c r="F679" i="24"/>
  <c r="F675" i="24"/>
  <c r="F644" i="24"/>
  <c r="F643" i="24"/>
  <c r="F642" i="24"/>
  <c r="F641" i="24"/>
  <c r="F640" i="24"/>
  <c r="F639" i="24"/>
  <c r="F638" i="24"/>
  <c r="F637" i="24"/>
  <c r="F636" i="24"/>
  <c r="F635" i="24"/>
  <c r="F634" i="24"/>
  <c r="F633" i="24"/>
  <c r="F632" i="24"/>
  <c r="F631" i="24"/>
  <c r="F630" i="24"/>
  <c r="F712" i="24"/>
  <c r="F672" i="24"/>
  <c r="F693" i="24"/>
  <c r="F645" i="24"/>
  <c r="F629" i="24"/>
  <c r="F696" i="24"/>
  <c r="F688" i="24"/>
  <c r="F669" i="24"/>
  <c r="F647" i="24"/>
  <c r="F680" i="24"/>
  <c r="F695" i="24"/>
  <c r="F692" i="24"/>
  <c r="F683" i="24"/>
  <c r="F627" i="24"/>
  <c r="F685" i="24"/>
  <c r="F646" i="24"/>
  <c r="F687" i="24"/>
  <c r="F678" i="24"/>
  <c r="F674" i="24"/>
  <c r="F670" i="24"/>
  <c r="F626" i="24"/>
  <c r="F697" i="24"/>
  <c r="F715" i="24" l="1"/>
  <c r="G625" i="24"/>
  <c r="G714" i="25"/>
  <c r="G706" i="25"/>
  <c r="G698" i="25"/>
  <c r="G690" i="25"/>
  <c r="G682" i="25"/>
  <c r="G711" i="25"/>
  <c r="G703" i="25"/>
  <c r="G695" i="25"/>
  <c r="G687" i="25"/>
  <c r="G717" i="25"/>
  <c r="G708" i="25"/>
  <c r="G700" i="25"/>
  <c r="G692" i="25"/>
  <c r="G684" i="25"/>
  <c r="G713" i="25"/>
  <c r="G705" i="25"/>
  <c r="G697" i="25"/>
  <c r="G689" i="25"/>
  <c r="G681" i="25"/>
  <c r="G712" i="25"/>
  <c r="G704" i="25"/>
  <c r="G696" i="25"/>
  <c r="G688" i="25"/>
  <c r="G680" i="25"/>
  <c r="G701" i="25"/>
  <c r="G699" i="25"/>
  <c r="G674" i="25"/>
  <c r="G693" i="25"/>
  <c r="G691" i="25"/>
  <c r="G679" i="25"/>
  <c r="G671" i="25"/>
  <c r="G648" i="25"/>
  <c r="G647" i="25"/>
  <c r="G646" i="25"/>
  <c r="G630" i="25"/>
  <c r="G627" i="25"/>
  <c r="G710" i="25"/>
  <c r="G685" i="25"/>
  <c r="G683" i="25"/>
  <c r="G676" i="25"/>
  <c r="G645" i="25"/>
  <c r="G644" i="25"/>
  <c r="G643" i="25"/>
  <c r="G642" i="25"/>
  <c r="G641" i="25"/>
  <c r="G640" i="25"/>
  <c r="G639" i="25"/>
  <c r="G638" i="25"/>
  <c r="G637" i="25"/>
  <c r="G636" i="25"/>
  <c r="G635" i="25"/>
  <c r="G634" i="25"/>
  <c r="G633" i="25"/>
  <c r="G632" i="25"/>
  <c r="G631" i="25"/>
  <c r="G702" i="25"/>
  <c r="G673" i="25"/>
  <c r="G694" i="25"/>
  <c r="G678" i="25"/>
  <c r="G670" i="25"/>
  <c r="G628" i="25"/>
  <c r="G629" i="25"/>
  <c r="G709" i="25"/>
  <c r="G675" i="25"/>
  <c r="G686" i="25"/>
  <c r="G669" i="25"/>
  <c r="G707" i="25"/>
  <c r="G677" i="25"/>
  <c r="G672" i="25"/>
  <c r="H629" i="25" l="1"/>
  <c r="G712" i="24"/>
  <c r="G707" i="24"/>
  <c r="G699" i="24"/>
  <c r="G716" i="24"/>
  <c r="G709" i="24"/>
  <c r="G713" i="24"/>
  <c r="G703" i="24"/>
  <c r="G695" i="24"/>
  <c r="G687" i="24"/>
  <c r="G679" i="24"/>
  <c r="G706" i="24"/>
  <c r="G705" i="24"/>
  <c r="G704" i="24"/>
  <c r="G691" i="24"/>
  <c r="G686" i="24"/>
  <c r="G681" i="24"/>
  <c r="G676" i="24"/>
  <c r="G668" i="24"/>
  <c r="G628" i="24"/>
  <c r="G702" i="24"/>
  <c r="G701" i="24"/>
  <c r="G700" i="24"/>
  <c r="G673" i="24"/>
  <c r="G710" i="24"/>
  <c r="G698" i="24"/>
  <c r="G697" i="24"/>
  <c r="G696" i="24"/>
  <c r="G690" i="24"/>
  <c r="G685" i="24"/>
  <c r="G680" i="24"/>
  <c r="G670" i="24"/>
  <c r="G647" i="24"/>
  <c r="G646" i="24"/>
  <c r="G645" i="24"/>
  <c r="G629" i="24"/>
  <c r="G626" i="24"/>
  <c r="G711" i="24"/>
  <c r="G672" i="24"/>
  <c r="G693" i="24"/>
  <c r="G688" i="24"/>
  <c r="G683" i="24"/>
  <c r="G678" i="24"/>
  <c r="G669" i="24"/>
  <c r="G627" i="24"/>
  <c r="G708" i="24"/>
  <c r="G684" i="24"/>
  <c r="G682" i="24"/>
  <c r="G637" i="24"/>
  <c r="G632" i="24"/>
  <c r="G675" i="24"/>
  <c r="G642" i="24"/>
  <c r="G634" i="24"/>
  <c r="G677" i="24"/>
  <c r="G671" i="24"/>
  <c r="G639" i="24"/>
  <c r="G631" i="24"/>
  <c r="G692" i="24"/>
  <c r="G644" i="24"/>
  <c r="G636" i="24"/>
  <c r="G641" i="24"/>
  <c r="G633" i="24"/>
  <c r="G640" i="24"/>
  <c r="G694" i="24"/>
  <c r="G674" i="24"/>
  <c r="G638" i="24"/>
  <c r="G630" i="24"/>
  <c r="G689" i="24"/>
  <c r="G643" i="24"/>
  <c r="G635" i="24"/>
  <c r="G716" i="25"/>
  <c r="G715" i="24" l="1"/>
  <c r="H628" i="24"/>
  <c r="H711" i="25"/>
  <c r="H703" i="25"/>
  <c r="H695" i="25"/>
  <c r="H687" i="25"/>
  <c r="H717" i="25"/>
  <c r="H708" i="25"/>
  <c r="H700" i="25"/>
  <c r="H692" i="25"/>
  <c r="H684" i="25"/>
  <c r="H713" i="25"/>
  <c r="H705" i="25"/>
  <c r="H697" i="25"/>
  <c r="H689" i="25"/>
  <c r="H681" i="25"/>
  <c r="H710" i="25"/>
  <c r="H702" i="25"/>
  <c r="H694" i="25"/>
  <c r="H686" i="25"/>
  <c r="H709" i="25"/>
  <c r="H701" i="25"/>
  <c r="H693" i="25"/>
  <c r="H685" i="25"/>
  <c r="H691" i="25"/>
  <c r="H679" i="25"/>
  <c r="H671" i="25"/>
  <c r="H648" i="25"/>
  <c r="H647" i="25"/>
  <c r="H646" i="25"/>
  <c r="H630" i="25"/>
  <c r="H683" i="25"/>
  <c r="H676" i="25"/>
  <c r="H645" i="25"/>
  <c r="H644" i="25"/>
  <c r="H643" i="25"/>
  <c r="H642" i="25"/>
  <c r="H641" i="25"/>
  <c r="H640" i="25"/>
  <c r="H639" i="25"/>
  <c r="H638" i="25"/>
  <c r="H637" i="25"/>
  <c r="H636" i="25"/>
  <c r="H635" i="25"/>
  <c r="H634" i="25"/>
  <c r="H633" i="25"/>
  <c r="H632" i="25"/>
  <c r="H631" i="25"/>
  <c r="H714" i="25"/>
  <c r="H712" i="25"/>
  <c r="H673" i="25"/>
  <c r="H706" i="25"/>
  <c r="H704" i="25"/>
  <c r="H678" i="25"/>
  <c r="H670" i="25"/>
  <c r="H698" i="25"/>
  <c r="H696" i="25"/>
  <c r="H675" i="25"/>
  <c r="H699" i="25"/>
  <c r="H688" i="25"/>
  <c r="H677" i="25"/>
  <c r="H707" i="25"/>
  <c r="H680" i="25"/>
  <c r="H669" i="25"/>
  <c r="H690" i="25"/>
  <c r="H674" i="25"/>
  <c r="H672" i="25"/>
  <c r="H682" i="25"/>
  <c r="H716" i="25" l="1"/>
  <c r="I630" i="25"/>
  <c r="H709" i="24"/>
  <c r="H716" i="24"/>
  <c r="H710" i="24"/>
  <c r="H704" i="24"/>
  <c r="H696" i="24"/>
  <c r="H708" i="24"/>
  <c r="H700" i="24"/>
  <c r="H692" i="24"/>
  <c r="H684" i="24"/>
  <c r="H676" i="24"/>
  <c r="H703" i="24"/>
  <c r="H702" i="24"/>
  <c r="H701" i="24"/>
  <c r="H673" i="24"/>
  <c r="H699" i="24"/>
  <c r="H698" i="24"/>
  <c r="H697" i="24"/>
  <c r="H690" i="24"/>
  <c r="H685" i="24"/>
  <c r="H680" i="24"/>
  <c r="H670" i="24"/>
  <c r="H647" i="24"/>
  <c r="H646" i="24"/>
  <c r="H645" i="24"/>
  <c r="H629" i="24"/>
  <c r="H695" i="24"/>
  <c r="H694" i="24"/>
  <c r="H689" i="24"/>
  <c r="H675" i="24"/>
  <c r="H644" i="24"/>
  <c r="H643" i="24"/>
  <c r="H642" i="24"/>
  <c r="H641" i="24"/>
  <c r="H640" i="24"/>
  <c r="H639" i="24"/>
  <c r="H638" i="24"/>
  <c r="H637" i="24"/>
  <c r="H636" i="24"/>
  <c r="H635" i="24"/>
  <c r="H634" i="24"/>
  <c r="H633" i="24"/>
  <c r="H632" i="24"/>
  <c r="H631" i="24"/>
  <c r="H630" i="24"/>
  <c r="H693" i="24"/>
  <c r="H688" i="24"/>
  <c r="H683" i="24"/>
  <c r="H678" i="24"/>
  <c r="H669" i="24"/>
  <c r="H712" i="24"/>
  <c r="H674" i="24"/>
  <c r="H713" i="24"/>
  <c r="H686" i="24"/>
  <c r="H677" i="24"/>
  <c r="H671" i="24"/>
  <c r="H707" i="24"/>
  <c r="H679" i="24"/>
  <c r="H691" i="24"/>
  <c r="H711" i="24"/>
  <c r="H681" i="24"/>
  <c r="H706" i="24"/>
  <c r="H682" i="24"/>
  <c r="H687" i="24"/>
  <c r="H672" i="24"/>
  <c r="H705" i="24"/>
  <c r="H668" i="24"/>
  <c r="H715" i="24" l="1"/>
  <c r="I629" i="24"/>
  <c r="I717" i="25"/>
  <c r="I708" i="25"/>
  <c r="I700" i="25"/>
  <c r="I692" i="25"/>
  <c r="I684" i="25"/>
  <c r="I713" i="25"/>
  <c r="I705" i="25"/>
  <c r="I697" i="25"/>
  <c r="I689" i="25"/>
  <c r="I681" i="25"/>
  <c r="I710" i="25"/>
  <c r="I702" i="25"/>
  <c r="I694" i="25"/>
  <c r="I686" i="25"/>
  <c r="I707" i="25"/>
  <c r="I699" i="25"/>
  <c r="I691" i="25"/>
  <c r="I683" i="25"/>
  <c r="I714" i="25"/>
  <c r="I706" i="25"/>
  <c r="I698" i="25"/>
  <c r="I690" i="25"/>
  <c r="I682" i="25"/>
  <c r="I695" i="25"/>
  <c r="I693" i="25"/>
  <c r="I676" i="25"/>
  <c r="I645" i="25"/>
  <c r="I644" i="25"/>
  <c r="I643" i="25"/>
  <c r="I642" i="25"/>
  <c r="I641" i="25"/>
  <c r="I640" i="25"/>
  <c r="I639" i="25"/>
  <c r="I638" i="25"/>
  <c r="I637" i="25"/>
  <c r="I636" i="25"/>
  <c r="I635" i="25"/>
  <c r="I634" i="25"/>
  <c r="I633" i="25"/>
  <c r="I632" i="25"/>
  <c r="I631" i="25"/>
  <c r="I712" i="25"/>
  <c r="I687" i="25"/>
  <c r="I685" i="25"/>
  <c r="I673" i="25"/>
  <c r="I704" i="25"/>
  <c r="I678" i="25"/>
  <c r="I670" i="25"/>
  <c r="I696" i="25"/>
  <c r="I675" i="25"/>
  <c r="I688" i="25"/>
  <c r="I672" i="25"/>
  <c r="I709" i="25"/>
  <c r="I677" i="25"/>
  <c r="I679" i="25"/>
  <c r="I669" i="25"/>
  <c r="I647" i="25"/>
  <c r="I646" i="25"/>
  <c r="I674" i="25"/>
  <c r="I711" i="25"/>
  <c r="I671" i="25"/>
  <c r="I680" i="25"/>
  <c r="I703" i="25"/>
  <c r="I648" i="25"/>
  <c r="I701" i="25"/>
  <c r="I716" i="25" l="1"/>
  <c r="J631" i="25"/>
  <c r="I701" i="24"/>
  <c r="I713" i="24"/>
  <c r="I712" i="24"/>
  <c r="I705" i="24"/>
  <c r="I697" i="24"/>
  <c r="I689" i="24"/>
  <c r="I681" i="24"/>
  <c r="I700" i="24"/>
  <c r="I699" i="24"/>
  <c r="I698" i="24"/>
  <c r="I690" i="24"/>
  <c r="I685" i="24"/>
  <c r="I680" i="24"/>
  <c r="I670" i="24"/>
  <c r="I647" i="24"/>
  <c r="I646" i="24"/>
  <c r="I645" i="24"/>
  <c r="I710" i="24"/>
  <c r="I696" i="24"/>
  <c r="I695" i="24"/>
  <c r="I694" i="24"/>
  <c r="I675" i="24"/>
  <c r="I644" i="24"/>
  <c r="I643" i="24"/>
  <c r="I642" i="24"/>
  <c r="I641" i="24"/>
  <c r="I640" i="24"/>
  <c r="I639" i="24"/>
  <c r="I638" i="24"/>
  <c r="I637" i="24"/>
  <c r="I636" i="24"/>
  <c r="I635" i="24"/>
  <c r="I634" i="24"/>
  <c r="I633" i="24"/>
  <c r="I632" i="24"/>
  <c r="I631" i="24"/>
  <c r="I630" i="24"/>
  <c r="I711" i="24"/>
  <c r="I684" i="24"/>
  <c r="I679" i="24"/>
  <c r="I672" i="24"/>
  <c r="I716" i="24"/>
  <c r="I674" i="24"/>
  <c r="I708" i="24"/>
  <c r="I707" i="24"/>
  <c r="I692" i="24"/>
  <c r="I687" i="24"/>
  <c r="I682" i="24"/>
  <c r="I677" i="24"/>
  <c r="I671" i="24"/>
  <c r="I706" i="24"/>
  <c r="I704" i="24"/>
  <c r="I686" i="24"/>
  <c r="I693" i="24"/>
  <c r="I688" i="24"/>
  <c r="I673" i="24"/>
  <c r="I669" i="24"/>
  <c r="I703" i="24"/>
  <c r="I683" i="24"/>
  <c r="I702" i="24"/>
  <c r="I678" i="24"/>
  <c r="I676" i="24"/>
  <c r="I668" i="24"/>
  <c r="I709" i="24"/>
  <c r="I691" i="24"/>
  <c r="I715" i="24" l="1"/>
  <c r="J630" i="24"/>
  <c r="J713" i="25"/>
  <c r="J705" i="25"/>
  <c r="J697" i="25"/>
  <c r="J689" i="25"/>
  <c r="J681" i="25"/>
  <c r="J710" i="25"/>
  <c r="J702" i="25"/>
  <c r="J694" i="25"/>
  <c r="J686" i="25"/>
  <c r="J707" i="25"/>
  <c r="J699" i="25"/>
  <c r="J691" i="25"/>
  <c r="J683" i="25"/>
  <c r="J712" i="25"/>
  <c r="J704" i="25"/>
  <c r="J696" i="25"/>
  <c r="J688" i="25"/>
  <c r="J711" i="25"/>
  <c r="J703" i="25"/>
  <c r="J695" i="25"/>
  <c r="J687" i="25"/>
  <c r="J679" i="25"/>
  <c r="J685" i="25"/>
  <c r="J673" i="25"/>
  <c r="J717" i="25"/>
  <c r="J714" i="25"/>
  <c r="J678" i="25"/>
  <c r="J670" i="25"/>
  <c r="J708" i="25"/>
  <c r="J706" i="25"/>
  <c r="J675" i="25"/>
  <c r="J700" i="25"/>
  <c r="J698" i="25"/>
  <c r="J672" i="25"/>
  <c r="J692" i="25"/>
  <c r="J690" i="25"/>
  <c r="J677" i="25"/>
  <c r="J669" i="25"/>
  <c r="J709" i="25"/>
  <c r="J645" i="25"/>
  <c r="J637" i="25"/>
  <c r="J647" i="25"/>
  <c r="J642" i="25"/>
  <c r="J634" i="25"/>
  <c r="J693" i="25"/>
  <c r="J682" i="25"/>
  <c r="J671" i="25"/>
  <c r="J639" i="25"/>
  <c r="J646" i="25"/>
  <c r="J641" i="25"/>
  <c r="J633" i="25"/>
  <c r="J701" i="25"/>
  <c r="J680" i="25"/>
  <c r="J674" i="25"/>
  <c r="J638" i="25"/>
  <c r="J635" i="25"/>
  <c r="J648" i="25"/>
  <c r="J632" i="25"/>
  <c r="J684" i="25"/>
  <c r="J676" i="25"/>
  <c r="J636" i="25"/>
  <c r="J643" i="25"/>
  <c r="J644" i="25"/>
  <c r="J640" i="25"/>
  <c r="L648" i="25" l="1"/>
  <c r="L699" i="25" s="1"/>
  <c r="J716" i="25"/>
  <c r="K645" i="25"/>
  <c r="J711" i="24"/>
  <c r="J709" i="24"/>
  <c r="J706" i="24"/>
  <c r="J698" i="24"/>
  <c r="J702" i="24"/>
  <c r="J694" i="24"/>
  <c r="J686" i="24"/>
  <c r="J678" i="24"/>
  <c r="J710" i="24"/>
  <c r="J697" i="24"/>
  <c r="J696" i="24"/>
  <c r="J695" i="24"/>
  <c r="J675" i="24"/>
  <c r="J644" i="24"/>
  <c r="J643" i="24"/>
  <c r="J642" i="24"/>
  <c r="J641" i="24"/>
  <c r="J640" i="24"/>
  <c r="J639" i="24"/>
  <c r="J638" i="24"/>
  <c r="J637" i="24"/>
  <c r="J636" i="24"/>
  <c r="J635" i="24"/>
  <c r="J634" i="24"/>
  <c r="J633" i="24"/>
  <c r="J632" i="24"/>
  <c r="J631" i="24"/>
  <c r="J689" i="24"/>
  <c r="J684" i="24"/>
  <c r="J679" i="24"/>
  <c r="J672" i="24"/>
  <c r="J693" i="24"/>
  <c r="J688" i="24"/>
  <c r="J683" i="24"/>
  <c r="J669" i="24"/>
  <c r="J712" i="24"/>
  <c r="J692" i="24"/>
  <c r="J687" i="24"/>
  <c r="J682" i="24"/>
  <c r="J677" i="24"/>
  <c r="J671" i="24"/>
  <c r="J713" i="24"/>
  <c r="J705" i="24"/>
  <c r="J703" i="24"/>
  <c r="J708" i="24"/>
  <c r="J707" i="24"/>
  <c r="J691" i="24"/>
  <c r="J668" i="24"/>
  <c r="J704" i="24"/>
  <c r="J700" i="24"/>
  <c r="J673" i="24"/>
  <c r="J645" i="24"/>
  <c r="J647" i="24"/>
  <c r="J699" i="24"/>
  <c r="J690" i="24"/>
  <c r="J681" i="24"/>
  <c r="J685" i="24"/>
  <c r="J676" i="24"/>
  <c r="J674" i="24"/>
  <c r="J646" i="24"/>
  <c r="J716" i="24"/>
  <c r="J670" i="24"/>
  <c r="J701" i="24"/>
  <c r="J680" i="24"/>
  <c r="L647" i="24" l="1"/>
  <c r="L708" i="24" s="1"/>
  <c r="L687" i="25"/>
  <c r="L711" i="25"/>
  <c r="L670" i="25"/>
  <c r="L686" i="25"/>
  <c r="L672" i="25"/>
  <c r="L674" i="25"/>
  <c r="L708" i="25"/>
  <c r="L678" i="25"/>
  <c r="L675" i="25"/>
  <c r="L676" i="25"/>
  <c r="L713" i="25"/>
  <c r="L679" i="25"/>
  <c r="L671" i="25"/>
  <c r="L698" i="25"/>
  <c r="L706" i="25"/>
  <c r="L714" i="25"/>
  <c r="L700" i="25"/>
  <c r="L673" i="25"/>
  <c r="L694" i="25"/>
  <c r="L717" i="25"/>
  <c r="L701" i="25"/>
  <c r="L703" i="25"/>
  <c r="L669" i="25"/>
  <c r="L689" i="25"/>
  <c r="L680" i="25"/>
  <c r="L677" i="25"/>
  <c r="L705" i="25"/>
  <c r="L688" i="25"/>
  <c r="L696" i="25"/>
  <c r="L695" i="25"/>
  <c r="L684" i="25"/>
  <c r="L702" i="25"/>
  <c r="L690" i="25"/>
  <c r="L704" i="25"/>
  <c r="L683" i="25"/>
  <c r="L707" i="25"/>
  <c r="L681" i="25"/>
  <c r="L693" i="25"/>
  <c r="L697" i="25"/>
  <c r="L685" i="25"/>
  <c r="L712" i="25"/>
  <c r="L691" i="25"/>
  <c r="L692" i="25"/>
  <c r="L710" i="25"/>
  <c r="L682" i="25"/>
  <c r="L709" i="25"/>
  <c r="K644" i="24"/>
  <c r="J715" i="24"/>
  <c r="K710" i="25"/>
  <c r="K702" i="25"/>
  <c r="K694" i="25"/>
  <c r="K686" i="25"/>
  <c r="K707" i="25"/>
  <c r="K699" i="25"/>
  <c r="M699" i="25" s="1"/>
  <c r="K691" i="25"/>
  <c r="K683" i="25"/>
  <c r="K712" i="25"/>
  <c r="K704" i="25"/>
  <c r="K696" i="25"/>
  <c r="K688" i="25"/>
  <c r="K680" i="25"/>
  <c r="K709" i="25"/>
  <c r="K701" i="25"/>
  <c r="K693" i="25"/>
  <c r="K685" i="25"/>
  <c r="K717" i="25"/>
  <c r="K708" i="25"/>
  <c r="K700" i="25"/>
  <c r="K692" i="25"/>
  <c r="K684" i="25"/>
  <c r="K714" i="25"/>
  <c r="K689" i="25"/>
  <c r="K687" i="25"/>
  <c r="K678" i="25"/>
  <c r="K670" i="25"/>
  <c r="K706" i="25"/>
  <c r="K681" i="25"/>
  <c r="K675" i="25"/>
  <c r="K698" i="25"/>
  <c r="K672" i="25"/>
  <c r="K690" i="25"/>
  <c r="K677" i="25"/>
  <c r="K669" i="25"/>
  <c r="K682" i="25"/>
  <c r="K674" i="25"/>
  <c r="K679" i="25"/>
  <c r="K671" i="25"/>
  <c r="K713" i="25"/>
  <c r="K703" i="25"/>
  <c r="K673" i="25"/>
  <c r="K697" i="25"/>
  <c r="K711" i="25"/>
  <c r="K676" i="25"/>
  <c r="K705" i="25"/>
  <c r="K695" i="25"/>
  <c r="L713" i="24" l="1"/>
  <c r="M695" i="25"/>
  <c r="L702" i="24"/>
  <c r="L687" i="24"/>
  <c r="L668" i="24"/>
  <c r="L699" i="24"/>
  <c r="L683" i="24"/>
  <c r="L684" i="24"/>
  <c r="L686" i="24"/>
  <c r="L680" i="24"/>
  <c r="M707" i="25"/>
  <c r="L670" i="24"/>
  <c r="L707" i="24"/>
  <c r="L710" i="24"/>
  <c r="M713" i="25"/>
  <c r="L672" i="24"/>
  <c r="L679" i="24"/>
  <c r="L685" i="24"/>
  <c r="L703" i="24"/>
  <c r="L673" i="24"/>
  <c r="L691" i="24"/>
  <c r="L671" i="24"/>
  <c r="L692" i="24"/>
  <c r="L711" i="24"/>
  <c r="L688" i="24"/>
  <c r="L716" i="24"/>
  <c r="L675" i="24"/>
  <c r="L694" i="24"/>
  <c r="L712" i="24"/>
  <c r="L690" i="24"/>
  <c r="L709" i="24"/>
  <c r="L676" i="24"/>
  <c r="L705" i="24"/>
  <c r="L677" i="24"/>
  <c r="L674" i="24"/>
  <c r="L669" i="24"/>
  <c r="L696" i="24"/>
  <c r="L700" i="24"/>
  <c r="L689" i="24"/>
  <c r="L695" i="24"/>
  <c r="L697" i="24"/>
  <c r="L701" i="24"/>
  <c r="L698" i="24"/>
  <c r="L681" i="24"/>
  <c r="L706" i="24"/>
  <c r="L682" i="24"/>
  <c r="L678" i="24"/>
  <c r="L693" i="24"/>
  <c r="L704" i="24"/>
  <c r="M691" i="25"/>
  <c r="M683" i="25"/>
  <c r="M685" i="25"/>
  <c r="M675" i="25"/>
  <c r="M710" i="25"/>
  <c r="M698" i="25"/>
  <c r="M676" i="25"/>
  <c r="M674" i="25"/>
  <c r="M703" i="25"/>
  <c r="M711" i="25"/>
  <c r="M693" i="25"/>
  <c r="M672" i="25"/>
  <c r="M690" i="25"/>
  <c r="M681" i="25"/>
  <c r="M687" i="25"/>
  <c r="M680" i="25"/>
  <c r="M671" i="25"/>
  <c r="M701" i="25"/>
  <c r="M692" i="25"/>
  <c r="M700" i="25"/>
  <c r="M696" i="25"/>
  <c r="M673" i="25"/>
  <c r="M677" i="25"/>
  <c r="M704" i="25"/>
  <c r="M688" i="25"/>
  <c r="M686" i="25"/>
  <c r="M670" i="25"/>
  <c r="M694" i="25"/>
  <c r="M705" i="25"/>
  <c r="M679" i="25"/>
  <c r="M714" i="25"/>
  <c r="M684" i="25"/>
  <c r="M689" i="25"/>
  <c r="M706" i="25"/>
  <c r="M697" i="25"/>
  <c r="M708" i="25"/>
  <c r="M678" i="25"/>
  <c r="M702" i="25"/>
  <c r="M682" i="25"/>
  <c r="L716" i="25"/>
  <c r="M709" i="25"/>
  <c r="M712" i="25"/>
  <c r="K713" i="24"/>
  <c r="K703" i="24"/>
  <c r="K695" i="24"/>
  <c r="K712" i="24"/>
  <c r="K711" i="24"/>
  <c r="K707" i="24"/>
  <c r="M707" i="24" s="1"/>
  <c r="G183" i="32" s="1"/>
  <c r="K699" i="24"/>
  <c r="M699" i="24" s="1"/>
  <c r="F151" i="32" s="1"/>
  <c r="K691" i="24"/>
  <c r="K683" i="24"/>
  <c r="K694" i="24"/>
  <c r="K689" i="24"/>
  <c r="K684" i="24"/>
  <c r="K679" i="24"/>
  <c r="K672" i="24"/>
  <c r="K693" i="24"/>
  <c r="K688" i="24"/>
  <c r="K669" i="24"/>
  <c r="M669" i="24" s="1"/>
  <c r="D23" i="32" s="1"/>
  <c r="K716" i="24"/>
  <c r="K678" i="24"/>
  <c r="K674" i="24"/>
  <c r="M674" i="24" s="1"/>
  <c r="I23" i="32" s="1"/>
  <c r="K708" i="24"/>
  <c r="M708" i="24" s="1"/>
  <c r="H183" i="32" s="1"/>
  <c r="K668" i="24"/>
  <c r="M668" i="24" s="1"/>
  <c r="K701" i="24"/>
  <c r="M701" i="24" s="1"/>
  <c r="H151" i="32" s="1"/>
  <c r="K706" i="24"/>
  <c r="K705" i="24"/>
  <c r="K704" i="24"/>
  <c r="M704" i="24" s="1"/>
  <c r="D183" i="32" s="1"/>
  <c r="K686" i="24"/>
  <c r="K681" i="24"/>
  <c r="K676" i="24"/>
  <c r="M676" i="24" s="1"/>
  <c r="D55" i="32" s="1"/>
  <c r="K673" i="24"/>
  <c r="K709" i="24"/>
  <c r="K702" i="24"/>
  <c r="K700" i="24"/>
  <c r="K696" i="24"/>
  <c r="M696" i="24" s="1"/>
  <c r="C151" i="32" s="1"/>
  <c r="K677" i="24"/>
  <c r="M677" i="24" s="1"/>
  <c r="E55" i="32" s="1"/>
  <c r="K675" i="24"/>
  <c r="M675" i="24" s="1"/>
  <c r="C55" i="32" s="1"/>
  <c r="K671" i="24"/>
  <c r="K690" i="24"/>
  <c r="K692" i="24"/>
  <c r="K685" i="24"/>
  <c r="K710" i="24"/>
  <c r="K698" i="24"/>
  <c r="K687" i="24"/>
  <c r="K670" i="24"/>
  <c r="K680" i="24"/>
  <c r="K697" i="24"/>
  <c r="M697" i="24" s="1"/>
  <c r="D151" i="32" s="1"/>
  <c r="K682" i="24"/>
  <c r="M682" i="24" s="1"/>
  <c r="C87" i="32" s="1"/>
  <c r="K716" i="25"/>
  <c r="M669" i="25"/>
  <c r="M702" i="24" l="1"/>
  <c r="I151" i="32" s="1"/>
  <c r="M713" i="24"/>
  <c r="F215" i="32" s="1"/>
  <c r="M711" i="24"/>
  <c r="D215" i="32" s="1"/>
  <c r="M673" i="24"/>
  <c r="H23" i="32" s="1"/>
  <c r="M672" i="24"/>
  <c r="G23" i="32" s="1"/>
  <c r="M694" i="24"/>
  <c r="H119" i="32" s="1"/>
  <c r="L715" i="24"/>
  <c r="M671" i="24"/>
  <c r="F23" i="32" s="1"/>
  <c r="M690" i="24"/>
  <c r="D119" i="32" s="1"/>
  <c r="M680" i="24"/>
  <c r="H55" i="32" s="1"/>
  <c r="M710" i="24"/>
  <c r="C215" i="32" s="1"/>
  <c r="M685" i="24"/>
  <c r="F87" i="32" s="1"/>
  <c r="M700" i="24"/>
  <c r="G151" i="32" s="1"/>
  <c r="M698" i="24"/>
  <c r="E151" i="32" s="1"/>
  <c r="M703" i="24"/>
  <c r="C183" i="32" s="1"/>
  <c r="M705" i="24"/>
  <c r="E183" i="32" s="1"/>
  <c r="M683" i="24"/>
  <c r="D87" i="32" s="1"/>
  <c r="M692" i="24"/>
  <c r="F119" i="32" s="1"/>
  <c r="M709" i="24"/>
  <c r="I183" i="32" s="1"/>
  <c r="M678" i="24"/>
  <c r="F55" i="32" s="1"/>
  <c r="M689" i="24"/>
  <c r="C119" i="32" s="1"/>
  <c r="M670" i="24"/>
  <c r="E23" i="32" s="1"/>
  <c r="M681" i="24"/>
  <c r="I55" i="32" s="1"/>
  <c r="M706" i="24"/>
  <c r="F183" i="32" s="1"/>
  <c r="M688" i="24"/>
  <c r="I87" i="32" s="1"/>
  <c r="M684" i="24"/>
  <c r="E87" i="32" s="1"/>
  <c r="M691" i="24"/>
  <c r="E119" i="32" s="1"/>
  <c r="M712" i="24"/>
  <c r="E215" i="32" s="1"/>
  <c r="M679" i="24"/>
  <c r="G55" i="32" s="1"/>
  <c r="M687" i="24"/>
  <c r="H87" i="32" s="1"/>
  <c r="M686" i="24"/>
  <c r="G87" i="32" s="1"/>
  <c r="M693" i="24"/>
  <c r="G119" i="32" s="1"/>
  <c r="M695" i="24"/>
  <c r="I119" i="32" s="1"/>
  <c r="M716" i="25"/>
  <c r="K715" i="24"/>
  <c r="C23" i="32"/>
  <c r="M715" i="24" l="1"/>
</calcChain>
</file>

<file path=xl/sharedStrings.xml><?xml version="1.0" encoding="utf-8"?>
<sst xmlns="http://schemas.openxmlformats.org/spreadsheetml/2006/main" count="5791" uniqueCount="1390">
  <si>
    <t xml:space="preserve"> Instructions:</t>
  </si>
  <si>
    <t xml:space="preserve">Hospital staff must complete the green tabs only. </t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</si>
  <si>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</si>
  <si>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</si>
  <si>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t>leave these areas blank for fiscal year 2022 reporting but are required to complete these areas for fiscal year 2023 reporting.</t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</si>
  <si>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</si>
  <si>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</si>
  <si>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</si>
  <si>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</si>
  <si>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</si>
  <si>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</si>
  <si>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Depreciation</t>
  </si>
  <si>
    <t>The Depreciation can be entered directly, assigned by square footage, or a combination of the two.</t>
  </si>
  <si>
    <t xml:space="preserve">After the salaries and the departmental square footage statistics are entered, the departmental employee benefits and depreciation will be </t>
  </si>
  <si>
    <t>hos@doh.wa.gov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</si>
  <si>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</si>
  <si>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</si>
  <si>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</si>
  <si>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</si>
  <si>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</si>
  <si>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Submit report via hospitals Secure File Transfer account: https://sft.wa.gov/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</si>
  <si>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</si>
  <si>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</si>
  <si>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</si>
  <si>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</si>
  <si>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</si>
  <si>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</si>
  <si>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</si>
  <si>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</si>
  <si>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</si>
  <si>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</si>
  <si>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</si>
  <si>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</si>
  <si>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</si>
  <si>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</si>
  <si>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</si>
  <si>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</si>
  <si>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</si>
  <si>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</si>
  <si>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</si>
  <si>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</si>
  <si>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</si>
  <si>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</si>
  <si>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</si>
  <si>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</si>
  <si>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</si>
  <si>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</si>
  <si>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</si>
  <si>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</si>
  <si>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</si>
  <si>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</si>
  <si>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</si>
  <si>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</si>
  <si>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</si>
  <si>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</si>
  <si>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</si>
  <si>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</si>
  <si>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</si>
  <si>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</si>
  <si>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</si>
  <si>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</si>
  <si>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</si>
  <si>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</si>
  <si>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</si>
  <si>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</si>
  <si>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</si>
  <si>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</si>
  <si>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</si>
  <si>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</si>
  <si>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</si>
  <si>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</si>
  <si>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</si>
  <si>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</si>
  <si>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</si>
  <si>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</si>
  <si>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</si>
  <si>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</si>
  <si>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</si>
  <si>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</si>
  <si>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</si>
  <si>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</si>
  <si>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</si>
  <si>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</si>
  <si>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</si>
  <si>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</si>
  <si>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</si>
  <si>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</si>
  <si>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</si>
  <si>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</si>
  <si>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</si>
  <si>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</si>
  <si>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</si>
  <si>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</si>
  <si>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</si>
  <si>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</si>
  <si>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</si>
  <si>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</si>
  <si>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</si>
  <si>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</si>
  <si>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</si>
  <si>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</si>
  <si>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</si>
  <si>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</si>
  <si>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</si>
  <si>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</si>
  <si>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</si>
  <si>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</si>
  <si>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</si>
  <si>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</si>
  <si>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</si>
  <si>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</si>
  <si>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</si>
  <si>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</si>
  <si>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</si>
  <si>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</si>
  <si>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</si>
  <si>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</si>
  <si>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</si>
  <si>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</si>
  <si>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</si>
  <si>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</si>
  <si>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</si>
  <si>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</si>
  <si>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</si>
  <si>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</si>
  <si>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</si>
  <si>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</si>
  <si>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</si>
  <si>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</si>
  <si>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</si>
  <si>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</si>
  <si>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</si>
  <si>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</si>
  <si>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</si>
  <si>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</si>
  <si>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</si>
  <si>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</si>
  <si>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</si>
  <si>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</si>
  <si>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</si>
  <si>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</si>
  <si>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</si>
  <si>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</si>
  <si>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</si>
  <si>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</si>
  <si>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</si>
  <si>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</si>
  <si>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</si>
  <si>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</si>
  <si>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</si>
  <si>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</si>
  <si>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</si>
  <si>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</si>
  <si>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</si>
  <si>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</si>
  <si>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</si>
  <si>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</si>
  <si>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</si>
  <si>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</si>
  <si>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</si>
  <si>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</si>
  <si>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</si>
  <si>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</si>
  <si>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</si>
  <si>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</si>
  <si>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</si>
  <si>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</si>
  <si>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</si>
  <si>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</si>
  <si>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</si>
  <si>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</si>
  <si>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</si>
  <si>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</si>
  <si>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</si>
  <si>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</si>
  <si>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</si>
  <si>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</si>
  <si>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</si>
  <si>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</si>
  <si>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</si>
  <si>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</si>
  <si>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</si>
  <si>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</si>
  <si>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</si>
  <si>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</si>
  <si>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</si>
  <si>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</si>
  <si>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</si>
  <si>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</si>
  <si>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</si>
  <si>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</si>
  <si>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</si>
  <si>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</si>
  <si>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</si>
  <si>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</si>
  <si>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</si>
  <si>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</si>
  <si>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</si>
  <si>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</si>
  <si>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</si>
  <si>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</si>
  <si>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</si>
  <si>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</si>
  <si>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</si>
  <si>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</si>
  <si>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</si>
  <si>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</si>
  <si>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</si>
  <si>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</si>
  <si>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</si>
  <si>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</si>
  <si>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</si>
  <si>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</si>
  <si>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</si>
  <si>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</si>
  <si>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</si>
  <si>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</si>
  <si>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</si>
  <si>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</si>
  <si>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</si>
  <si>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</si>
  <si>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</si>
  <si>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</si>
  <si>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</si>
  <si>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</si>
  <si>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</si>
  <si>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</si>
  <si>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</si>
  <si>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</si>
  <si>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</si>
  <si>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</si>
  <si>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</si>
  <si>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</si>
  <si>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</si>
  <si>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</si>
  <si>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</si>
  <si>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</si>
  <si>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</si>
  <si>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</si>
  <si>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</si>
  <si>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</si>
  <si>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</si>
  <si>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</si>
  <si>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</si>
  <si>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</si>
  <si>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</si>
  <si>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</si>
  <si>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</si>
  <si>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</si>
  <si>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</si>
  <si>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</si>
  <si>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</si>
  <si>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</si>
  <si>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</si>
  <si>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</si>
  <si>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</si>
  <si>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</si>
  <si>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</si>
  <si>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</si>
  <si>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</si>
  <si>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</si>
  <si>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</si>
  <si>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</si>
  <si>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</si>
  <si>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</si>
  <si>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</si>
  <si>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</si>
  <si>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</si>
  <si>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</si>
  <si>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</si>
  <si>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</si>
  <si>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</si>
  <si>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</si>
  <si>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</si>
  <si>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</si>
  <si>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</si>
  <si>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</si>
  <si>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</si>
  <si>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</si>
  <si>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</si>
  <si>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</si>
  <si>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</si>
  <si>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/>
  </si>
  <si>
    <t>License Number</t>
  </si>
  <si>
    <t>:</t>
  </si>
  <si>
    <t>Hospital Name</t>
  </si>
  <si>
    <t>Mailing Address</t>
  </si>
  <si>
    <t>City</t>
  </si>
  <si>
    <t>State</t>
  </si>
  <si>
    <t>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</si>
  <si>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</si>
  <si>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</si>
  <si>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</si>
  <si>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</si>
  <si>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</si>
  <si>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</si>
  <si>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Name of Submitter</t>
  </si>
  <si>
    <t>Email of Submitter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</si>
  <si>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</si>
  <si>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</si>
  <si>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</si>
  <si>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</si>
  <si>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</si>
  <si>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</si>
  <si>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</si>
  <si>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</si>
  <si>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</si>
  <si>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</si>
  <si>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</si>
  <si>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</si>
  <si>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</si>
  <si>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</si>
  <si>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</si>
  <si>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</si>
  <si>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</si>
  <si>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</si>
  <si>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</si>
  <si>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</si>
  <si>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</si>
  <si>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</si>
  <si>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</si>
  <si>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</si>
  <si>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</si>
  <si>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</si>
  <si>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</si>
  <si>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</si>
  <si>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</si>
  <si>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</si>
  <si>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</si>
  <si>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</si>
  <si>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</si>
  <si>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</si>
  <si>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</si>
  <si>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</si>
  <si>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</si>
  <si>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</si>
  <si>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</si>
  <si>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</si>
  <si>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</si>
  <si>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</si>
  <si>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</si>
  <si>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</si>
  <si>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</si>
  <si>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</si>
  <si>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</si>
  <si>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</si>
  <si>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</si>
  <si>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</si>
  <si>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</si>
  <si>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</si>
  <si>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</si>
  <si>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</si>
  <si>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</si>
  <si>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</si>
  <si>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</si>
  <si>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</si>
  <si>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</si>
  <si>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</si>
  <si>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</si>
  <si>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</si>
  <si>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</si>
  <si>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</si>
  <si>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</si>
  <si>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</si>
  <si>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</si>
  <si>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</si>
  <si>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</si>
  <si>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</si>
  <si>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</si>
  <si>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</si>
  <si>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</si>
  <si>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</si>
  <si>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</si>
  <si>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</si>
  <si>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</si>
  <si>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</si>
  <si>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</si>
  <si>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</si>
  <si>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</si>
  <si>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</si>
  <si>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</si>
  <si>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</si>
  <si>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</si>
  <si>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</si>
  <si>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</si>
  <si>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</si>
  <si>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</si>
  <si>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</si>
  <si>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</si>
  <si>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</si>
  <si>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</si>
  <si>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</si>
  <si>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</si>
  <si>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</si>
  <si>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</si>
  <si>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</si>
  <si>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</si>
  <si>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</si>
  <si>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</si>
  <si>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</si>
  <si>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</si>
  <si>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</si>
  <si>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</si>
  <si>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</si>
  <si>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</si>
  <si>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</si>
  <si>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</si>
  <si>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</si>
  <si>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</si>
  <si>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</si>
  <si>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</si>
  <si>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</si>
  <si>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</si>
  <si>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</si>
  <si>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</si>
  <si>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</si>
  <si>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</si>
  <si>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</si>
  <si>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</si>
  <si>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</si>
  <si>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</si>
  <si>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</si>
  <si>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</si>
  <si>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</si>
  <si>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</si>
  <si>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</si>
  <si>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</si>
  <si>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</si>
  <si>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</si>
  <si>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</si>
  <si>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</si>
  <si>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</si>
  <si>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</si>
  <si>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</si>
  <si>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</si>
  <si>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</si>
  <si>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</si>
  <si>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</si>
  <si>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</si>
  <si>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</si>
  <si>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</si>
  <si>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</si>
  <si>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</si>
  <si>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</si>
  <si>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</si>
  <si>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</si>
  <si>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</si>
  <si>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</si>
  <si>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</si>
  <si>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</si>
  <si>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</si>
  <si>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</si>
  <si>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</si>
  <si>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</si>
  <si>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</si>
  <si>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</si>
  <si>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</si>
  <si>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</si>
  <si>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</si>
  <si>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</si>
  <si>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</si>
  <si>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</si>
  <si>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</si>
  <si>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</si>
  <si>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</si>
  <si>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</si>
  <si>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</si>
  <si>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</si>
  <si>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</si>
  <si>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</si>
  <si>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</si>
  <si>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</si>
  <si>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</si>
  <si>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</si>
  <si>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</si>
  <si>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</si>
  <si>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</si>
  <si>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</si>
  <si>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</si>
  <si>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</si>
  <si>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</si>
  <si>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</si>
  <si>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</si>
  <si>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</si>
  <si>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</si>
  <si>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</si>
  <si>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</si>
  <si>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</si>
  <si>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</si>
  <si>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</si>
  <si>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</si>
  <si>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</si>
  <si>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</si>
  <si>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</si>
  <si>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</si>
  <si>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</si>
  <si>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</si>
  <si>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</si>
  <si>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</si>
  <si>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</si>
  <si>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</si>
  <si>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</si>
  <si>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</si>
  <si>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</si>
  <si>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</si>
  <si>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</si>
  <si>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</si>
  <si>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</si>
  <si>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</si>
  <si>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</si>
  <si>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</si>
  <si>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</si>
  <si>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</si>
  <si>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</si>
  <si>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</si>
  <si>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</si>
  <si>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</si>
  <si>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</si>
  <si>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</si>
  <si>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</si>
  <si>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</si>
  <si>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</si>
  <si>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</si>
  <si>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</si>
  <si>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</si>
  <si>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</si>
  <si>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</si>
  <si>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</si>
  <si>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</si>
  <si>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</si>
  <si>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</si>
  <si>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</si>
  <si>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</si>
  <si>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</si>
  <si>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</si>
  <si>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</si>
  <si>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</si>
  <si>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</si>
  <si>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</si>
  <si>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</si>
  <si>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</si>
  <si>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</si>
  <si>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</si>
  <si>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</si>
  <si>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</si>
  <si>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</si>
  <si>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</si>
  <si>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</si>
  <si>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</si>
  <si>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</si>
  <si>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</si>
  <si>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</si>
  <si>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</si>
  <si>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</si>
  <si>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</si>
  <si>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</si>
  <si>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</si>
  <si>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</si>
  <si>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</si>
  <si>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</si>
  <si>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</si>
  <si>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</si>
  <si>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</si>
  <si>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</si>
  <si>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</si>
  <si>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</si>
  <si>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</si>
  <si>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</si>
  <si>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</si>
  <si>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</si>
  <si>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</si>
  <si>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</si>
  <si>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</si>
  <si>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</si>
  <si>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</si>
  <si>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</si>
  <si>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</si>
  <si>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</si>
  <si>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</si>
  <si>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</si>
  <si>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</si>
  <si>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</si>
  <si>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</si>
  <si>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</si>
  <si>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</si>
  <si>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</si>
  <si>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</si>
  <si>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</si>
  <si>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</si>
  <si>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</si>
  <si>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</si>
  <si>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</si>
  <si>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</si>
  <si>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</si>
  <si>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</si>
  <si>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</si>
  <si>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</si>
  <si>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</si>
  <si>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</si>
  <si>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</si>
  <si>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</si>
  <si>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</si>
  <si>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</si>
  <si>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</si>
  <si>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</si>
  <si>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</si>
  <si>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</si>
  <si>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</si>
  <si>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</si>
  <si>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</si>
  <si>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</si>
  <si>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</si>
  <si>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</si>
  <si>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</si>
  <si>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</si>
  <si>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</si>
  <si>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</si>
  <si>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</si>
  <si>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</si>
  <si>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</si>
  <si>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</si>
  <si>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</si>
  <si>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</si>
  <si>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</si>
  <si>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</si>
  <si>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</si>
  <si>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</si>
  <si>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</si>
  <si>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</si>
  <si>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</si>
  <si>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</si>
  <si>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</si>
  <si>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</si>
  <si>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</si>
  <si>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</si>
  <si>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</si>
  <si>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</si>
  <si>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</si>
  <si>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</si>
  <si>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</si>
  <si>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</si>
  <si>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</si>
  <si>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</si>
  <si>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</si>
  <si>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</si>
  <si>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</si>
  <si>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</si>
  <si>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</si>
  <si>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</si>
  <si>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</si>
  <si>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</si>
  <si>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</si>
  <si>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</si>
  <si>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</si>
  <si>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</si>
  <si>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</si>
  <si>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</si>
  <si>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</si>
  <si>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</si>
  <si>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</si>
  <si>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</si>
  <si>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</si>
  <si>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</si>
  <si>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</si>
  <si>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</si>
  <si>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</si>
  <si>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</si>
  <si>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</si>
  <si>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</si>
  <si>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</si>
  <si>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</si>
  <si>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</si>
  <si>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</si>
  <si>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</si>
  <si>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</si>
  <si>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</si>
  <si>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</si>
  <si>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</si>
  <si>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</si>
  <si>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</si>
  <si>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</si>
  <si>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</si>
  <si>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</si>
  <si>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</si>
  <si>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</si>
  <si>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</si>
  <si>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</si>
  <si>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</si>
  <si>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</si>
  <si>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</si>
  <si>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Date: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</si>
  <si>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</si>
  <si>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</si>
  <si>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</si>
  <si>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</si>
  <si>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</si>
  <si>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</si>
  <si>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</si>
  <si>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</si>
  <si>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</si>
  <si>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</si>
  <si>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</si>
  <si>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</si>
  <si>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</si>
  <si>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</si>
  <si>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</si>
  <si>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</si>
  <si>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</si>
  <si>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</si>
  <si>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</si>
  <si>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</si>
  <si>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</si>
  <si>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</si>
  <si>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</si>
  <si>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</si>
  <si>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</si>
  <si>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</si>
  <si>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</si>
  <si>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</si>
  <si>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</si>
  <si>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</si>
  <si>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</si>
  <si>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</si>
  <si>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</si>
  <si>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</si>
  <si>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</si>
  <si>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</si>
  <si>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</si>
  <si>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</si>
  <si>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</si>
  <si>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</si>
  <si>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</si>
  <si>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</si>
  <si>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</si>
  <si>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</si>
  <si>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</si>
  <si>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</si>
  <si>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</si>
  <si>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</si>
  <si>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</si>
  <si>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</si>
  <si>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</si>
  <si>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</si>
  <si>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</si>
  <si>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</si>
  <si>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</si>
  <si>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</si>
  <si>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</si>
  <si>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</si>
  <si>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</si>
  <si>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</si>
  <si>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</si>
  <si>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</si>
  <si>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</si>
  <si>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</si>
  <si>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</si>
  <si>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</si>
  <si>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</si>
  <si>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</si>
  <si>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</si>
  <si>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</si>
  <si>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</si>
  <si>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</si>
  <si>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</si>
  <si>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</si>
  <si>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</si>
  <si>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</si>
  <si>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</si>
  <si>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</si>
  <si>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</si>
  <si>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</si>
  <si>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</si>
  <si>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</si>
  <si>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</si>
  <si>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</si>
  <si>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</si>
  <si>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</si>
  <si>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</si>
  <si>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</si>
  <si>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</si>
  <si>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</si>
  <si>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</si>
  <si>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</si>
  <si>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</si>
  <si>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</si>
  <si>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</si>
  <si>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</si>
  <si>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Noncategorized Revenues and Expenses:</t>
  </si>
  <si>
    <t>Noncategorized Revenues:</t>
  </si>
  <si>
    <t>Futher Detail Required:</t>
  </si>
  <si>
    <t>Account Description:</t>
  </si>
  <si>
    <t>Amount</t>
  </si>
  <si>
    <t>[Add revenue account information]</t>
  </si>
  <si>
    <t>Noncategorized Expenses:</t>
  </si>
  <si>
    <t>[Add expense account information]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</si>
  <si>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</si>
  <si>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</si>
  <si>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</si>
  <si>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</si>
  <si>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</si>
  <si>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</si>
  <si>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</si>
  <si>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</si>
  <si>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</si>
  <si>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</si>
  <si>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</si>
  <si>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</si>
  <si>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</si>
  <si>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</si>
  <si>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</si>
  <si>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</si>
  <si>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</si>
  <si>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</si>
  <si>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</si>
  <si>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</si>
  <si>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</si>
  <si>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</si>
  <si>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</si>
  <si>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</si>
  <si>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</si>
  <si>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</si>
  <si>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</si>
  <si>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</si>
  <si>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</si>
  <si>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</si>
  <si>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</si>
  <si>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</si>
  <si>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</si>
  <si>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</si>
  <si>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</si>
  <si>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</si>
  <si>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</si>
  <si>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</si>
  <si>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</si>
  <si>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</si>
  <si>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</si>
  <si>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</si>
  <si>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</si>
  <si>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</si>
  <si>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</si>
  <si>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</si>
  <si>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</si>
  <si>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</si>
  <si>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</si>
  <si>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</si>
  <si>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</si>
  <si>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</si>
  <si>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</si>
  <si>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</si>
  <si>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</si>
  <si>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</si>
  <si>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</si>
  <si>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</si>
  <si>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</si>
  <si>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</si>
  <si>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</si>
  <si>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</si>
  <si>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</si>
  <si>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</si>
  <si>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</si>
  <si>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</si>
  <si>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</si>
  <si>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</si>
  <si>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</si>
  <si>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</si>
  <si>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</si>
  <si>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</si>
  <si>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</si>
  <si>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</si>
  <si>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</si>
  <si>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</si>
  <si>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</si>
  <si>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</si>
  <si>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</si>
  <si>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</si>
  <si>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</si>
  <si>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</si>
  <si>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</si>
  <si>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</si>
  <si>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</si>
  <si>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</si>
  <si>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</si>
  <si>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</si>
  <si>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</si>
  <si>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</si>
  <si>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</si>
  <si>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</si>
  <si>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</si>
  <si>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</si>
  <si>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</si>
  <si>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</si>
  <si>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</si>
  <si>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</si>
  <si>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</si>
  <si>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</si>
  <si>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</si>
  <si>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</si>
  <si>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</si>
  <si>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</si>
  <si>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</si>
  <si>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</si>
  <si>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</si>
  <si>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</si>
  <si>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</si>
  <si>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</si>
  <si>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</si>
  <si>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</si>
  <si>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</si>
  <si>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</si>
  <si>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</si>
  <si>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</si>
  <si>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</si>
  <si>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</si>
  <si>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</si>
  <si>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</si>
  <si>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</si>
  <si>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</si>
  <si>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</si>
  <si>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</si>
  <si>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</si>
  <si>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</si>
  <si>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</si>
  <si>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</si>
  <si>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</si>
  <si>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</si>
  <si>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</si>
  <si>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</si>
  <si>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</si>
  <si>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</si>
  <si>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</si>
  <si>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</si>
  <si>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</si>
  <si>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</si>
  <si>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</si>
  <si>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</si>
  <si>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</si>
  <si>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</si>
  <si>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</si>
  <si>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</si>
  <si>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</si>
  <si>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</si>
  <si>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</si>
  <si>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</si>
  <si>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</si>
  <si>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</si>
  <si>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</si>
  <si>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</si>
  <si>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</si>
  <si>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</si>
  <si>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</si>
  <si>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</si>
  <si>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</si>
  <si>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</si>
  <si>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</si>
  <si>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</si>
  <si>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</si>
  <si>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</si>
  <si>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</si>
  <si>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</si>
  <si>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</si>
  <si>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</si>
  <si>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</si>
  <si>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</si>
  <si>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</si>
  <si>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</si>
  <si>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</si>
  <si>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</si>
  <si>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</si>
  <si>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</si>
  <si>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</si>
  <si>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</si>
  <si>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</si>
  <si>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</si>
  <si>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</si>
  <si>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</si>
  <si>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</si>
  <si>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</si>
  <si>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</si>
  <si>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</si>
  <si>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</si>
  <si>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</si>
  <si>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</si>
  <si>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</si>
  <si>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</si>
  <si>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</si>
  <si>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</si>
  <si>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</si>
  <si>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</si>
  <si>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</si>
  <si>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</si>
  <si>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</si>
  <si>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</si>
  <si>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</si>
  <si>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</si>
  <si>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</si>
  <si>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</si>
  <si>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</si>
  <si>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</si>
  <si>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</si>
  <si>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</si>
  <si>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</si>
  <si>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</si>
  <si>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</si>
  <si>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</si>
  <si>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</si>
  <si>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</si>
  <si>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</si>
  <si>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</si>
  <si>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</si>
  <si>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</si>
  <si>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</si>
  <si>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</si>
  <si>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</si>
  <si>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</si>
  <si>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</si>
  <si>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</si>
  <si>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</si>
  <si>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</si>
  <si>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</si>
  <si>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</si>
  <si>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</si>
  <si>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</si>
  <si>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</si>
  <si>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</si>
  <si>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</si>
  <si>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</si>
  <si>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</si>
  <si>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</si>
  <si>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</si>
  <si>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</si>
  <si>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</si>
  <si>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</si>
  <si>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</si>
  <si>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</si>
  <si>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</si>
  <si>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</si>
  <si>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</si>
  <si>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</si>
  <si>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</si>
  <si>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</si>
  <si>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</si>
  <si>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</si>
  <si>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</si>
  <si>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</si>
  <si>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</si>
  <si>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</si>
  <si>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</si>
  <si>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</si>
  <si>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</si>
  <si>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</si>
  <si>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</si>
  <si>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</si>
  <si>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</si>
  <si>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</si>
  <si>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</si>
  <si>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</si>
  <si>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</si>
  <si>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</si>
  <si>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</si>
  <si>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</si>
  <si>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</si>
  <si>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</si>
  <si>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</si>
  <si>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</si>
  <si>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</si>
  <si>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</si>
  <si>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</si>
  <si>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</si>
  <si>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</si>
  <si>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</si>
  <si>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</si>
  <si>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</si>
  <si>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</si>
  <si>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</si>
  <si>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</si>
  <si>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</si>
  <si>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</si>
  <si>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</si>
  <si>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</si>
  <si>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</si>
  <si>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</si>
  <si>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</si>
  <si>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</si>
  <si>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</si>
  <si>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</si>
  <si>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</si>
  <si>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</si>
  <si>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</si>
  <si>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</si>
  <si>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</si>
  <si>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</si>
  <si>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</si>
  <si>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</si>
  <si>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</si>
  <si>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</si>
  <si>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</si>
  <si>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</si>
  <si>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</si>
  <si>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</si>
  <si>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</si>
  <si>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</si>
  <si>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</si>
  <si>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</si>
  <si>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</si>
  <si>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</si>
  <si>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</si>
  <si>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</si>
  <si>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</si>
  <si>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</si>
  <si>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</si>
  <si>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</si>
  <si>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</si>
  <si>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</si>
  <si>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</si>
  <si>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</si>
  <si>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</si>
  <si>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</si>
  <si>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</si>
  <si>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</si>
  <si>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</si>
  <si>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</si>
  <si>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</si>
  <si>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</si>
  <si>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</si>
  <si>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</si>
  <si>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</si>
  <si>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</si>
  <si>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</si>
  <si>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</si>
  <si>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</si>
  <si>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</si>
  <si>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</si>
  <si>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</si>
  <si>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</si>
  <si>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</si>
  <si>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</si>
  <si>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</si>
  <si>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</si>
  <si>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</si>
  <si>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</si>
  <si>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</si>
  <si>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</si>
  <si>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</si>
  <si>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</si>
  <si>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</si>
  <si>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</si>
  <si>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</si>
  <si>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</si>
  <si>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</si>
  <si>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</si>
  <si>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</si>
  <si>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</si>
  <si>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</si>
  <si>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</si>
  <si>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</si>
  <si>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</si>
  <si>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</si>
  <si>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</si>
  <si>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</si>
  <si>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</si>
  <si>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</si>
  <si>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</si>
  <si>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</si>
  <si>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</si>
  <si>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</si>
  <si>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</si>
  <si>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</si>
  <si>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</si>
  <si>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</si>
  <si>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</si>
  <si>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</si>
  <si>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</si>
  <si>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</si>
  <si>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</si>
  <si>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</si>
  <si>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</si>
  <si>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</si>
  <si>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</si>
  <si>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</si>
  <si>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</si>
  <si>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</si>
  <si>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</si>
  <si>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</si>
  <si>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</si>
  <si>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</si>
  <si>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</si>
  <si>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</si>
  <si>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</si>
  <si>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</si>
  <si>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</si>
  <si>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</si>
  <si>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</si>
  <si>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</si>
  <si>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</si>
  <si>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</si>
  <si>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</si>
  <si>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</si>
  <si>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</si>
  <si>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</si>
  <si>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</si>
  <si>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</si>
  <si>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</si>
  <si>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</si>
  <si>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</si>
  <si>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</si>
  <si>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</si>
  <si>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</si>
  <si>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</si>
  <si>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</si>
  <si>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</si>
  <si>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</si>
  <si>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</si>
  <si>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</si>
  <si>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</si>
  <si>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</si>
  <si>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</si>
  <si>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</si>
  <si>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</si>
  <si>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</si>
  <si>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</si>
  <si>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</si>
  <si>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</si>
  <si>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</si>
  <si>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</si>
  <si>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</si>
  <si>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</si>
  <si>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</si>
  <si>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</si>
  <si>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</si>
  <si>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</si>
  <si>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</si>
  <si>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</si>
  <si>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</si>
  <si>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</si>
  <si>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</si>
  <si>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</si>
  <si>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</si>
  <si>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</si>
  <si>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</si>
  <si>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</si>
  <si>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</si>
  <si>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</si>
  <si>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</si>
  <si>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</si>
  <si>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</si>
  <si>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</si>
  <si>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</si>
  <si>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</si>
  <si>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</si>
  <si>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</si>
  <si>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</si>
  <si>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</si>
  <si>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</si>
  <si>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</si>
  <si>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</si>
  <si>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</si>
  <si>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</si>
  <si>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</si>
  <si>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</si>
  <si>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</si>
  <si>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</si>
  <si>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</si>
  <si>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</si>
  <si>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</si>
  <si>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</si>
  <si>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</si>
  <si>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</si>
  <si>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</si>
  <si>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</si>
  <si>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</si>
  <si>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</si>
  <si>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</si>
  <si>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</si>
  <si>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</si>
  <si>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</si>
  <si>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</si>
  <si>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</si>
  <si>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</si>
  <si>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</si>
  <si>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</si>
  <si>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</si>
  <si>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</si>
  <si>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</si>
  <si>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</si>
  <si>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</si>
  <si>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</si>
  <si>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</si>
  <si>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</si>
  <si>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</si>
  <si>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</si>
  <si>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</si>
  <si>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</si>
  <si>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</si>
  <si>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</si>
  <si>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</si>
  <si>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</si>
  <si>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</si>
  <si>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</si>
  <si>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</si>
  <si>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</si>
  <si>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</si>
  <si>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</si>
  <si>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</si>
  <si>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</si>
  <si>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</si>
  <si>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</si>
  <si>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</si>
  <si>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</si>
  <si>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</si>
  <si>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</si>
  <si>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</si>
  <si>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</si>
  <si>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</si>
  <si>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</si>
  <si>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</si>
  <si>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</si>
  <si>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</si>
  <si>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</si>
  <si>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</si>
  <si>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</si>
  <si>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</si>
  <si>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</si>
  <si>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</si>
  <si>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</si>
  <si>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</si>
  <si>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</si>
  <si>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</si>
  <si>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r>
      <rPr>
        <b/>
        <sz val="11"/>
        <color rgb="FFFF0000"/>
        <rFont val="Calibri"/>
        <family val="2"/>
        <scheme val="minor"/>
      </rPr>
      <t>E2SHB 1272 Requirements:</t>
    </r>
    <r>
      <rPr>
        <sz val="11"/>
        <rFont val="Calibri"/>
        <family val="2"/>
        <scheme val="minor"/>
      </rPr>
      <t xml:space="preserve"> Areas on the Data tab that are shaded grey and the entire Responses-2 tab represent E2SHB 1272 requirements. Hospitals may</t>
    </r>
  </si>
  <si>
    <t>Line 97: "Fiscal Year Ended" must be entered in MM/DD/YYYY format.</t>
  </si>
  <si>
    <t xml:space="preserve">        *For fiscal year 2022: Enter "Other Direct Expenses" on line 84 &amp; line 415 and enter "Other Operating Revenue" on line 381</t>
  </si>
  <si>
    <t>1)    Enter the amount of employee benefits directly recorded in cell B48.</t>
  </si>
  <si>
    <t>2)    Enter the employee benefits directly recorded by cost center in cells C48 through CC48.</t>
  </si>
  <si>
    <t>3)    Enter the total unassigned employee benefits that will be assigned based on salaries in cell B49.</t>
  </si>
  <si>
    <t>1)    Enter the total amount of depreciation directly assigned in cell B52.</t>
  </si>
  <si>
    <t>2)    Enter the amount of depreciation directly recorded by cost center in cells C52 through CC52.</t>
  </si>
  <si>
    <t xml:space="preserve">3)    Enter the amount of depreciation that will be assigned by square footage in cell B53.  </t>
  </si>
  <si>
    <t>calculated on lines 50 and 54, respectively.</t>
  </si>
  <si>
    <t>or represent 1% or more of the total revenues. A prompt will appear in Cell E381 if youre required to provide a response.</t>
  </si>
  <si>
    <t>or represent 1% or more of the total revenues. A prompt will appear in Cell E415 if youre required to provide a response.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</si>
  <si>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</si>
  <si>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</si>
  <si>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E381 of the Data tab if you're required to provide a response.</t>
  </si>
  <si>
    <t>or represent 1% or more of the total revenues. A prompt will appear in Cell E415 of the Data tab if you're required to provide a response.</t>
  </si>
  <si>
    <r>
      <t xml:space="preserve">1. For </t>
    </r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</si>
  <si>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r>
      <t xml:space="preserve">2. For </t>
    </r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</si>
  <si>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Responses-2 tab is an E2SHB 1272 requirement. Hospitals may leave this page blank for fiscal year 2022 reporting but are required to complete these areas for fiscal year 2023 reporting.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</si>
  <si>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</si>
  <si>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https://sft.wa.gov</t>
  </si>
  <si>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</si>
  <si>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 xml:space="preserve">        *For fiscal year 2022: Enter "Other Direct Expenses" on line 83 &amp; line 414 and enter "Other Operating Revenue" on line 380</t>
  </si>
  <si>
    <t>Line 96: "Fiscal Year Ended" must be entered in MM/DD/YYYY format.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</si>
  <si>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</si>
  <si>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</si>
  <si>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</si>
  <si>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</si>
  <si>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</si>
  <si>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</si>
  <si>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>calculated on lines 48 and 52, respectively.</t>
  </si>
  <si>
    <t>or represent 1% or more of the total revenues. A prompt will appear in Cell E380 if youre required to provide a response.</t>
  </si>
  <si>
    <t>or represent 1% or more of the total revenues. A prompt will appear in Cell E414 if youre required to provide a response.</t>
  </si>
  <si>
    <t>12/31/2021</t>
  </si>
  <si>
    <t>164</t>
  </si>
  <si>
    <t>EvergreenHealth Kirkland / King Country Public Hos #2</t>
  </si>
  <si>
    <t>12040 NE 128th Street</t>
  </si>
  <si>
    <t>Kirkland</t>
  </si>
  <si>
    <t>WA</t>
  </si>
  <si>
    <t>King</t>
  </si>
  <si>
    <t>Jeff Tomlin, MD</t>
  </si>
  <si>
    <t>Tina Mycroft</t>
  </si>
  <si>
    <t>Tim McLaughlin</t>
  </si>
  <si>
    <t>425-899-1000</t>
  </si>
  <si>
    <t>425-899-1684</t>
  </si>
  <si>
    <t>X</t>
  </si>
  <si>
    <t>12/31/2022</t>
  </si>
  <si>
    <t>formula was incorrect and pulling OTHER DEDUCTIONS</t>
  </si>
  <si>
    <t>variance</t>
  </si>
  <si>
    <t>variance from income statement</t>
  </si>
  <si>
    <t>Washington</t>
  </si>
  <si>
    <t>Justin Gertler</t>
  </si>
  <si>
    <t>jcgertler@evergreenhealthcare.org</t>
  </si>
  <si>
    <t>Virgil Snyder</t>
  </si>
  <si>
    <t>Name/Title: Jeff Tomlin, MD</t>
  </si>
  <si>
    <t>Signature of Director of Financial Reporting</t>
  </si>
  <si>
    <t>Name/Title: Daria Heimerman</t>
  </si>
  <si>
    <t>EXPLANATION:  2022 included impact of GASB 87</t>
  </si>
  <si>
    <t>Kirkland, Washington 98034</t>
  </si>
  <si>
    <t>Increased labor costs</t>
  </si>
  <si>
    <t xml:space="preserve">2021 volumes were captured differently </t>
  </si>
  <si>
    <t>Increased labor costs, inflationary costs</t>
  </si>
  <si>
    <t>2021 Plant Depreciation was in Purchasing column in error. 2022 is correct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</si>
</sst>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</numFmts>
  <fonts count="36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sz val="11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C00000"/>
      <name val="Calibri"/>
      <family val="2"/>
    </font>
    <font>
      <sz val="11"/>
      <color rgb="FFC0000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37" fontId="0" fillId="0" borderId="0"/>
    <xf numFmtId="43" fontId="5" fillId="0" borderId="0"/>
    <xf numFmtId="0" fontId="6" fillId="0" borderId="0">
      <alignment vertical="top"/>
      <protection locked="0"/>
    </xf>
    <xf numFmtId="0" fontId="8" fillId="0" borderId="0"/>
    <xf numFmtId="9" fontId="5" fillId="0" borderId="0"/>
  </cellStyleXfs>
  <cellXfs count="355">
    <xf numFmtId="37" fontId="0" fillId="0" borderId="0" xfId="0"/>
    <xf numFmtId="37" fontId="7" fillId="0" borderId="0" xfId="0" applyFont="1"/>
    <xf numFmtId="37" fontId="7" fillId="0" borderId="0" xfId="0" applyFont="1" applyAlignment="1">
      <alignment horizontal="left"/>
    </xf>
    <xf numFmtId="1" fontId="7" fillId="0" borderId="0" xfId="0" applyNumberFormat="1" applyFont="1" applyAlignment="1">
      <alignment horizontal="center"/>
    </xf>
    <xf numFmtId="37" fontId="7" fillId="0" borderId="0" xfId="0" applyFont="1" applyAlignment="1">
      <alignment horizontal="center"/>
    </xf>
    <xf numFmtId="10" fontId="7" fillId="0" borderId="0" xfId="0" applyNumberFormat="1" applyFont="1"/>
    <xf numFmtId="49" fontId="7" fillId="0" borderId="0" xfId="0" quotePrefix="1" applyNumberFormat="1" applyFont="1"/>
    <xf numFmtId="37" fontId="9" fillId="0" borderId="0" xfId="0" applyFont="1" applyAlignment="1" applyProtection="1">
      <alignment horizontal="center"/>
      <protection locked="0"/>
    </xf>
    <xf numFmtId="37" fontId="10" fillId="0" borderId="0" xfId="0" applyFont="1"/>
    <xf numFmtId="37" fontId="11" fillId="0" borderId="0" xfId="0" applyFont="1" applyAlignment="1">
      <alignment horizontal="center"/>
    </xf>
    <xf numFmtId="37" fontId="12" fillId="0" borderId="0" xfId="0" applyFont="1"/>
    <xf numFmtId="37" fontId="11" fillId="0" borderId="0" xfId="0" applyFont="1"/>
    <xf numFmtId="37" fontId="13" fillId="0" borderId="0" xfId="0" applyFont="1"/>
    <xf numFmtId="37" fontId="13" fillId="0" borderId="0" xfId="0" applyFont="1" applyAlignment="1">
      <alignment horizontal="center"/>
    </xf>
    <xf numFmtId="41" fontId="11" fillId="0" borderId="0" xfId="1" applyNumberFormat="1" applyFont="1"/>
    <xf numFmtId="37" fontId="11" fillId="0" borderId="0" xfId="0" applyFont="1" applyAlignment="1">
      <alignment horizontal="left"/>
    </xf>
    <xf numFmtId="38" fontId="11" fillId="0" borderId="0" xfId="0" applyNumberFormat="1" applyFont="1"/>
    <xf numFmtId="37" fontId="11" fillId="0" borderId="0" xfId="0" quotePrefix="1" applyFont="1" applyAlignment="1">
      <alignment horizontal="left"/>
    </xf>
    <xf numFmtId="37" fontId="14" fillId="0" borderId="0" xfId="2" applyNumberFormat="1" applyFont="1" applyAlignment="1" applyProtection="1"/>
    <xf numFmtId="37" fontId="11" fillId="3" borderId="0" xfId="0" applyFont="1" applyFill="1"/>
    <xf numFmtId="38" fontId="11" fillId="3" borderId="0" xfId="0" applyNumberFormat="1" applyFont="1" applyFill="1" applyAlignment="1">
      <alignment horizontal="center"/>
    </xf>
    <xf numFmtId="37" fontId="11" fillId="3" borderId="0" xfId="0" applyFont="1" applyFill="1" applyAlignment="1">
      <alignment horizontal="center"/>
    </xf>
    <xf numFmtId="37" fontId="11" fillId="3" borderId="0" xfId="0" quotePrefix="1" applyFont="1" applyFill="1" applyAlignment="1">
      <alignment horizontal="center"/>
    </xf>
    <xf numFmtId="37" fontId="15" fillId="0" borderId="1" xfId="0" quotePrefix="1" applyFont="1" applyBorder="1" applyProtection="1">
      <protection locked="0"/>
    </xf>
    <xf numFmtId="37" fontId="11" fillId="3" borderId="0" xfId="0" quotePrefix="1" applyFont="1" applyFill="1"/>
    <xf numFmtId="37" fontId="11" fillId="3" borderId="0" xfId="0" quotePrefix="1" applyFont="1" applyFill="1" applyAlignment="1">
      <alignment horizontal="left"/>
    </xf>
    <xf numFmtId="38" fontId="11" fillId="3" borderId="0" xfId="0" applyNumberFormat="1" applyFont="1" applyFill="1"/>
    <xf numFmtId="165" fontId="11" fillId="3" borderId="0" xfId="0" applyNumberFormat="1" applyFont="1" applyFill="1" applyAlignment="1">
      <alignment horizontal="center"/>
    </xf>
    <xf numFmtId="37" fontId="11" fillId="3" borderId="0" xfId="0" quotePrefix="1" applyFont="1" applyFill="1" applyAlignment="1">
      <alignment horizontal="fill"/>
    </xf>
    <xf numFmtId="37" fontId="15" fillId="0" borderId="1" xfId="1" quotePrefix="1" applyNumberFormat="1" applyFont="1" applyBorder="1" applyProtection="1">
      <protection locked="0"/>
    </xf>
    <xf numFmtId="37" fontId="15" fillId="0" borderId="1" xfId="1" applyNumberFormat="1" applyFont="1" applyBorder="1" applyProtection="1">
      <protection locked="0"/>
    </xf>
    <xf numFmtId="37" fontId="11" fillId="7" borderId="0" xfId="0" applyFont="1" applyFill="1"/>
    <xf numFmtId="37" fontId="11" fillId="7" borderId="0" xfId="0" quotePrefix="1" applyFont="1" applyFill="1" applyAlignment="1">
      <alignment horizontal="left" indent="1"/>
    </xf>
    <xf numFmtId="43" fontId="11" fillId="3" borderId="0" xfId="1" applyFont="1" applyFill="1"/>
    <xf numFmtId="37" fontId="15" fillId="4" borderId="1" xfId="0" quotePrefix="1" applyFont="1" applyFill="1" applyBorder="1" applyProtection="1">
      <protection locked="0"/>
    </xf>
    <xf numFmtId="37" fontId="11" fillId="3" borderId="0" xfId="1" quotePrefix="1" applyNumberFormat="1" applyFont="1" applyFill="1" applyAlignment="1">
      <alignment horizontal="fill"/>
    </xf>
    <xf numFmtId="39" fontId="11" fillId="3" borderId="0" xfId="0" applyNumberFormat="1" applyFont="1" applyFill="1"/>
    <xf numFmtId="37" fontId="11" fillId="3" borderId="0" xfId="0" applyFont="1" applyFill="1" applyAlignment="1">
      <alignment horizontal="centerContinuous"/>
    </xf>
    <xf numFmtId="37" fontId="11" fillId="7" borderId="0" xfId="0" quotePrefix="1" applyFont="1" applyFill="1" applyAlignment="1">
      <alignment horizontal="left"/>
    </xf>
    <xf numFmtId="37" fontId="11" fillId="7" borderId="0" xfId="0" applyFont="1" applyFill="1" applyAlignment="1">
      <alignment horizontal="right"/>
    </xf>
    <xf numFmtId="38" fontId="15" fillId="4" borderId="14" xfId="0" applyNumberFormat="1" applyFont="1" applyFill="1" applyBorder="1" applyProtection="1">
      <protection locked="0"/>
    </xf>
    <xf numFmtId="38" fontId="15" fillId="4" borderId="8" xfId="0" applyNumberFormat="1" applyFont="1" applyFill="1" applyBorder="1" applyProtection="1">
      <protection locked="0"/>
    </xf>
    <xf numFmtId="38" fontId="15" fillId="4" borderId="2" xfId="0" applyNumberFormat="1" applyFont="1" applyFill="1" applyBorder="1" applyProtection="1">
      <protection locked="0"/>
    </xf>
    <xf numFmtId="37" fontId="11" fillId="7" borderId="0" xfId="0" applyFont="1" applyFill="1" applyAlignment="1">
      <alignment horizontal="left"/>
    </xf>
    <xf numFmtId="37" fontId="15" fillId="3" borderId="0" xfId="0" applyFont="1" applyFill="1" applyAlignment="1">
      <alignment horizontal="centerContinuous"/>
    </xf>
    <xf numFmtId="37" fontId="11" fillId="3" borderId="0" xfId="0" applyFont="1" applyFill="1" applyAlignment="1">
      <alignment horizontal="right"/>
    </xf>
    <xf numFmtId="38" fontId="15" fillId="4" borderId="1" xfId="0" applyNumberFormat="1" applyFont="1" applyFill="1" applyBorder="1" applyProtection="1">
      <protection locked="0"/>
    </xf>
    <xf numFmtId="38" fontId="11" fillId="3" borderId="0" xfId="0" applyNumberFormat="1" applyFont="1" applyFill="1" applyAlignment="1">
      <alignment horizontal="right"/>
    </xf>
    <xf numFmtId="37" fontId="11" fillId="3" borderId="0" xfId="0" quotePrefix="1" applyFont="1" applyFill="1" applyAlignment="1">
      <alignment horizontal="centerContinuous"/>
    </xf>
    <xf numFmtId="37" fontId="15" fillId="4" borderId="1" xfId="0" applyFont="1" applyFill="1" applyBorder="1" applyProtection="1">
      <protection locked="0"/>
    </xf>
    <xf numFmtId="37" fontId="15" fillId="3" borderId="0" xfId="0" quotePrefix="1" applyFont="1" applyFill="1" applyAlignment="1">
      <alignment horizontal="left"/>
    </xf>
    <xf numFmtId="37" fontId="15" fillId="3" borderId="0" xfId="0" applyFont="1" applyFill="1" applyAlignment="1">
      <alignment horizontal="center"/>
    </xf>
    <xf numFmtId="38" fontId="15" fillId="3" borderId="0" xfId="0" applyNumberFormat="1" applyFont="1" applyFill="1" applyAlignment="1">
      <alignment horizontal="center"/>
    </xf>
    <xf numFmtId="38" fontId="15" fillId="3" borderId="0" xfId="0" applyNumberFormat="1" applyFont="1" applyFill="1"/>
    <xf numFmtId="37" fontId="15" fillId="3" borderId="0" xfId="0" applyFont="1" applyFill="1"/>
    <xf numFmtId="37" fontId="11" fillId="3" borderId="0" xfId="0" applyFont="1" applyFill="1" applyAlignment="1">
      <alignment horizontal="left"/>
    </xf>
    <xf numFmtId="38" fontId="15" fillId="3" borderId="8" xfId="0" applyNumberFormat="1" applyFont="1" applyFill="1" applyBorder="1" applyAlignment="1" applyProtection="1">
      <alignment horizontal="center"/>
      <protection locked="0"/>
    </xf>
    <xf numFmtId="37" fontId="15" fillId="7" borderId="0" xfId="0" applyFont="1" applyFill="1" applyAlignment="1">
      <alignment horizontal="centerContinuous"/>
    </xf>
    <xf numFmtId="37" fontId="11" fillId="7" borderId="0" xfId="0" applyFont="1" applyFill="1" applyAlignment="1">
      <alignment horizontal="left" indent="1"/>
    </xf>
    <xf numFmtId="10" fontId="11" fillId="0" borderId="0" xfId="4" applyNumberFormat="1" applyFont="1"/>
    <xf numFmtId="37" fontId="11" fillId="7" borderId="0" xfId="0" applyFont="1" applyFill="1" applyAlignment="1">
      <alignment horizontal="left" indent="2"/>
    </xf>
    <xf numFmtId="37" fontId="11" fillId="7" borderId="0" xfId="0" quotePrefix="1" applyFont="1" applyFill="1" applyAlignment="1">
      <alignment horizontal="left" indent="2"/>
    </xf>
    <xf numFmtId="39" fontId="11" fillId="0" borderId="0" xfId="0" applyNumberFormat="1" applyFont="1"/>
    <xf numFmtId="10" fontId="11" fillId="0" borderId="0" xfId="0" applyNumberFormat="1" applyFont="1"/>
    <xf numFmtId="1" fontId="11" fillId="0" borderId="0" xfId="0" applyNumberFormat="1" applyFont="1" applyAlignment="1">
      <alignment horizontal="center"/>
    </xf>
    <xf numFmtId="37" fontId="11" fillId="0" borderId="0" xfId="0" applyFont="1" applyAlignment="1">
      <alignment horizontal="right"/>
    </xf>
    <xf numFmtId="37" fontId="16" fillId="0" borderId="0" xfId="0" applyFont="1"/>
    <xf numFmtId="37" fontId="9" fillId="0" borderId="0" xfId="0" applyFont="1" applyAlignment="1">
      <alignment horizontal="center"/>
    </xf>
    <xf numFmtId="37" fontId="11" fillId="0" borderId="0" xfId="0" quotePrefix="1" applyFont="1"/>
    <xf numFmtId="37" fontId="12" fillId="0" borderId="0" xfId="0" quotePrefix="1" applyFont="1" applyAlignment="1">
      <alignment horizontal="left"/>
    </xf>
    <xf numFmtId="37" fontId="17" fillId="0" borderId="0" xfId="0" applyFont="1" applyAlignment="1">
      <alignment vertical="center" readingOrder="1"/>
    </xf>
    <xf numFmtId="37" fontId="19" fillId="0" borderId="0" xfId="0" applyFont="1" applyAlignment="1">
      <alignment vertical="center" readingOrder="1"/>
    </xf>
    <xf numFmtId="37" fontId="20" fillId="0" borderId="0" xfId="0" quotePrefix="1" applyFont="1"/>
    <xf numFmtId="37" fontId="20" fillId="0" borderId="0" xfId="0" applyFont="1"/>
    <xf numFmtId="37" fontId="7" fillId="0" borderId="0" xfId="0" quotePrefix="1" applyFont="1" applyAlignment="1">
      <alignment horizontal="right"/>
    </xf>
    <xf numFmtId="37" fontId="7" fillId="0" borderId="0" xfId="0" applyFont="1" applyAlignment="1">
      <alignment horizontal="centerContinuous"/>
    </xf>
    <xf numFmtId="37" fontId="21" fillId="0" borderId="1" xfId="0" applyFont="1" applyBorder="1"/>
    <xf numFmtId="37" fontId="21" fillId="0" borderId="8" xfId="0" applyFont="1" applyBorder="1"/>
    <xf numFmtId="37" fontId="7" fillId="0" borderId="6" xfId="0" applyFont="1" applyBorder="1"/>
    <xf numFmtId="37" fontId="7" fillId="0" borderId="8" xfId="0" applyFont="1" applyBorder="1"/>
    <xf numFmtId="37" fontId="21" fillId="0" borderId="2" xfId="0" applyFont="1" applyBorder="1"/>
    <xf numFmtId="37" fontId="21" fillId="0" borderId="13" xfId="0" applyFont="1" applyBorder="1"/>
    <xf numFmtId="37" fontId="21" fillId="0" borderId="0" xfId="0" applyFont="1"/>
    <xf numFmtId="37" fontId="21" fillId="0" borderId="4" xfId="0" applyFont="1" applyBorder="1"/>
    <xf numFmtId="37" fontId="7" fillId="0" borderId="13" xfId="0" applyFont="1" applyBorder="1"/>
    <xf numFmtId="37" fontId="7" fillId="0" borderId="10" xfId="0" applyFont="1" applyBorder="1"/>
    <xf numFmtId="37" fontId="21" fillId="0" borderId="14" xfId="0" applyFont="1" applyBorder="1" applyAlignment="1">
      <alignment horizontal="centerContinuous"/>
    </xf>
    <xf numFmtId="37" fontId="21" fillId="0" borderId="2" xfId="0" applyFont="1" applyBorder="1" applyAlignment="1">
      <alignment horizontal="centerContinuous"/>
    </xf>
    <xf numFmtId="37" fontId="21" fillId="0" borderId="8" xfId="0" applyFont="1" applyBorder="1" applyAlignment="1">
      <alignment horizontal="centerContinuous"/>
    </xf>
    <xf numFmtId="37" fontId="7" fillId="0" borderId="8" xfId="0" applyFont="1" applyBorder="1" applyAlignment="1">
      <alignment horizontal="centerContinuous"/>
    </xf>
    <xf numFmtId="37" fontId="7" fillId="0" borderId="2" xfId="0" applyFont="1" applyBorder="1" applyAlignment="1">
      <alignment horizontal="centerContinuous"/>
    </xf>
    <xf numFmtId="37" fontId="21" fillId="0" borderId="1" xfId="0" applyFont="1" applyBorder="1" applyAlignment="1">
      <alignment horizontal="center"/>
    </xf>
    <xf numFmtId="37" fontId="21" fillId="0" borderId="2" xfId="0" applyFont="1" applyBorder="1" applyAlignment="1">
      <alignment horizontal="center"/>
    </xf>
    <xf numFmtId="37" fontId="21" fillId="0" borderId="2" xfId="0" quotePrefix="1" applyFont="1" applyBorder="1" applyAlignment="1">
      <alignment horizontal="left"/>
    </xf>
    <xf numFmtId="37" fontId="21" fillId="0" borderId="12" xfId="0" applyFont="1" applyBorder="1"/>
    <xf numFmtId="37" fontId="7" fillId="0" borderId="4" xfId="0" applyFont="1" applyBorder="1"/>
    <xf numFmtId="37" fontId="21" fillId="0" borderId="8" xfId="0" quotePrefix="1" applyFont="1" applyBorder="1" applyAlignment="1">
      <alignment horizontal="left"/>
    </xf>
    <xf numFmtId="37" fontId="7" fillId="0" borderId="2" xfId="0" applyFont="1" applyBorder="1"/>
    <xf numFmtId="37" fontId="7" fillId="0" borderId="3" xfId="0" applyFont="1" applyBorder="1"/>
    <xf numFmtId="37" fontId="21" fillId="0" borderId="0" xfId="0" applyFont="1" applyAlignment="1">
      <alignment horizontal="left"/>
    </xf>
    <xf numFmtId="37" fontId="7" fillId="2" borderId="0" xfId="0" applyFont="1" applyFill="1"/>
    <xf numFmtId="37" fontId="7" fillId="2" borderId="4" xfId="0" applyFont="1" applyFill="1" applyBorder="1"/>
    <xf numFmtId="37" fontId="7" fillId="0" borderId="9" xfId="0" applyFont="1" applyBorder="1"/>
    <xf numFmtId="37" fontId="21" fillId="0" borderId="12" xfId="0" applyFont="1" applyBorder="1" applyAlignment="1">
      <alignment horizontal="left"/>
    </xf>
    <xf numFmtId="37" fontId="21" fillId="0" borderId="10" xfId="0" applyFont="1" applyBorder="1" applyAlignment="1">
      <alignment horizontal="right"/>
    </xf>
    <xf numFmtId="37" fontId="7" fillId="2" borderId="12" xfId="0" applyFont="1" applyFill="1" applyBorder="1"/>
    <xf numFmtId="37" fontId="7" fillId="2" borderId="10" xfId="0" applyFont="1" applyFill="1" applyBorder="1"/>
    <xf numFmtId="37" fontId="11" fillId="0" borderId="0" xfId="0" quotePrefix="1" applyFont="1" applyAlignment="1">
      <alignment horizontal="right"/>
    </xf>
    <xf numFmtId="37" fontId="11" fillId="0" borderId="16" xfId="0" applyFont="1" applyBorder="1"/>
    <xf numFmtId="37" fontId="11" fillId="0" borderId="17" xfId="0" applyFont="1" applyBorder="1"/>
    <xf numFmtId="37" fontId="11" fillId="0" borderId="18" xfId="0" applyFont="1" applyBorder="1"/>
    <xf numFmtId="37" fontId="11" fillId="0" borderId="19" xfId="0" applyFont="1" applyBorder="1"/>
    <xf numFmtId="37" fontId="11" fillId="0" borderId="20" xfId="0" applyFont="1" applyBorder="1"/>
    <xf numFmtId="37" fontId="11" fillId="0" borderId="21" xfId="0" applyFont="1" applyBorder="1"/>
    <xf numFmtId="37" fontId="11" fillId="0" borderId="22" xfId="0" applyFont="1" applyBorder="1"/>
    <xf numFmtId="37" fontId="11" fillId="0" borderId="23" xfId="0" applyFont="1" applyBorder="1"/>
    <xf numFmtId="37" fontId="11" fillId="0" borderId="17" xfId="0" applyFont="1" applyBorder="1" applyAlignment="1">
      <alignment horizontal="center"/>
    </xf>
    <xf numFmtId="37" fontId="11" fillId="0" borderId="17" xfId="0" applyFont="1" applyBorder="1" applyAlignment="1">
      <alignment horizontal="right"/>
    </xf>
    <xf numFmtId="37" fontId="11" fillId="0" borderId="24" xfId="0" applyFont="1" applyBorder="1"/>
    <xf numFmtId="37" fontId="11" fillId="0" borderId="8" xfId="0" applyFont="1" applyBorder="1"/>
    <xf numFmtId="37" fontId="11" fillId="0" borderId="8" xfId="0" applyFont="1" applyBorder="1" applyAlignment="1">
      <alignment horizontal="center"/>
    </xf>
    <xf numFmtId="37" fontId="11" fillId="0" borderId="25" xfId="0" applyFont="1" applyBorder="1"/>
    <xf numFmtId="37" fontId="11" fillId="0" borderId="26" xfId="0" applyFont="1" applyBorder="1"/>
    <xf numFmtId="37" fontId="11" fillId="0" borderId="6" xfId="0" applyFont="1" applyBorder="1"/>
    <xf numFmtId="37" fontId="11" fillId="0" borderId="27" xfId="0" applyFont="1" applyBorder="1"/>
    <xf numFmtId="37" fontId="11" fillId="0" borderId="28" xfId="0" quotePrefix="1" applyFont="1" applyBorder="1" applyAlignment="1">
      <alignment horizontal="left"/>
    </xf>
    <xf numFmtId="37" fontId="11" fillId="0" borderId="12" xfId="0" applyFont="1" applyBorder="1"/>
    <xf numFmtId="37" fontId="11" fillId="0" borderId="29" xfId="0" applyFont="1" applyBorder="1"/>
    <xf numFmtId="37" fontId="11" fillId="0" borderId="28" xfId="0" applyFont="1" applyBorder="1" applyAlignment="1">
      <alignment horizontal="center"/>
    </xf>
    <xf numFmtId="37" fontId="11" fillId="0" borderId="30" xfId="0" applyFont="1" applyBorder="1"/>
    <xf numFmtId="37" fontId="11" fillId="0" borderId="31" xfId="0" applyFont="1" applyBorder="1"/>
    <xf numFmtId="37" fontId="11" fillId="0" borderId="31" xfId="0" applyFont="1" applyBorder="1" applyAlignment="1">
      <alignment horizontal="center"/>
    </xf>
    <xf numFmtId="37" fontId="11" fillId="0" borderId="32" xfId="0" applyFont="1" applyBorder="1"/>
    <xf numFmtId="37" fontId="21" fillId="0" borderId="0" xfId="0" quotePrefix="1" applyFont="1" applyAlignment="1">
      <alignment horizontal="left"/>
    </xf>
    <xf numFmtId="37" fontId="21" fillId="0" borderId="5" xfId="0" applyFont="1" applyBorder="1" applyAlignment="1">
      <alignment horizontal="centerContinuous"/>
    </xf>
    <xf numFmtId="37" fontId="7" fillId="0" borderId="6" xfId="0" applyFont="1" applyBorder="1" applyAlignment="1">
      <alignment horizontal="centerContinuous"/>
    </xf>
    <xf numFmtId="37" fontId="7" fillId="0" borderId="7" xfId="0" applyFont="1" applyBorder="1" applyAlignment="1">
      <alignment horizontal="centerContinuous"/>
    </xf>
    <xf numFmtId="37" fontId="21" fillId="0" borderId="11" xfId="0" applyFont="1" applyBorder="1"/>
    <xf numFmtId="37" fontId="21" fillId="0" borderId="2" xfId="0" quotePrefix="1" applyFont="1" applyBorder="1" applyAlignment="1">
      <alignment horizontal="centerContinuous"/>
    </xf>
    <xf numFmtId="37" fontId="21" fillId="0" borderId="3" xfId="0" applyFont="1" applyBorder="1" applyAlignment="1">
      <alignment horizontal="center"/>
    </xf>
    <xf numFmtId="37" fontId="21" fillId="0" borderId="2" xfId="0" quotePrefix="1" applyFont="1" applyBorder="1"/>
    <xf numFmtId="37" fontId="21" fillId="0" borderId="13" xfId="0" applyFont="1" applyBorder="1" applyAlignment="1">
      <alignment horizontal="center"/>
    </xf>
    <xf numFmtId="37" fontId="21" fillId="0" borderId="0" xfId="0" quotePrefix="1" applyFont="1"/>
    <xf numFmtId="37" fontId="21" fillId="0" borderId="4" xfId="0" quotePrefix="1" applyFont="1" applyBorder="1"/>
    <xf numFmtId="37" fontId="21" fillId="0" borderId="13" xfId="0" applyFont="1" applyBorder="1" applyAlignment="1">
      <alignment horizontal="centerContinuous"/>
    </xf>
    <xf numFmtId="37" fontId="7" fillId="0" borderId="4" xfId="0" applyFont="1" applyBorder="1" applyAlignment="1">
      <alignment horizontal="centerContinuous"/>
    </xf>
    <xf numFmtId="37" fontId="21" fillId="0" borderId="7" xfId="0" applyFont="1" applyBorder="1" applyAlignment="1">
      <alignment horizontal="centerContinuous"/>
    </xf>
    <xf numFmtId="37" fontId="21" fillId="0" borderId="14" xfId="0" applyFont="1" applyBorder="1" applyAlignment="1">
      <alignment horizontal="left"/>
    </xf>
    <xf numFmtId="37" fontId="7" fillId="0" borderId="12" xfId="0" applyFont="1" applyBorder="1"/>
    <xf numFmtId="37" fontId="7" fillId="0" borderId="7" xfId="0" applyFont="1" applyBorder="1"/>
    <xf numFmtId="37" fontId="7" fillId="0" borderId="15" xfId="0" applyFont="1" applyBorder="1"/>
    <xf numFmtId="37" fontId="21" fillId="0" borderId="12" xfId="0" quotePrefix="1" applyFont="1" applyBorder="1" applyAlignment="1">
      <alignment horizontal="left"/>
    </xf>
    <xf numFmtId="37" fontId="7" fillId="0" borderId="12" xfId="0" quotePrefix="1" applyFont="1" applyBorder="1"/>
    <xf numFmtId="37" fontId="7" fillId="0" borderId="12" xfId="0" quotePrefix="1" applyFont="1" applyBorder="1" applyAlignment="1">
      <alignment horizontal="left"/>
    </xf>
    <xf numFmtId="37" fontId="21" fillId="0" borderId="0" xfId="0" applyFont="1" applyAlignment="1">
      <alignment horizontal="centerContinuous"/>
    </xf>
    <xf numFmtId="37" fontId="21" fillId="0" borderId="0" xfId="0" quotePrefix="1" applyFont="1" applyAlignment="1">
      <alignment horizontal="center"/>
    </xf>
    <xf numFmtId="37" fontId="21" fillId="0" borderId="9" xfId="0" quotePrefix="1" applyFont="1" applyBorder="1"/>
    <xf numFmtId="37" fontId="21" fillId="0" borderId="9" xfId="0" applyFont="1" applyBorder="1"/>
    <xf numFmtId="37" fontId="7" fillId="0" borderId="1" xfId="0" applyFont="1" applyBorder="1"/>
    <xf numFmtId="37" fontId="21" fillId="0" borderId="4" xfId="0" applyFont="1" applyBorder="1" applyAlignment="1">
      <alignment horizontal="centerContinuous"/>
    </xf>
    <xf numFmtId="37" fontId="21" fillId="0" borderId="6" xfId="0" applyFont="1" applyBorder="1" applyAlignment="1">
      <alignment horizontal="centerContinuous"/>
    </xf>
    <xf numFmtId="37" fontId="21" fillId="0" borderId="1" xfId="0" applyFont="1" applyBorder="1" applyAlignment="1">
      <alignment horizontal="centerContinuous"/>
    </xf>
    <xf numFmtId="37" fontId="7" fillId="0" borderId="0" xfId="0" quotePrefix="1" applyFont="1" applyAlignment="1">
      <alignment horizontal="left"/>
    </xf>
    <xf numFmtId="37" fontId="21" fillId="0" borderId="7" xfId="0" applyFont="1" applyBorder="1"/>
    <xf numFmtId="37" fontId="21" fillId="0" borderId="7" xfId="0" applyFont="1" applyBorder="1" applyAlignment="1">
      <alignment horizontal="center"/>
    </xf>
    <xf numFmtId="37" fontId="21" fillId="0" borderId="3" xfId="0" applyFont="1" applyBorder="1"/>
    <xf numFmtId="37" fontId="21" fillId="0" borderId="4" xfId="0" applyFont="1" applyBorder="1" applyAlignment="1">
      <alignment horizontal="center"/>
    </xf>
    <xf numFmtId="37" fontId="21" fillId="0" borderId="3" xfId="0" applyFont="1" applyBorder="1" applyAlignment="1">
      <alignment horizontal="centerContinuous"/>
    </xf>
    <xf numFmtId="37" fontId="21" fillId="2" borderId="2" xfId="0" applyFont="1" applyFill="1" applyBorder="1"/>
    <xf numFmtId="37" fontId="21" fillId="0" borderId="10" xfId="0" applyFont="1" applyBorder="1"/>
    <xf numFmtId="37" fontId="21" fillId="0" borderId="10" xfId="0" applyFont="1" applyBorder="1" applyAlignment="1">
      <alignment horizontal="center"/>
    </xf>
    <xf numFmtId="164" fontId="21" fillId="0" borderId="2" xfId="0" applyNumberFormat="1" applyFont="1" applyBorder="1"/>
    <xf numFmtId="37" fontId="21" fillId="0" borderId="0" xfId="0" applyFont="1" applyAlignment="1">
      <alignment horizontal="center"/>
    </xf>
    <xf numFmtId="164" fontId="21" fillId="0" borderId="2" xfId="0" applyNumberFormat="1" applyFont="1" applyBorder="1" applyAlignment="1">
      <alignment horizontal="right"/>
    </xf>
    <xf numFmtId="164" fontId="21" fillId="0" borderId="1" xfId="0" applyNumberFormat="1" applyFont="1" applyBorder="1"/>
    <xf numFmtId="164" fontId="21" fillId="0" borderId="3" xfId="0" applyNumberFormat="1" applyFont="1" applyBorder="1"/>
    <xf numFmtId="164" fontId="21" fillId="0" borderId="2" xfId="0" quotePrefix="1" applyNumberFormat="1" applyFont="1" applyBorder="1" applyAlignment="1">
      <alignment horizontal="left"/>
    </xf>
    <xf numFmtId="37" fontId="21" fillId="0" borderId="14" xfId="0" applyFont="1" applyBorder="1" applyAlignment="1">
      <alignment horizontal="center"/>
    </xf>
    <xf numFmtId="37" fontId="21" fillId="0" borderId="8" xfId="0" applyFont="1" applyBorder="1" applyAlignment="1">
      <alignment horizontal="center"/>
    </xf>
    <xf numFmtId="37" fontId="21" fillId="0" borderId="14" xfId="0" applyFont="1" applyBorder="1"/>
    <xf numFmtId="37" fontId="7" fillId="0" borderId="14" xfId="0" applyFont="1" applyBorder="1"/>
    <xf numFmtId="37" fontId="22" fillId="0" borderId="0" xfId="0" applyFont="1" applyAlignment="1">
      <alignment horizontal="centerContinuous"/>
    </xf>
    <xf numFmtId="37" fontId="11" fillId="0" borderId="0" xfId="0" applyFont="1" applyAlignment="1">
      <alignment horizontal="centerContinuous"/>
    </xf>
    <xf numFmtId="37" fontId="22" fillId="0" borderId="0" xfId="0" applyFont="1"/>
    <xf numFmtId="37" fontId="22" fillId="0" borderId="5" xfId="0" applyFont="1" applyBorder="1"/>
    <xf numFmtId="37" fontId="22" fillId="0" borderId="6" xfId="0" quotePrefix="1" applyFont="1" applyBorder="1" applyAlignment="1">
      <alignment horizontal="centerContinuous"/>
    </xf>
    <xf numFmtId="37" fontId="22" fillId="0" borderId="7" xfId="0" applyFont="1" applyBorder="1" applyAlignment="1">
      <alignment horizontal="centerContinuous"/>
    </xf>
    <xf numFmtId="37" fontId="22" fillId="0" borderId="1" xfId="0" applyFont="1" applyBorder="1"/>
    <xf numFmtId="37" fontId="22" fillId="0" borderId="2" xfId="0" applyFont="1" applyBorder="1" applyAlignment="1">
      <alignment horizontal="centerContinuous"/>
    </xf>
    <xf numFmtId="37" fontId="22" fillId="0" borderId="2" xfId="0" applyFont="1" applyBorder="1"/>
    <xf numFmtId="37" fontId="22" fillId="0" borderId="8" xfId="0" applyFont="1" applyBorder="1" applyAlignment="1">
      <alignment horizontal="centerContinuous"/>
    </xf>
    <xf numFmtId="37" fontId="22" fillId="0" borderId="8" xfId="0" applyFont="1" applyBorder="1"/>
    <xf numFmtId="37" fontId="22" fillId="0" borderId="9" xfId="0" applyFont="1" applyBorder="1"/>
    <xf numFmtId="37" fontId="22" fillId="0" borderId="10" xfId="0" applyFont="1" applyBorder="1"/>
    <xf numFmtId="37" fontId="22" fillId="0" borderId="11" xfId="0" applyFont="1" applyBorder="1"/>
    <xf numFmtId="37" fontId="22" fillId="0" borderId="6" xfId="0" applyFont="1" applyBorder="1" applyAlignment="1">
      <alignment horizontal="centerContinuous"/>
    </xf>
    <xf numFmtId="37" fontId="22" fillId="0" borderId="3" xfId="0" applyFont="1" applyBorder="1"/>
    <xf numFmtId="37" fontId="22" fillId="0" borderId="4" xfId="0" applyFont="1" applyBorder="1" applyAlignment="1">
      <alignment horizontal="centerContinuous"/>
    </xf>
    <xf numFmtId="37" fontId="22" fillId="0" borderId="2" xfId="0" quotePrefix="1" applyFont="1" applyBorder="1" applyAlignment="1">
      <alignment horizontal="center"/>
    </xf>
    <xf numFmtId="37" fontId="22" fillId="0" borderId="6" xfId="0" applyFont="1" applyBorder="1" applyAlignment="1">
      <alignment horizontal="center"/>
    </xf>
    <xf numFmtId="37" fontId="22" fillId="0" borderId="7" xfId="0" applyFont="1" applyBorder="1" applyAlignment="1">
      <alignment horizontal="center"/>
    </xf>
    <xf numFmtId="37" fontId="22" fillId="0" borderId="8" xfId="0" applyFont="1" applyBorder="1" applyAlignment="1">
      <alignment horizontal="left"/>
    </xf>
    <xf numFmtId="37" fontId="22" fillId="0" borderId="2" xfId="0" quotePrefix="1" applyFont="1" applyBorder="1"/>
    <xf numFmtId="37" fontId="4" fillId="0" borderId="2" xfId="0" applyFont="1" applyBorder="1"/>
    <xf numFmtId="37" fontId="4" fillId="0" borderId="2" xfId="0" quotePrefix="1" applyFont="1" applyBorder="1"/>
    <xf numFmtId="37" fontId="4" fillId="0" borderId="2" xfId="0" applyFont="1" applyBorder="1" applyAlignment="1">
      <alignment horizontal="left" indent="1"/>
    </xf>
    <xf numFmtId="37" fontId="22" fillId="0" borderId="2" xfId="0" applyFont="1" applyBorder="1" applyAlignment="1">
      <alignment horizontal="left" indent="1"/>
    </xf>
    <xf numFmtId="37" fontId="22" fillId="0" borderId="12" xfId="0" applyFont="1" applyBorder="1"/>
    <xf numFmtId="37" fontId="22" fillId="0" borderId="1" xfId="0" applyFont="1" applyBorder="1" applyAlignment="1">
      <alignment horizontal="right"/>
    </xf>
    <xf numFmtId="37" fontId="11" fillId="0" borderId="14" xfId="0" applyFont="1" applyBorder="1"/>
    <xf numFmtId="37" fontId="11" fillId="0" borderId="0" xfId="0" applyFont="1" applyAlignment="1">
      <alignment horizontal="center" vertical="center"/>
    </xf>
    <xf numFmtId="2" fontId="11" fillId="0" borderId="0" xfId="0" applyNumberFormat="1" applyFont="1" applyAlignment="1">
      <alignment horizontal="right"/>
    </xf>
    <xf numFmtId="37" fontId="23" fillId="0" borderId="1" xfId="0" quotePrefix="1" applyFont="1" applyBorder="1" applyProtection="1">
      <protection locked="0"/>
    </xf>
    <xf numFmtId="37" fontId="23" fillId="0" borderId="1" xfId="1" quotePrefix="1" applyNumberFormat="1" applyFont="1" applyBorder="1" applyProtection="1">
      <protection locked="0"/>
    </xf>
    <xf numFmtId="37" fontId="23" fillId="0" borderId="1" xfId="0" applyFont="1" applyBorder="1" applyProtection="1">
      <protection locked="0"/>
    </xf>
    <xf numFmtId="38" fontId="23" fillId="4" borderId="1" xfId="0" applyNumberFormat="1" applyFont="1" applyFill="1" applyBorder="1" applyProtection="1">
      <protection locked="0"/>
    </xf>
    <xf numFmtId="49" fontId="23" fillId="4" borderId="1" xfId="0" quotePrefix="1" applyNumberFormat="1" applyFont="1" applyFill="1" applyBorder="1" applyProtection="1">
      <protection locked="0"/>
    </xf>
    <xf numFmtId="38" fontId="23" fillId="4" borderId="1" xfId="0" quotePrefix="1" applyNumberFormat="1" applyFont="1" applyFill="1" applyBorder="1" applyProtection="1">
      <protection locked="0"/>
    </xf>
    <xf numFmtId="38" fontId="23" fillId="4" borderId="14" xfId="0" applyNumberFormat="1" applyFont="1" applyFill="1" applyBorder="1" applyProtection="1">
      <protection locked="0"/>
    </xf>
    <xf numFmtId="37" fontId="23" fillId="4" borderId="1" xfId="0" applyFont="1" applyFill="1" applyBorder="1" applyProtection="1">
      <protection locked="0"/>
    </xf>
    <xf numFmtId="38" fontId="23" fillId="4" borderId="1" xfId="0" applyNumberFormat="1" applyFont="1" applyFill="1" applyBorder="1" applyAlignment="1" applyProtection="1">
      <alignment horizontal="center"/>
      <protection locked="0"/>
    </xf>
    <xf numFmtId="1" fontId="11" fillId="0" borderId="0" xfId="0" applyNumberFormat="1" applyFont="1" applyAlignment="1">
      <alignment horizontal="right"/>
    </xf>
    <xf numFmtId="1" fontId="11" fillId="0" borderId="0" xfId="0" applyNumberFormat="1" applyFont="1" applyAlignment="1">
      <alignment horizontal="left"/>
    </xf>
    <xf numFmtId="49" fontId="11" fillId="0" borderId="0" xfId="0" applyNumberFormat="1" applyFont="1" applyAlignment="1">
      <alignment horizontal="left"/>
    </xf>
    <xf numFmtId="2" fontId="11" fillId="0" borderId="0" xfId="0" applyNumberFormat="1" applyFont="1"/>
    <xf numFmtId="37" fontId="24" fillId="3" borderId="0" xfId="0" applyFont="1" applyFill="1"/>
    <xf numFmtId="37" fontId="23" fillId="0" borderId="1" xfId="1" applyNumberFormat="1" applyFont="1" applyBorder="1" applyProtection="1">
      <protection locked="0"/>
    </xf>
    <xf numFmtId="37" fontId="23" fillId="0" borderId="1" xfId="4" quotePrefix="1" applyNumberFormat="1" applyFont="1" applyBorder="1" applyProtection="1">
      <protection locked="0"/>
    </xf>
    <xf numFmtId="37" fontId="24" fillId="3" borderId="0" xfId="0" quotePrefix="1" applyFont="1" applyFill="1" applyAlignment="1">
      <alignment horizontal="fill"/>
    </xf>
    <xf numFmtId="39" fontId="24" fillId="3" borderId="0" xfId="0" quotePrefix="1" applyNumberFormat="1" applyFont="1" applyFill="1" applyAlignment="1">
      <alignment horizontal="fill"/>
    </xf>
    <xf numFmtId="37" fontId="24" fillId="0" borderId="0" xfId="0" applyFont="1"/>
    <xf numFmtId="43" fontId="11" fillId="7" borderId="0" xfId="1" applyFont="1" applyFill="1"/>
    <xf numFmtId="37" fontId="24" fillId="7" borderId="0" xfId="0" quotePrefix="1" applyFont="1" applyFill="1" applyAlignment="1">
      <alignment horizontal="fill"/>
    </xf>
    <xf numFmtId="38" fontId="15" fillId="4" borderId="1" xfId="0" applyNumberFormat="1" applyFont="1" applyFill="1" applyBorder="1" applyAlignment="1" applyProtection="1">
      <alignment horizontal="right"/>
      <protection locked="0"/>
    </xf>
    <xf numFmtId="38" fontId="23" fillId="4" borderId="1" xfId="0" applyNumberFormat="1" applyFont="1" applyFill="1" applyBorder="1" applyAlignment="1" applyProtection="1">
      <alignment horizontal="right"/>
      <protection locked="0"/>
    </xf>
    <xf numFmtId="38" fontId="15" fillId="0" borderId="1" xfId="0" applyNumberFormat="1" applyFont="1" applyBorder="1" applyProtection="1">
      <protection locked="0"/>
    </xf>
    <xf numFmtId="37" fontId="18" fillId="7" borderId="0" xfId="0" applyFont="1" applyFill="1"/>
    <xf numFmtId="2" fontId="7" fillId="0" borderId="0" xfId="0" applyNumberFormat="1" applyFont="1"/>
    <xf numFmtId="1" fontId="23" fillId="0" borderId="1" xfId="0" quotePrefix="1" applyNumberFormat="1" applyFont="1" applyBorder="1" applyProtection="1">
      <protection locked="0"/>
    </xf>
    <xf numFmtId="2" fontId="11" fillId="3" borderId="0" xfId="0" quotePrefix="1" applyNumberFormat="1" applyFont="1" applyFill="1" applyAlignment="1">
      <alignment horizontal="left"/>
    </xf>
    <xf numFmtId="2" fontId="11" fillId="3" borderId="0" xfId="0" applyNumberFormat="1" applyFont="1" applyFill="1"/>
    <xf numFmtId="2" fontId="23" fillId="0" borderId="1" xfId="0" quotePrefix="1" applyNumberFormat="1" applyFont="1" applyBorder="1" applyProtection="1">
      <protection locked="0"/>
    </xf>
    <xf numFmtId="2" fontId="23" fillId="0" borderId="1" xfId="1" quotePrefix="1" applyNumberFormat="1" applyFont="1" applyBorder="1" applyProtection="1">
      <protection locked="0"/>
    </xf>
    <xf numFmtId="2" fontId="23" fillId="0" borderId="1" xfId="4" quotePrefix="1" applyNumberFormat="1" applyFont="1" applyBorder="1" applyProtection="1">
      <protection locked="0"/>
    </xf>
    <xf numFmtId="2" fontId="23" fillId="0" borderId="1" xfId="1" applyNumberFormat="1" applyFont="1" applyBorder="1" applyProtection="1">
      <protection locked="0"/>
    </xf>
    <xf numFmtId="2" fontId="11" fillId="3" borderId="0" xfId="0" quotePrefix="1" applyNumberFormat="1" applyFont="1" applyFill="1" applyAlignment="1">
      <alignment horizontal="fill"/>
    </xf>
    <xf numFmtId="166" fontId="23" fillId="4" borderId="14" xfId="0" applyNumberFormat="1" applyFont="1" applyFill="1" applyBorder="1" applyAlignment="1" applyProtection="1">
      <alignment horizontal="left"/>
      <protection locked="0"/>
    </xf>
    <xf numFmtId="37" fontId="24" fillId="0" borderId="0" xfId="0" applyFont="1" applyAlignment="1">
      <alignment horizontal="center"/>
    </xf>
    <xf numFmtId="37" fontId="24" fillId="0" borderId="0" xfId="0" applyFont="1" applyAlignment="1">
      <alignment horizontal="left"/>
    </xf>
    <xf numFmtId="164" fontId="24" fillId="0" borderId="0" xfId="0" applyNumberFormat="1" applyFont="1"/>
    <xf numFmtId="37" fontId="24" fillId="0" borderId="0" xfId="0" quotePrefix="1" applyFont="1" applyAlignment="1">
      <alignment horizontal="left"/>
    </xf>
    <xf numFmtId="37" fontId="24" fillId="8" borderId="0" xfId="0" applyFont="1" applyFill="1"/>
    <xf numFmtId="37" fontId="23" fillId="0" borderId="0" xfId="0" applyFont="1"/>
    <xf numFmtId="164" fontId="24" fillId="0" borderId="0" xfId="0" applyNumberFormat="1" applyFont="1" applyAlignment="1">
      <alignment horizontal="left"/>
    </xf>
    <xf numFmtId="37" fontId="24" fillId="9" borderId="0" xfId="0" applyFont="1" applyFill="1"/>
    <xf numFmtId="37" fontId="24" fillId="9" borderId="0" xfId="0" applyFont="1" applyFill="1" applyAlignment="1">
      <alignment horizontal="center"/>
    </xf>
    <xf numFmtId="37" fontId="24" fillId="10" borderId="0" xfId="0" applyFont="1" applyFill="1"/>
    <xf numFmtId="37" fontId="24" fillId="10" borderId="0" xfId="0" applyFont="1" applyFill="1" applyAlignment="1">
      <alignment horizontal="left"/>
    </xf>
    <xf numFmtId="37" fontId="24" fillId="10" borderId="0" xfId="0" applyFont="1" applyFill="1" applyAlignment="1">
      <alignment horizontal="center"/>
    </xf>
    <xf numFmtId="39" fontId="24" fillId="10" borderId="0" xfId="0" applyNumberFormat="1" applyFont="1" applyFill="1"/>
    <xf numFmtId="39" fontId="24" fillId="9" borderId="0" xfId="0" applyNumberFormat="1" applyFont="1" applyFill="1"/>
    <xf numFmtId="37" fontId="24" fillId="7" borderId="0" xfId="1" applyNumberFormat="1" applyFont="1" applyFill="1"/>
    <xf numFmtId="37" fontId="11" fillId="7" borderId="0" xfId="0" quotePrefix="1" applyFont="1" applyFill="1" applyAlignment="1">
      <alignment horizontal="fill"/>
    </xf>
    <xf numFmtId="0" fontId="24" fillId="3" borderId="0" xfId="0" quotePrefix="1" applyNumberFormat="1" applyFont="1" applyFill="1" applyAlignment="1">
      <alignment horizontal="fill"/>
    </xf>
    <xf numFmtId="38" fontId="11" fillId="7" borderId="0" xfId="0" applyNumberFormat="1" applyFont="1" applyFill="1"/>
    <xf numFmtId="39" fontId="11" fillId="7" borderId="0" xfId="0" applyNumberFormat="1" applyFont="1" applyFill="1"/>
    <xf numFmtId="2" fontId="11" fillId="7" borderId="0" xfId="0" applyNumberFormat="1" applyFont="1" applyFill="1"/>
    <xf numFmtId="37" fontId="24" fillId="7" borderId="0" xfId="0" applyFont="1" applyFill="1"/>
    <xf numFmtId="37" fontId="7" fillId="7" borderId="0" xfId="0" applyFont="1" applyFill="1"/>
    <xf numFmtId="37" fontId="24" fillId="0" borderId="1" xfId="0" applyFont="1" applyBorder="1" applyProtection="1">
      <protection locked="0"/>
    </xf>
    <xf numFmtId="37" fontId="11" fillId="11" borderId="0" xfId="0" applyFont="1" applyFill="1"/>
    <xf numFmtId="38" fontId="15" fillId="11" borderId="1" xfId="0" applyNumberFormat="1" applyFont="1" applyFill="1" applyBorder="1" applyProtection="1">
      <protection locked="0"/>
    </xf>
    <xf numFmtId="37" fontId="15" fillId="11" borderId="1" xfId="0" quotePrefix="1" applyFont="1" applyFill="1" applyBorder="1" applyProtection="1">
      <protection locked="0"/>
    </xf>
    <xf numFmtId="37" fontId="7" fillId="0" borderId="0" xfId="0" applyFont="1" applyAlignment="1">
      <alignment vertical="center"/>
    </xf>
    <xf numFmtId="37" fontId="11" fillId="0" borderId="0" xfId="0" applyFont="1" applyAlignment="1">
      <alignment horizontal="right" vertical="center"/>
    </xf>
    <xf numFmtId="37" fontId="11" fillId="0" borderId="0" xfId="0" applyFont="1" applyAlignment="1">
      <alignment horizontal="right" vertical="center" wrapText="1"/>
    </xf>
    <xf numFmtId="37" fontId="7" fillId="0" borderId="1" xfId="0" applyFont="1" applyBorder="1" applyAlignment="1">
      <alignment vertical="center"/>
    </xf>
    <xf numFmtId="37" fontId="25" fillId="0" borderId="1" xfId="0" applyFont="1" applyBorder="1"/>
    <xf numFmtId="37" fontId="25" fillId="0" borderId="0" xfId="0" applyFont="1" applyAlignment="1">
      <alignment horizontal="centerContinuous"/>
    </xf>
    <xf numFmtId="37" fontId="26" fillId="0" borderId="0" xfId="0" applyFont="1" applyAlignment="1">
      <alignment horizontal="centerContinuous"/>
    </xf>
    <xf numFmtId="37" fontId="26" fillId="0" borderId="0" xfId="0" applyFont="1"/>
    <xf numFmtId="37" fontId="25" fillId="0" borderId="0" xfId="0" applyFont="1"/>
    <xf numFmtId="37" fontId="25" fillId="0" borderId="0" xfId="0" quotePrefix="1" applyFont="1" applyAlignment="1">
      <alignment horizontal="right"/>
    </xf>
    <xf numFmtId="37" fontId="26" fillId="0" borderId="0" xfId="0" quotePrefix="1" applyFont="1"/>
    <xf numFmtId="37" fontId="27" fillId="0" borderId="0" xfId="0" applyFont="1"/>
    <xf numFmtId="37" fontId="25" fillId="0" borderId="2" xfId="0" applyFont="1" applyBorder="1"/>
    <xf numFmtId="37" fontId="25" fillId="0" borderId="2" xfId="0" quotePrefix="1" applyFont="1" applyBorder="1" applyAlignment="1">
      <alignment horizontal="center"/>
    </xf>
    <xf numFmtId="37" fontId="25" fillId="0" borderId="2" xfId="0" applyFont="1" applyBorder="1" applyAlignment="1">
      <alignment horizontal="center"/>
    </xf>
    <xf numFmtId="37" fontId="25" fillId="0" borderId="3" xfId="0" applyFont="1" applyBorder="1"/>
    <xf numFmtId="37" fontId="25" fillId="0" borderId="4" xfId="0" applyFont="1" applyBorder="1"/>
    <xf numFmtId="37" fontId="25" fillId="0" borderId="4" xfId="0" quotePrefix="1" applyFont="1" applyBorder="1" applyAlignment="1">
      <alignment horizontal="center"/>
    </xf>
    <xf numFmtId="37" fontId="25" fillId="0" borderId="4" xfId="0" applyFont="1" applyBorder="1" applyAlignment="1">
      <alignment horizontal="center"/>
    </xf>
    <xf numFmtId="39" fontId="25" fillId="0" borderId="2" xfId="0" applyNumberFormat="1" applyFont="1" applyBorder="1"/>
    <xf numFmtId="37" fontId="25" fillId="0" borderId="2" xfId="0" quotePrefix="1" applyFont="1" applyBorder="1"/>
    <xf numFmtId="37" fontId="25" fillId="5" borderId="2" xfId="0" applyFont="1" applyFill="1" applyBorder="1"/>
    <xf numFmtId="37" fontId="25" fillId="6" borderId="2" xfId="0" applyFont="1" applyFill="1" applyBorder="1"/>
    <xf numFmtId="37" fontId="28" fillId="0" borderId="0" xfId="0" applyFont="1"/>
    <xf numFmtId="37" fontId="25" fillId="6" borderId="2" xfId="0" applyFont="1" applyFill="1" applyBorder="1" applyAlignment="1">
      <alignment horizontal="center"/>
    </xf>
    <xf numFmtId="37" fontId="29" fillId="0" borderId="0" xfId="0" applyFont="1"/>
    <xf numFmtId="37" fontId="25" fillId="0" borderId="2" xfId="0" quotePrefix="1" applyFont="1" applyBorder="1" applyAlignment="1">
      <alignment horizontal="left"/>
    </xf>
    <xf numFmtId="37" fontId="25" fillId="6" borderId="2" xfId="0" quotePrefix="1" applyFont="1" applyFill="1" applyBorder="1" applyAlignment="1">
      <alignment horizontal="center"/>
    </xf>
    <xf numFmtId="37" fontId="26" fillId="0" borderId="10" xfId="0" applyFont="1" applyBorder="1"/>
    <xf numFmtId="37" fontId="25" fillId="6" borderId="2" xfId="0" quotePrefix="1" applyFont="1" applyFill="1" applyBorder="1"/>
    <xf numFmtId="39" fontId="25" fillId="6" borderId="2" xfId="0" quotePrefix="1" applyNumberFormat="1" applyFont="1" applyFill="1" applyBorder="1" applyAlignment="1">
      <alignment horizontal="center"/>
    </xf>
    <xf numFmtId="3" fontId="25" fillId="0" borderId="2" xfId="0" applyNumberFormat="1" applyFont="1" applyBorder="1"/>
    <xf numFmtId="37" fontId="26" fillId="0" borderId="2" xfId="0" applyFont="1" applyBorder="1" applyAlignment="1">
      <alignment horizontal="center"/>
    </xf>
    <xf numFmtId="37" fontId="26" fillId="0" borderId="4" xfId="0" applyFont="1" applyBorder="1" applyAlignment="1">
      <alignment horizontal="center"/>
    </xf>
    <xf numFmtId="39" fontId="25" fillId="6" borderId="2" xfId="0" applyNumberFormat="1" applyFont="1" applyFill="1" applyBorder="1"/>
    <xf numFmtId="2" fontId="25" fillId="0" borderId="2" xfId="0" applyNumberFormat="1" applyFont="1" applyBorder="1"/>
    <xf numFmtId="3" fontId="25" fillId="6" borderId="2" xfId="0" applyNumberFormat="1" applyFont="1" applyFill="1" applyBorder="1"/>
    <xf numFmtId="37" fontId="15" fillId="0" borderId="1" xfId="0" applyFont="1" applyBorder="1" applyProtection="1">
      <protection locked="0"/>
    </xf>
    <xf numFmtId="37" fontId="30" fillId="0" borderId="1" xfId="0" applyFont="1" applyBorder="1" applyProtection="1">
      <protection locked="0"/>
    </xf>
    <xf numFmtId="37" fontId="11" fillId="7" borderId="0" xfId="1" applyNumberFormat="1" applyFont="1" applyFill="1"/>
    <xf numFmtId="2" fontId="15" fillId="0" borderId="1" xfId="0" quotePrefix="1" applyNumberFormat="1" applyFont="1" applyBorder="1" applyProtection="1">
      <protection locked="0"/>
    </xf>
    <xf numFmtId="2" fontId="15" fillId="0" borderId="1" xfId="1" quotePrefix="1" applyNumberFormat="1" applyFont="1" applyBorder="1" applyProtection="1">
      <protection locked="0"/>
    </xf>
    <xf numFmtId="2" fontId="15" fillId="0" borderId="1" xfId="4" quotePrefix="1" applyNumberFormat="1" applyFont="1" applyBorder="1" applyProtection="1">
      <protection locked="0"/>
    </xf>
    <xf numFmtId="2" fontId="15" fillId="0" borderId="1" xfId="1" applyNumberFormat="1" applyFont="1" applyBorder="1" applyProtection="1">
      <protection locked="0"/>
    </xf>
    <xf numFmtId="37" fontId="15" fillId="0" borderId="1" xfId="4" quotePrefix="1" applyNumberFormat="1" applyFont="1" applyBorder="1" applyProtection="1">
      <protection locked="0"/>
    </xf>
    <xf numFmtId="1" fontId="15" fillId="0" borderId="1" xfId="0" quotePrefix="1" applyNumberFormat="1" applyFont="1" applyBorder="1" applyProtection="1">
      <protection locked="0"/>
    </xf>
    <xf numFmtId="0" fontId="11" fillId="3" borderId="0" xfId="0" quotePrefix="1" applyNumberFormat="1" applyFont="1" applyFill="1" applyAlignment="1">
      <alignment horizontal="fill"/>
    </xf>
    <xf numFmtId="39" fontId="11" fillId="3" borderId="0" xfId="0" quotePrefix="1" applyNumberFormat="1" applyFont="1" applyFill="1" applyAlignment="1">
      <alignment horizontal="fill"/>
    </xf>
    <xf numFmtId="167" fontId="15" fillId="4" borderId="1" xfId="0" quotePrefix="1" applyNumberFormat="1" applyFont="1" applyFill="1" applyBorder="1" applyProtection="1">
      <protection locked="0"/>
    </xf>
    <xf numFmtId="38" fontId="15" fillId="4" borderId="1" xfId="0" quotePrefix="1" applyNumberFormat="1" applyFont="1" applyFill="1" applyBorder="1" applyAlignment="1" applyProtection="1">
      <alignment horizontal="left"/>
      <protection locked="0"/>
    </xf>
    <xf numFmtId="166" fontId="15" fillId="4" borderId="14" xfId="0" applyNumberFormat="1" applyFont="1" applyFill="1" applyBorder="1" applyAlignment="1" applyProtection="1">
      <alignment horizontal="left"/>
      <protection locked="0"/>
    </xf>
    <xf numFmtId="49" fontId="15" fillId="4" borderId="1" xfId="0" quotePrefix="1" applyNumberFormat="1" applyFont="1" applyFill="1" applyBorder="1" applyProtection="1">
      <protection locked="0"/>
    </xf>
    <xf numFmtId="38" fontId="15" fillId="4" borderId="1" xfId="0" applyNumberFormat="1" applyFont="1" applyFill="1" applyBorder="1" applyAlignment="1" applyProtection="1">
      <alignment horizontal="center"/>
      <protection locked="0"/>
    </xf>
    <xf numFmtId="0" fontId="6" fillId="0" borderId="14" xfId="2" applyBorder="1">
      <alignment vertical="top"/>
      <protection locked="0"/>
    </xf>
    <xf numFmtId="37" fontId="3" fillId="0" borderId="0" xfId="0" applyFont="1"/>
    <xf numFmtId="37" fontId="3" fillId="0" borderId="0" xfId="0" quotePrefix="1" applyFont="1" applyAlignment="1">
      <alignment vertical="center" readingOrder="1"/>
    </xf>
    <xf numFmtId="37" fontId="3" fillId="0" borderId="0" xfId="0" quotePrefix="1" applyFont="1"/>
    <xf numFmtId="37" fontId="18" fillId="0" borderId="0" xfId="0" applyFont="1"/>
    <xf numFmtId="0" fontId="14" fillId="0" borderId="0" xfId="2" applyFont="1">
      <alignment vertical="top"/>
      <protection locked="0"/>
    </xf>
    <xf numFmtId="37" fontId="31" fillId="11" borderId="0" xfId="0" quotePrefix="1" applyFont="1" applyFill="1" applyAlignment="1">
      <alignment horizontal="left"/>
    </xf>
    <xf numFmtId="37" fontId="3" fillId="11" borderId="0" xfId="0" applyFont="1" applyFill="1"/>
    <xf numFmtId="38" fontId="3" fillId="11" borderId="0" xfId="0" applyNumberFormat="1" applyFont="1" applyFill="1"/>
    <xf numFmtId="37" fontId="3" fillId="11" borderId="0" xfId="0" quotePrefix="1" applyFont="1" applyFill="1" applyAlignment="1">
      <alignment vertical="center" readingOrder="1"/>
    </xf>
    <xf numFmtId="37" fontId="3" fillId="11" borderId="0" xfId="0" quotePrefix="1" applyFont="1" applyFill="1" applyAlignment="1">
      <alignment horizontal="left"/>
    </xf>
    <xf numFmtId="37" fontId="3" fillId="11" borderId="0" xfId="0" quotePrefix="1" applyFont="1" applyFill="1"/>
    <xf numFmtId="37" fontId="3" fillId="11" borderId="0" xfId="0" applyFont="1" applyFill="1" applyAlignment="1">
      <alignment vertical="center" readingOrder="1"/>
    </xf>
    <xf numFmtId="37" fontId="2" fillId="11" borderId="0" xfId="0" quotePrefix="1" applyFont="1" applyFill="1"/>
    <xf numFmtId="168" fontId="23" fillId="4" borderId="1" xfId="0" quotePrefix="1" applyNumberFormat="1" applyFont="1" applyFill="1" applyBorder="1" applyAlignment="1" applyProtection="1">
      <alignment horizontal="left"/>
      <protection locked="0"/>
    </xf>
    <xf numFmtId="168" fontId="15" fillId="4" borderId="1" xfId="0" quotePrefix="1" applyNumberFormat="1" applyFont="1" applyFill="1" applyBorder="1" applyAlignment="1" applyProtection="1">
      <alignment horizontal="left"/>
      <protection locked="0"/>
    </xf>
    <xf numFmtId="37" fontId="33" fillId="0" borderId="0" xfId="0" applyFont="1"/>
    <xf numFmtId="37" fontId="11" fillId="12" borderId="0" xfId="0" applyFont="1" applyFill="1"/>
    <xf numFmtId="37" fontId="34" fillId="0" borderId="0" xfId="0" applyFont="1"/>
    <xf numFmtId="0" fontId="6" fillId="0" borderId="0" xfId="2">
      <alignment vertical="top"/>
      <protection locked="0"/>
    </xf>
    <xf numFmtId="37" fontId="35" fillId="0" borderId="8" xfId="0" applyFont="1" applyBorder="1"/>
    <xf numFmtId="37" fontId="7" fillId="8" borderId="0" xfId="0" applyFont="1" applyFill="1" applyAlignment="1">
      <alignment vertical="center"/>
    </xf>
    <xf numFmtId="37" fontId="7" fillId="8" borderId="0" xfId="0" applyFont="1" applyFill="1"/>
    <xf numFmtId="37" fontId="7" fillId="8" borderId="0" xfId="0" quotePrefix="1" applyFont="1" applyFill="1" applyAlignment="1">
      <alignment horizontal="center"/>
    </xf>
    <xf numFmtId="37" fontId="7" fillId="8" borderId="0" xfId="0" applyFont="1" applyFill="1" applyAlignment="1">
      <alignment horizontal="center"/>
    </xf>
    <xf numFmtId="37" fontId="7" fillId="8" borderId="0" xfId="0" quotePrefix="1" applyFont="1" applyFill="1" applyAlignment="1">
      <alignment horizontal="left"/>
    </xf>
    <xf numFmtId="37" fontId="7" fillId="8" borderId="0" xfId="0" applyFont="1" applyFill="1" applyAlignment="1">
      <alignment horizontal="left"/>
    </xf>
    <xf numFmtId="1" fontId="7" fillId="8" borderId="0" xfId="0" applyNumberFormat="1" applyFont="1" applyFill="1" applyAlignment="1">
      <alignment horizontal="center"/>
    </xf>
    <xf numFmtId="37" fontId="15" fillId="3" borderId="0" xfId="0" applyFont="1" applyFill="1" applyAlignment="1">
      <alignment horizontal="center" vertical="center"/>
    </xf>
  </cellXfs>
  <cellStyles count="5">
    <cellStyle name="Comma" xfId="1" builtinId="3"/>
    <cellStyle name="Hyperlink" xfId="2" builtinId="8"/>
    <cellStyle name="Normal" xfId="0" builtinId="0"/>
    <cellStyle name="Normal 2" xfId="3" xr:uid="{B190D761-ADDB-4CFB-8149-54EEFCE0B1C0}"/>
    <cellStyle name="Percent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ft.wa.gov/" TargetMode="External"/><Relationship Id="rId2" Type="http://schemas.openxmlformats.org/officeDocument/2006/relationships/hyperlink" Target="https://sft.wa.gov/" TargetMode="External"/><Relationship Id="rId1" Type="http://schemas.openxmlformats.org/officeDocument/2006/relationships/hyperlink" Target="mailto:hos@doh.wa.gov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jcgertler@evergreenhealthcare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sft.wa.gov/" TargetMode="External"/><Relationship Id="rId2" Type="http://schemas.openxmlformats.org/officeDocument/2006/relationships/hyperlink" Target="https://sft.wa.gov/" TargetMode="External"/><Relationship Id="rId1" Type="http://schemas.openxmlformats.org/officeDocument/2006/relationships/hyperlink" Target="mailto:hos@doh.wa.gov" TargetMode="External"/><Relationship Id="rId4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63AF3-0A71-4451-84C1-124DE99DA219}">
  <sheetPr syncVertical="1" syncRef="A114" transitionEvaluation="1" transitionEntry="1" codeName="Sheet1">
    <tabColor rgb="FF92D050"/>
    <pageSetUpPr autoPageBreaks="0" fitToPage="1"/>
  </sheetPr>
  <dimension ref="A1:CF716"/>
  <sheetViews>
    <sheetView topLeftCell="A114" zoomScaleNormal="100" workbookViewId="0">
      <selection activeCell="D130" sqref="D130"/>
    </sheetView>
  </sheetViews>
  <sheetFormatPr defaultColWidth="11.77734375" defaultRowHeight="15" x14ac:dyDescent="0.25"/>
  <cols>
    <col min="1" max="1" width="44.44140625" style="11" customWidth="1"/>
    <col min="2" max="84" width="13.5546875" style="11" customWidth="1"/>
    <col min="85" max="86" width="11.77734375" style="11" customWidth="1"/>
    <col min="87" max="16384" width="11.77734375" style="11"/>
  </cols>
  <sheetData>
    <row r="1" spans="1:3" x14ac:dyDescent="0.25">
      <c r="A1" s="68" t="s">
        <v>1348</v>
      </c>
      <c r="C1" s="16"/>
    </row>
    <row r="2" spans="1:3" x14ac:dyDescent="0.25">
      <c r="A2" s="68" t="s">
        <v>2</v>
      </c>
      <c r="C2" s="16"/>
    </row>
    <row r="3" spans="1:3" x14ac:dyDescent="0.25">
      <c r="A3" s="11" t="s">
        <v>3</v>
      </c>
      <c r="C3" s="16"/>
    </row>
    <row r="4" spans="1:3" x14ac:dyDescent="0.25">
      <c r="C4" s="16"/>
    </row>
    <row r="5" spans="1:3" x14ac:dyDescent="0.25">
      <c r="A5" s="11" t="s">
        <v>1327</v>
      </c>
    </row>
    <row r="6" spans="1:3" x14ac:dyDescent="0.25">
      <c r="A6" s="11" t="s">
        <v>4</v>
      </c>
    </row>
    <row r="7" spans="1:3" x14ac:dyDescent="0.25">
      <c r="A7" s="11" t="s">
        <v>1349</v>
      </c>
    </row>
    <row r="8" spans="1:3" x14ac:dyDescent="0.25">
      <c r="C8" s="16"/>
    </row>
    <row r="9" spans="1:3" x14ac:dyDescent="0.25">
      <c r="A9" s="68" t="s">
        <v>5</v>
      </c>
      <c r="C9" s="16"/>
    </row>
    <row r="10" spans="1:3" x14ac:dyDescent="0.25">
      <c r="A10" s="11" t="s">
        <v>1350</v>
      </c>
      <c r="C10" s="16"/>
    </row>
    <row r="11" spans="1:3" x14ac:dyDescent="0.25">
      <c r="A11" s="17" t="s">
        <v>6</v>
      </c>
      <c r="C11" s="16"/>
    </row>
    <row r="12" spans="1:3" x14ac:dyDescent="0.25">
      <c r="A12" s="15" t="s">
        <v>7</v>
      </c>
      <c r="C12" s="16"/>
    </row>
    <row r="13" spans="1:3" x14ac:dyDescent="0.25">
      <c r="A13" s="11" t="s">
        <v>8</v>
      </c>
      <c r="C13" s="16"/>
    </row>
    <row r="14" spans="1:3" x14ac:dyDescent="0.25">
      <c r="C14" s="16"/>
    </row>
    <row r="15" spans="1:3" x14ac:dyDescent="0.25">
      <c r="A15" s="72" t="s">
        <v>9</v>
      </c>
    </row>
    <row r="16" spans="1:3" x14ac:dyDescent="0.25">
      <c r="A16" s="15" t="s">
        <v>10</v>
      </c>
    </row>
    <row r="17" spans="1:10" x14ac:dyDescent="0.25">
      <c r="A17" s="17" t="s">
        <v>1351</v>
      </c>
    </row>
    <row r="18" spans="1:10" ht="14.45" customHeight="1" x14ac:dyDescent="0.25">
      <c r="A18" s="17" t="s">
        <v>1352</v>
      </c>
    </row>
    <row r="19" spans="1:10" ht="14.45" customHeight="1" x14ac:dyDescent="0.25">
      <c r="A19" s="17" t="s">
        <v>1353</v>
      </c>
    </row>
    <row r="20" spans="1:10" ht="14.45" customHeight="1" x14ac:dyDescent="0.25">
      <c r="A20" s="15"/>
      <c r="E20" s="71"/>
      <c r="F20" s="71"/>
      <c r="G20" s="71"/>
    </row>
    <row r="21" spans="1:10" ht="14.45" customHeight="1" x14ac:dyDescent="0.25">
      <c r="A21" s="73" t="s">
        <v>11</v>
      </c>
      <c r="E21" s="71"/>
      <c r="F21" s="71"/>
      <c r="G21" s="71"/>
      <c r="I21" s="71"/>
      <c r="J21" s="71"/>
    </row>
    <row r="22" spans="1:10" ht="16.5" x14ac:dyDescent="0.25">
      <c r="A22" s="17" t="s">
        <v>12</v>
      </c>
      <c r="E22" s="70"/>
      <c r="F22" s="70"/>
      <c r="G22" s="70"/>
      <c r="I22" s="70"/>
      <c r="J22" s="70"/>
    </row>
    <row r="23" spans="1:10" ht="16.5" x14ac:dyDescent="0.25">
      <c r="A23" s="17" t="s">
        <v>1354</v>
      </c>
      <c r="E23" s="70"/>
      <c r="F23" s="70"/>
      <c r="G23" s="70"/>
      <c r="I23" s="70"/>
      <c r="J23" s="70"/>
    </row>
    <row r="24" spans="1:10" x14ac:dyDescent="0.25">
      <c r="A24" s="17" t="s">
        <v>1355</v>
      </c>
    </row>
    <row r="25" spans="1:10" x14ac:dyDescent="0.25">
      <c r="A25" s="17" t="s">
        <v>1356</v>
      </c>
    </row>
    <row r="26" spans="1:10" x14ac:dyDescent="0.25">
      <c r="A26" s="17"/>
    </row>
    <row r="27" spans="1:10" x14ac:dyDescent="0.25">
      <c r="A27" s="15" t="s">
        <v>13</v>
      </c>
      <c r="C27" s="16"/>
    </row>
    <row r="28" spans="1:10" x14ac:dyDescent="0.25">
      <c r="A28" s="17" t="s">
        <v>1357</v>
      </c>
      <c r="C28" s="16"/>
    </row>
    <row r="29" spans="1:10" x14ac:dyDescent="0.25">
      <c r="C29" s="16"/>
    </row>
    <row r="30" spans="1:10" x14ac:dyDescent="0.25">
      <c r="A30" s="11" t="s">
        <v>1346</v>
      </c>
      <c r="C30" s="331" t="s">
        <v>1347</v>
      </c>
      <c r="F30" s="18"/>
    </row>
    <row r="31" spans="1:10" x14ac:dyDescent="0.25">
      <c r="C31" s="16"/>
    </row>
    <row r="32" spans="1:10" x14ac:dyDescent="0.25">
      <c r="A32" s="68" t="s">
        <v>15</v>
      </c>
      <c r="B32" s="71"/>
      <c r="C32" s="71"/>
      <c r="D32" s="71"/>
    </row>
    <row r="33" spans="1:83" x14ac:dyDescent="0.25">
      <c r="A33" s="17" t="s">
        <v>16</v>
      </c>
      <c r="B33" s="71"/>
      <c r="C33" s="71"/>
      <c r="D33" s="71"/>
    </row>
    <row r="34" spans="1:83" ht="16.5" x14ac:dyDescent="0.25">
      <c r="A34" s="17" t="s">
        <v>17</v>
      </c>
      <c r="B34" s="70"/>
      <c r="C34" s="70"/>
      <c r="D34" s="70"/>
    </row>
    <row r="35" spans="1:83" ht="16.5" x14ac:dyDescent="0.25">
      <c r="B35" s="70"/>
      <c r="C35" s="70"/>
      <c r="D35" s="70"/>
    </row>
    <row r="36" spans="1:83" x14ac:dyDescent="0.25">
      <c r="A36" s="332" t="s">
        <v>18</v>
      </c>
      <c r="B36" s="333"/>
      <c r="C36" s="334"/>
      <c r="D36" s="333"/>
      <c r="E36" s="333"/>
      <c r="F36" s="333"/>
      <c r="G36" s="333"/>
    </row>
    <row r="37" spans="1:83" x14ac:dyDescent="0.25">
      <c r="A37" s="335" t="s">
        <v>1339</v>
      </c>
      <c r="B37" s="336"/>
      <c r="C37" s="334"/>
      <c r="D37" s="333"/>
      <c r="E37" s="333"/>
      <c r="F37" s="333"/>
      <c r="G37" s="333"/>
    </row>
    <row r="38" spans="1:83" x14ac:dyDescent="0.25">
      <c r="A38" s="339" t="s">
        <v>1358</v>
      </c>
      <c r="B38" s="336"/>
      <c r="C38" s="334"/>
      <c r="D38" s="333"/>
      <c r="E38" s="333"/>
      <c r="F38" s="333"/>
      <c r="G38" s="333"/>
    </row>
    <row r="39" spans="1:83" x14ac:dyDescent="0.25">
      <c r="A39" s="338" t="s">
        <v>1340</v>
      </c>
      <c r="B39" s="333"/>
      <c r="C39" s="334"/>
      <c r="D39" s="333"/>
      <c r="E39" s="333"/>
      <c r="F39" s="333"/>
      <c r="G39" s="333"/>
    </row>
    <row r="40" spans="1:83" x14ac:dyDescent="0.25">
      <c r="A40" s="339" t="s">
        <v>1359</v>
      </c>
      <c r="B40" s="333"/>
      <c r="C40" s="334"/>
      <c r="D40" s="333"/>
      <c r="E40" s="333"/>
      <c r="F40" s="333"/>
      <c r="G40" s="333"/>
    </row>
    <row r="41" spans="1:83" x14ac:dyDescent="0.25">
      <c r="C41" s="16"/>
    </row>
    <row r="42" spans="1:83" x14ac:dyDescent="0.25">
      <c r="A42" s="11" t="s">
        <v>19</v>
      </c>
      <c r="C42" s="16"/>
      <c r="F42" s="18" t="s">
        <v>14</v>
      </c>
    </row>
    <row r="43" spans="1:83" x14ac:dyDescent="0.25">
      <c r="A43" s="18" t="s">
        <v>20</v>
      </c>
      <c r="C43" s="16"/>
    </row>
    <row r="44" spans="1:83" x14ac:dyDescent="0.25">
      <c r="A44" s="19"/>
      <c r="B44" s="19"/>
      <c r="C44" s="20" t="s">
        <v>21</v>
      </c>
      <c r="D44" s="21" t="s">
        <v>22</v>
      </c>
      <c r="E44" s="21" t="s">
        <v>23</v>
      </c>
      <c r="F44" s="21" t="s">
        <v>24</v>
      </c>
      <c r="G44" s="21" t="s">
        <v>25</v>
      </c>
      <c r="H44" s="21" t="s">
        <v>26</v>
      </c>
      <c r="I44" s="21" t="s">
        <v>27</v>
      </c>
      <c r="J44" s="21" t="s">
        <v>28</v>
      </c>
      <c r="K44" s="21" t="s">
        <v>29</v>
      </c>
      <c r="L44" s="21" t="s">
        <v>30</v>
      </c>
      <c r="M44" s="21" t="s">
        <v>31</v>
      </c>
      <c r="N44" s="21" t="s">
        <v>32</v>
      </c>
      <c r="O44" s="21" t="s">
        <v>33</v>
      </c>
      <c r="P44" s="21" t="s">
        <v>34</v>
      </c>
      <c r="Q44" s="21" t="s">
        <v>35</v>
      </c>
      <c r="R44" s="21" t="s">
        <v>36</v>
      </c>
      <c r="S44" s="21" t="s">
        <v>37</v>
      </c>
      <c r="T44" s="21" t="s">
        <v>38</v>
      </c>
      <c r="U44" s="21" t="s">
        <v>39</v>
      </c>
      <c r="V44" s="21" t="s">
        <v>40</v>
      </c>
      <c r="W44" s="21" t="s">
        <v>41</v>
      </c>
      <c r="X44" s="21" t="s">
        <v>42</v>
      </c>
      <c r="Y44" s="21" t="s">
        <v>43</v>
      </c>
      <c r="Z44" s="21" t="s">
        <v>44</v>
      </c>
      <c r="AA44" s="21" t="s">
        <v>45</v>
      </c>
      <c r="AB44" s="21" t="s">
        <v>46</v>
      </c>
      <c r="AC44" s="21" t="s">
        <v>47</v>
      </c>
      <c r="AD44" s="21" t="s">
        <v>48</v>
      </c>
      <c r="AE44" s="21" t="s">
        <v>49</v>
      </c>
      <c r="AF44" s="21" t="s">
        <v>50</v>
      </c>
      <c r="AG44" s="21" t="s">
        <v>51</v>
      </c>
      <c r="AH44" s="21" t="s">
        <v>52</v>
      </c>
      <c r="AI44" s="21" t="s">
        <v>53</v>
      </c>
      <c r="AJ44" s="21" t="s">
        <v>54</v>
      </c>
      <c r="AK44" s="21" t="s">
        <v>55</v>
      </c>
      <c r="AL44" s="21" t="s">
        <v>56</v>
      </c>
      <c r="AM44" s="21" t="s">
        <v>57</v>
      </c>
      <c r="AN44" s="21" t="s">
        <v>58</v>
      </c>
      <c r="AO44" s="21" t="s">
        <v>59</v>
      </c>
      <c r="AP44" s="21" t="s">
        <v>60</v>
      </c>
      <c r="AQ44" s="21" t="s">
        <v>61</v>
      </c>
      <c r="AR44" s="21" t="s">
        <v>62</v>
      </c>
      <c r="AS44" s="21" t="s">
        <v>63</v>
      </c>
      <c r="AT44" s="21" t="s">
        <v>64</v>
      </c>
      <c r="AU44" s="21" t="s">
        <v>65</v>
      </c>
      <c r="AV44" s="21" t="s">
        <v>66</v>
      </c>
      <c r="AW44" s="21" t="s">
        <v>67</v>
      </c>
      <c r="AX44" s="21" t="s">
        <v>68</v>
      </c>
      <c r="AY44" s="21" t="s">
        <v>69</v>
      </c>
      <c r="AZ44" s="21" t="s">
        <v>70</v>
      </c>
      <c r="BA44" s="21" t="s">
        <v>71</v>
      </c>
      <c r="BB44" s="21" t="s">
        <v>72</v>
      </c>
      <c r="BC44" s="21" t="s">
        <v>73</v>
      </c>
      <c r="BD44" s="21" t="s">
        <v>74</v>
      </c>
      <c r="BE44" s="21" t="s">
        <v>75</v>
      </c>
      <c r="BF44" s="21" t="s">
        <v>76</v>
      </c>
      <c r="BG44" s="21" t="s">
        <v>77</v>
      </c>
      <c r="BH44" s="21" t="s">
        <v>78</v>
      </c>
      <c r="BI44" s="21" t="s">
        <v>79</v>
      </c>
      <c r="BJ44" s="21" t="s">
        <v>80</v>
      </c>
      <c r="BK44" s="21" t="s">
        <v>81</v>
      </c>
      <c r="BL44" s="21" t="s">
        <v>82</v>
      </c>
      <c r="BM44" s="21" t="s">
        <v>83</v>
      </c>
      <c r="BN44" s="21" t="s">
        <v>84</v>
      </c>
      <c r="BO44" s="21" t="s">
        <v>85</v>
      </c>
      <c r="BP44" s="21" t="s">
        <v>86</v>
      </c>
      <c r="BQ44" s="21" t="s">
        <v>87</v>
      </c>
      <c r="BR44" s="21" t="s">
        <v>88</v>
      </c>
      <c r="BS44" s="21" t="s">
        <v>89</v>
      </c>
      <c r="BT44" s="21" t="s">
        <v>90</v>
      </c>
      <c r="BU44" s="21" t="s">
        <v>91</v>
      </c>
      <c r="BV44" s="21" t="s">
        <v>92</v>
      </c>
      <c r="BW44" s="21" t="s">
        <v>93</v>
      </c>
      <c r="BX44" s="21" t="s">
        <v>94</v>
      </c>
      <c r="BY44" s="21" t="s">
        <v>95</v>
      </c>
      <c r="BZ44" s="21" t="s">
        <v>96</v>
      </c>
      <c r="CA44" s="21" t="s">
        <v>97</v>
      </c>
      <c r="CB44" s="21" t="s">
        <v>98</v>
      </c>
      <c r="CC44" s="21" t="s">
        <v>99</v>
      </c>
      <c r="CD44" s="21" t="s">
        <v>100</v>
      </c>
      <c r="CE44" s="21" t="s">
        <v>101</v>
      </c>
    </row>
    <row r="45" spans="1:83" x14ac:dyDescent="0.25">
      <c r="A45" s="19"/>
      <c r="B45" s="22" t="s">
        <v>102</v>
      </c>
      <c r="C45" s="20" t="s">
        <v>103</v>
      </c>
      <c r="D45" s="21" t="s">
        <v>104</v>
      </c>
      <c r="E45" s="21" t="s">
        <v>105</v>
      </c>
      <c r="F45" s="21" t="s">
        <v>106</v>
      </c>
      <c r="G45" s="21" t="s">
        <v>107</v>
      </c>
      <c r="H45" s="21" t="s">
        <v>108</v>
      </c>
      <c r="I45" s="21" t="s">
        <v>109</v>
      </c>
      <c r="J45" s="21" t="s">
        <v>110</v>
      </c>
      <c r="K45" s="21" t="s">
        <v>111</v>
      </c>
      <c r="L45" s="21" t="s">
        <v>112</v>
      </c>
      <c r="M45" s="21" t="s">
        <v>113</v>
      </c>
      <c r="N45" s="21" t="s">
        <v>114</v>
      </c>
      <c r="O45" s="21" t="s">
        <v>115</v>
      </c>
      <c r="P45" s="21" t="s">
        <v>116</v>
      </c>
      <c r="Q45" s="21" t="s">
        <v>117</v>
      </c>
      <c r="R45" s="21" t="s">
        <v>118</v>
      </c>
      <c r="S45" s="21" t="s">
        <v>119</v>
      </c>
      <c r="T45" s="21" t="s">
        <v>120</v>
      </c>
      <c r="U45" s="21" t="s">
        <v>121</v>
      </c>
      <c r="V45" s="21" t="s">
        <v>122</v>
      </c>
      <c r="W45" s="21" t="s">
        <v>123</v>
      </c>
      <c r="X45" s="21" t="s">
        <v>124</v>
      </c>
      <c r="Y45" s="21" t="s">
        <v>125</v>
      </c>
      <c r="Z45" s="21" t="s">
        <v>125</v>
      </c>
      <c r="AA45" s="21" t="s">
        <v>126</v>
      </c>
      <c r="AB45" s="21" t="s">
        <v>127</v>
      </c>
      <c r="AC45" s="21" t="s">
        <v>128</v>
      </c>
      <c r="AD45" s="21" t="s">
        <v>129</v>
      </c>
      <c r="AE45" s="21" t="s">
        <v>107</v>
      </c>
      <c r="AF45" s="21" t="s">
        <v>108</v>
      </c>
      <c r="AG45" s="21" t="s">
        <v>130</v>
      </c>
      <c r="AH45" s="21" t="s">
        <v>131</v>
      </c>
      <c r="AI45" s="21" t="s">
        <v>132</v>
      </c>
      <c r="AJ45" s="21" t="s">
        <v>133</v>
      </c>
      <c r="AK45" s="21" t="s">
        <v>134</v>
      </c>
      <c r="AL45" s="21" t="s">
        <v>135</v>
      </c>
      <c r="AM45" s="21" t="s">
        <v>136</v>
      </c>
      <c r="AN45" s="21" t="s">
        <v>122</v>
      </c>
      <c r="AO45" s="21" t="s">
        <v>137</v>
      </c>
      <c r="AP45" s="21" t="s">
        <v>138</v>
      </c>
      <c r="AQ45" s="21" t="s">
        <v>139</v>
      </c>
      <c r="AR45" s="21" t="s">
        <v>140</v>
      </c>
      <c r="AS45" s="21" t="s">
        <v>141</v>
      </c>
      <c r="AT45" s="21" t="s">
        <v>142</v>
      </c>
      <c r="AU45" s="21" t="s">
        <v>143</v>
      </c>
      <c r="AV45" s="21" t="s">
        <v>144</v>
      </c>
      <c r="AW45" s="21" t="s">
        <v>145</v>
      </c>
      <c r="AX45" s="21" t="s">
        <v>146</v>
      </c>
      <c r="AY45" s="21" t="s">
        <v>147</v>
      </c>
      <c r="AZ45" s="21" t="s">
        <v>148</v>
      </c>
      <c r="BA45" s="21" t="s">
        <v>149</v>
      </c>
      <c r="BB45" s="21" t="s">
        <v>150</v>
      </c>
      <c r="BC45" s="21" t="s">
        <v>119</v>
      </c>
      <c r="BD45" s="21" t="s">
        <v>151</v>
      </c>
      <c r="BE45" s="21" t="s">
        <v>152</v>
      </c>
      <c r="BF45" s="21" t="s">
        <v>153</v>
      </c>
      <c r="BG45" s="21" t="s">
        <v>154</v>
      </c>
      <c r="BH45" s="21" t="s">
        <v>155</v>
      </c>
      <c r="BI45" s="21" t="s">
        <v>156</v>
      </c>
      <c r="BJ45" s="21" t="s">
        <v>157</v>
      </c>
      <c r="BK45" s="21" t="s">
        <v>158</v>
      </c>
      <c r="BL45" s="21" t="s">
        <v>159</v>
      </c>
      <c r="BM45" s="21" t="s">
        <v>144</v>
      </c>
      <c r="BN45" s="21" t="s">
        <v>160</v>
      </c>
      <c r="BO45" s="21" t="s">
        <v>161</v>
      </c>
      <c r="BP45" s="21" t="s">
        <v>162</v>
      </c>
      <c r="BQ45" s="21" t="s">
        <v>163</v>
      </c>
      <c r="BR45" s="21" t="s">
        <v>164</v>
      </c>
      <c r="BS45" s="21" t="s">
        <v>165</v>
      </c>
      <c r="BT45" s="21" t="s">
        <v>166</v>
      </c>
      <c r="BU45" s="21" t="s">
        <v>167</v>
      </c>
      <c r="BV45" s="21" t="s">
        <v>167</v>
      </c>
      <c r="BW45" s="21" t="s">
        <v>167</v>
      </c>
      <c r="BX45" s="21" t="s">
        <v>168</v>
      </c>
      <c r="BY45" s="21" t="s">
        <v>169</v>
      </c>
      <c r="BZ45" s="21" t="s">
        <v>170</v>
      </c>
      <c r="CA45" s="21" t="s">
        <v>171</v>
      </c>
      <c r="CB45" s="21" t="s">
        <v>172</v>
      </c>
      <c r="CC45" s="21" t="s">
        <v>144</v>
      </c>
      <c r="CD45" s="21"/>
      <c r="CE45" s="21" t="s">
        <v>173</v>
      </c>
    </row>
    <row r="46" spans="1:83" x14ac:dyDescent="0.25">
      <c r="A46" s="19" t="s">
        <v>9</v>
      </c>
      <c r="B46" s="21" t="s">
        <v>174</v>
      </c>
      <c r="C46" s="20" t="s">
        <v>175</v>
      </c>
      <c r="D46" s="21" t="s">
        <v>175</v>
      </c>
      <c r="E46" s="21" t="s">
        <v>175</v>
      </c>
      <c r="F46" s="21" t="s">
        <v>176</v>
      </c>
      <c r="G46" s="21" t="s">
        <v>177</v>
      </c>
      <c r="H46" s="21" t="s">
        <v>175</v>
      </c>
      <c r="I46" s="21" t="s">
        <v>178</v>
      </c>
      <c r="J46" s="21"/>
      <c r="K46" s="21" t="s">
        <v>169</v>
      </c>
      <c r="L46" s="21" t="s">
        <v>179</v>
      </c>
      <c r="M46" s="21" t="s">
        <v>180</v>
      </c>
      <c r="N46" s="21" t="s">
        <v>181</v>
      </c>
      <c r="O46" s="21" t="s">
        <v>182</v>
      </c>
      <c r="P46" s="21" t="s">
        <v>181</v>
      </c>
      <c r="Q46" s="21" t="s">
        <v>183</v>
      </c>
      <c r="R46" s="21"/>
      <c r="S46" s="21" t="s">
        <v>181</v>
      </c>
      <c r="T46" s="21" t="s">
        <v>184</v>
      </c>
      <c r="U46" s="21"/>
      <c r="V46" s="21" t="s">
        <v>185</v>
      </c>
      <c r="W46" s="21" t="s">
        <v>186</v>
      </c>
      <c r="X46" s="21" t="s">
        <v>187</v>
      </c>
      <c r="Y46" s="21" t="s">
        <v>188</v>
      </c>
      <c r="Z46" s="21" t="s">
        <v>189</v>
      </c>
      <c r="AA46" s="21" t="s">
        <v>190</v>
      </c>
      <c r="AB46" s="21"/>
      <c r="AC46" s="21" t="s">
        <v>184</v>
      </c>
      <c r="AD46" s="21"/>
      <c r="AE46" s="21" t="s">
        <v>184</v>
      </c>
      <c r="AF46" s="21" t="s">
        <v>191</v>
      </c>
      <c r="AG46" s="21" t="s">
        <v>183</v>
      </c>
      <c r="AH46" s="21"/>
      <c r="AI46" s="21" t="s">
        <v>192</v>
      </c>
      <c r="AJ46" s="21"/>
      <c r="AK46" s="21" t="s">
        <v>184</v>
      </c>
      <c r="AL46" s="21" t="s">
        <v>184</v>
      </c>
      <c r="AM46" s="21" t="s">
        <v>184</v>
      </c>
      <c r="AN46" s="21" t="s">
        <v>193</v>
      </c>
      <c r="AO46" s="21" t="s">
        <v>194</v>
      </c>
      <c r="AP46" s="21" t="s">
        <v>133</v>
      </c>
      <c r="AQ46" s="21" t="s">
        <v>195</v>
      </c>
      <c r="AR46" s="21" t="s">
        <v>181</v>
      </c>
      <c r="AS46" s="21"/>
      <c r="AT46" s="21" t="s">
        <v>196</v>
      </c>
      <c r="AU46" s="21" t="s">
        <v>197</v>
      </c>
      <c r="AV46" s="21" t="s">
        <v>198</v>
      </c>
      <c r="AW46" s="21" t="s">
        <v>199</v>
      </c>
      <c r="AX46" s="21" t="s">
        <v>200</v>
      </c>
      <c r="AY46" s="21"/>
      <c r="AZ46" s="21"/>
      <c r="BA46" s="21" t="s">
        <v>201</v>
      </c>
      <c r="BB46" s="21" t="s">
        <v>181</v>
      </c>
      <c r="BC46" s="21" t="s">
        <v>195</v>
      </c>
      <c r="BD46" s="21"/>
      <c r="BE46" s="21"/>
      <c r="BF46" s="21"/>
      <c r="BG46" s="21"/>
      <c r="BH46" s="21" t="s">
        <v>202</v>
      </c>
      <c r="BI46" s="21" t="s">
        <v>181</v>
      </c>
      <c r="BJ46" s="21"/>
      <c r="BK46" s="21" t="s">
        <v>203</v>
      </c>
      <c r="BL46" s="21"/>
      <c r="BM46" s="21" t="s">
        <v>204</v>
      </c>
      <c r="BN46" s="21" t="s">
        <v>205</v>
      </c>
      <c r="BO46" s="21" t="s">
        <v>206</v>
      </c>
      <c r="BP46" s="21" t="s">
        <v>207</v>
      </c>
      <c r="BQ46" s="21" t="s">
        <v>208</v>
      </c>
      <c r="BR46" s="21"/>
      <c r="BS46" s="21" t="s">
        <v>209</v>
      </c>
      <c r="BT46" s="21" t="s">
        <v>181</v>
      </c>
      <c r="BU46" s="21" t="s">
        <v>210</v>
      </c>
      <c r="BV46" s="21" t="s">
        <v>211</v>
      </c>
      <c r="BW46" s="21" t="s">
        <v>212</v>
      </c>
      <c r="BX46" s="21" t="s">
        <v>163</v>
      </c>
      <c r="BY46" s="21" t="s">
        <v>205</v>
      </c>
      <c r="BZ46" s="21" t="s">
        <v>164</v>
      </c>
      <c r="CA46" s="21" t="s">
        <v>213</v>
      </c>
      <c r="CB46" s="21" t="s">
        <v>213</v>
      </c>
      <c r="CC46" s="21" t="s">
        <v>214</v>
      </c>
      <c r="CD46" s="21"/>
      <c r="CE46" s="21" t="s">
        <v>215</v>
      </c>
    </row>
    <row r="47" spans="1:83" x14ac:dyDescent="0.25">
      <c r="A47" s="19" t="s">
        <v>216</v>
      </c>
      <c r="B47" s="310"/>
      <c r="C47" s="23">
        <v>3510195.42</v>
      </c>
      <c r="D47" s="23">
        <v>1697587.0699999998</v>
      </c>
      <c r="E47" s="23">
        <v>6127370.040000001</v>
      </c>
      <c r="F47" s="23">
        <v>283688.26</v>
      </c>
      <c r="G47" s="23">
        <v>479752.38000000006</v>
      </c>
      <c r="H47" s="23">
        <v>0</v>
      </c>
      <c r="I47" s="23">
        <v>0</v>
      </c>
      <c r="J47" s="23">
        <v>0</v>
      </c>
      <c r="K47" s="23">
        <v>0</v>
      </c>
      <c r="L47" s="23">
        <v>0</v>
      </c>
      <c r="M47" s="23">
        <f>1112973.29+248364.31</f>
        <v>1361337.6</v>
      </c>
      <c r="N47" s="23">
        <v>3308679.94</v>
      </c>
      <c r="O47" s="23">
        <v>4275607.5200000005</v>
      </c>
      <c r="P47" s="23">
        <v>2392764.4900000002</v>
      </c>
      <c r="Q47" s="23">
        <v>1479250.64</v>
      </c>
      <c r="R47" s="23">
        <v>77166.84</v>
      </c>
      <c r="S47" s="23">
        <v>592832.23</v>
      </c>
      <c r="T47" s="23">
        <v>0</v>
      </c>
      <c r="U47" s="23">
        <v>1619077.13</v>
      </c>
      <c r="V47" s="23">
        <v>50248.91</v>
      </c>
      <c r="W47" s="23">
        <v>139854.22</v>
      </c>
      <c r="X47" s="23">
        <v>282458.73</v>
      </c>
      <c r="Y47" s="23">
        <v>3970021.79</v>
      </c>
      <c r="Z47" s="23">
        <v>802668.28000000014</v>
      </c>
      <c r="AA47" s="23">
        <v>97708.88</v>
      </c>
      <c r="AB47" s="23">
        <v>1545735.16</v>
      </c>
      <c r="AC47" s="23">
        <v>646699.36</v>
      </c>
      <c r="AD47" s="23">
        <v>0</v>
      </c>
      <c r="AE47" s="23">
        <v>1488326.4600000002</v>
      </c>
      <c r="AF47" s="23">
        <v>0</v>
      </c>
      <c r="AG47" s="23">
        <v>2823413.7599999998</v>
      </c>
      <c r="AH47" s="23">
        <v>0</v>
      </c>
      <c r="AI47" s="23">
        <v>0</v>
      </c>
      <c r="AJ47" s="23">
        <v>14902105.329999998</v>
      </c>
      <c r="AK47" s="23">
        <v>0</v>
      </c>
      <c r="AL47" s="23">
        <v>0</v>
      </c>
      <c r="AM47" s="23">
        <v>0</v>
      </c>
      <c r="AN47" s="23">
        <v>0</v>
      </c>
      <c r="AO47" s="23">
        <v>0</v>
      </c>
      <c r="AP47" s="23">
        <v>10785872.989999998</v>
      </c>
      <c r="AQ47" s="23">
        <v>0</v>
      </c>
      <c r="AR47" s="23">
        <f>10832874.18+2235278.75</f>
        <v>13068152.93</v>
      </c>
      <c r="AS47" s="23">
        <v>0</v>
      </c>
      <c r="AT47" s="23">
        <v>0</v>
      </c>
      <c r="AU47" s="23">
        <v>0</v>
      </c>
      <c r="AV47" s="23">
        <v>633130.84999999986</v>
      </c>
      <c r="AW47" s="23">
        <v>390304.94999999995</v>
      </c>
      <c r="AX47" s="23">
        <v>0</v>
      </c>
      <c r="AY47" s="23">
        <v>0</v>
      </c>
      <c r="AZ47" s="23">
        <v>984284.35000000009</v>
      </c>
      <c r="BA47" s="23">
        <v>114825.24</v>
      </c>
      <c r="BB47" s="23">
        <v>0</v>
      </c>
      <c r="BC47" s="23">
        <v>112886.35</v>
      </c>
      <c r="BD47" s="23">
        <v>756121.72</v>
      </c>
      <c r="BE47" s="23">
        <v>1046406.3699999999</v>
      </c>
      <c r="BF47" s="23">
        <v>1747324.7600000002</v>
      </c>
      <c r="BG47" s="23">
        <v>273333.38</v>
      </c>
      <c r="BH47" s="23">
        <v>2806412.91</v>
      </c>
      <c r="BI47" s="23">
        <v>510306.54000000004</v>
      </c>
      <c r="BJ47" s="23">
        <v>423290.06000000006</v>
      </c>
      <c r="BK47" s="23">
        <v>1605971.7400000002</v>
      </c>
      <c r="BL47" s="23">
        <v>1536857.9100000001</v>
      </c>
      <c r="BM47" s="23">
        <v>1166256.0999999999</v>
      </c>
      <c r="BN47" s="23">
        <v>1259321.5500000003</v>
      </c>
      <c r="BO47" s="23">
        <v>277989.00000000006</v>
      </c>
      <c r="BP47" s="23">
        <v>356864.70999999996</v>
      </c>
      <c r="BQ47" s="23">
        <v>116189.56</v>
      </c>
      <c r="BR47" s="23">
        <f>823470.84+4335276.66</f>
        <v>5158747.5</v>
      </c>
      <c r="BS47" s="23">
        <v>122574.56</v>
      </c>
      <c r="BT47" s="23">
        <v>56661.05</v>
      </c>
      <c r="BU47" s="23">
        <v>0</v>
      </c>
      <c r="BV47" s="23">
        <v>1231878.94</v>
      </c>
      <c r="BW47" s="23">
        <v>163853.61000000002</v>
      </c>
      <c r="BX47" s="23">
        <v>1369684.56</v>
      </c>
      <c r="BY47" s="23">
        <v>374354.22</v>
      </c>
      <c r="BZ47" s="23">
        <v>1188814.1100000001</v>
      </c>
      <c r="CA47" s="23">
        <v>399257.71</v>
      </c>
      <c r="CB47" s="23">
        <v>1862525.95</v>
      </c>
      <c r="CC47" s="23">
        <f>1049569.21+126776.07</f>
        <v>1176345.28</v>
      </c>
      <c r="CD47" s="19"/>
      <c r="CE47" s="31">
        <f>SUM(C47:CC47)</f>
        <v>107031351.89999995</v>
      </c>
    </row>
    <row r="48" spans="1:83" x14ac:dyDescent="0.25">
      <c r="A48" s="31" t="s">
        <v>217</v>
      </c>
      <c r="B48" s="310"/>
      <c r="C48" s="31" t="b">
        <f>IF($B$48,(ROUND((($B$48/$CE$61)*C61),0)))</f>
        <v>0</v>
      </c>
      <c r="D48" s="31" t="b">
        <f t="shared" ref="D48:BO48" si="0">IF($B$48,(ROUND((($B$48/$CE$61)*D61),0)))</f>
        <v>0</v>
      </c>
      <c r="E48" s="31" t="b">
        <f t="shared" si="0"/>
        <v>0</v>
      </c>
      <c r="F48" s="31" t="b">
        <f t="shared" si="0"/>
        <v>0</v>
      </c>
      <c r="G48" s="31" t="b">
        <f t="shared" si="0"/>
        <v>0</v>
      </c>
      <c r="H48" s="31" t="b">
        <f t="shared" si="0"/>
        <v>0</v>
      </c>
      <c r="I48" s="31" t="b">
        <f t="shared" si="0"/>
        <v>0</v>
      </c>
      <c r="J48" s="31" t="b">
        <f t="shared" si="0"/>
        <v>0</v>
      </c>
      <c r="K48" s="31" t="b">
        <f t="shared" si="0"/>
        <v>0</v>
      </c>
      <c r="L48" s="31" t="b">
        <f t="shared" si="0"/>
        <v>0</v>
      </c>
      <c r="M48" s="31" t="b">
        <f t="shared" si="0"/>
        <v>0</v>
      </c>
      <c r="N48" s="31" t="b">
        <f t="shared" si="0"/>
        <v>0</v>
      </c>
      <c r="O48" s="31" t="b">
        <f t="shared" si="0"/>
        <v>0</v>
      </c>
      <c r="P48" s="31" t="b">
        <f t="shared" si="0"/>
        <v>0</v>
      </c>
      <c r="Q48" s="31" t="b">
        <f t="shared" si="0"/>
        <v>0</v>
      </c>
      <c r="R48" s="31" t="b">
        <f t="shared" si="0"/>
        <v>0</v>
      </c>
      <c r="S48" s="31" t="b">
        <f t="shared" si="0"/>
        <v>0</v>
      </c>
      <c r="T48" s="31" t="b">
        <f t="shared" si="0"/>
        <v>0</v>
      </c>
      <c r="U48" s="31" t="b">
        <f t="shared" si="0"/>
        <v>0</v>
      </c>
      <c r="V48" s="31" t="b">
        <f t="shared" si="0"/>
        <v>0</v>
      </c>
      <c r="W48" s="31" t="b">
        <f t="shared" si="0"/>
        <v>0</v>
      </c>
      <c r="X48" s="31" t="b">
        <f t="shared" si="0"/>
        <v>0</v>
      </c>
      <c r="Y48" s="31" t="b">
        <f t="shared" si="0"/>
        <v>0</v>
      </c>
      <c r="Z48" s="31" t="b">
        <f t="shared" si="0"/>
        <v>0</v>
      </c>
      <c r="AA48" s="31" t="b">
        <f t="shared" si="0"/>
        <v>0</v>
      </c>
      <c r="AB48" s="31" t="b">
        <f t="shared" si="0"/>
        <v>0</v>
      </c>
      <c r="AC48" s="31" t="b">
        <f t="shared" si="0"/>
        <v>0</v>
      </c>
      <c r="AD48" s="31" t="b">
        <f t="shared" si="0"/>
        <v>0</v>
      </c>
      <c r="AE48" s="31" t="b">
        <f t="shared" si="0"/>
        <v>0</v>
      </c>
      <c r="AF48" s="31" t="b">
        <f t="shared" si="0"/>
        <v>0</v>
      </c>
      <c r="AG48" s="31" t="b">
        <f t="shared" si="0"/>
        <v>0</v>
      </c>
      <c r="AH48" s="31" t="b">
        <f t="shared" si="0"/>
        <v>0</v>
      </c>
      <c r="AI48" s="31" t="b">
        <f t="shared" si="0"/>
        <v>0</v>
      </c>
      <c r="AJ48" s="31" t="b">
        <f t="shared" si="0"/>
        <v>0</v>
      </c>
      <c r="AK48" s="31" t="b">
        <f t="shared" si="0"/>
        <v>0</v>
      </c>
      <c r="AL48" s="31" t="b">
        <f t="shared" si="0"/>
        <v>0</v>
      </c>
      <c r="AM48" s="31" t="b">
        <f t="shared" si="0"/>
        <v>0</v>
      </c>
      <c r="AN48" s="31" t="b">
        <f t="shared" si="0"/>
        <v>0</v>
      </c>
      <c r="AO48" s="31" t="b">
        <f t="shared" si="0"/>
        <v>0</v>
      </c>
      <c r="AP48" s="31" t="b">
        <f t="shared" si="0"/>
        <v>0</v>
      </c>
      <c r="AQ48" s="31" t="b">
        <f t="shared" si="0"/>
        <v>0</v>
      </c>
      <c r="AR48" s="31" t="b">
        <f t="shared" si="0"/>
        <v>0</v>
      </c>
      <c r="AS48" s="31" t="b">
        <f t="shared" si="0"/>
        <v>0</v>
      </c>
      <c r="AT48" s="31" t="b">
        <f t="shared" si="0"/>
        <v>0</v>
      </c>
      <c r="AU48" s="31" t="b">
        <f t="shared" si="0"/>
        <v>0</v>
      </c>
      <c r="AV48" s="31" t="b">
        <f t="shared" si="0"/>
        <v>0</v>
      </c>
      <c r="AW48" s="31" t="b">
        <f t="shared" si="0"/>
        <v>0</v>
      </c>
      <c r="AX48" s="31" t="b">
        <f t="shared" si="0"/>
        <v>0</v>
      </c>
      <c r="AY48" s="31" t="b">
        <f t="shared" si="0"/>
        <v>0</v>
      </c>
      <c r="AZ48" s="31" t="b">
        <f t="shared" si="0"/>
        <v>0</v>
      </c>
      <c r="BA48" s="31" t="b">
        <f t="shared" si="0"/>
        <v>0</v>
      </c>
      <c r="BB48" s="31" t="b">
        <f t="shared" si="0"/>
        <v>0</v>
      </c>
      <c r="BC48" s="31" t="b">
        <f t="shared" si="0"/>
        <v>0</v>
      </c>
      <c r="BD48" s="31" t="b">
        <f t="shared" si="0"/>
        <v>0</v>
      </c>
      <c r="BE48" s="31" t="b">
        <f t="shared" si="0"/>
        <v>0</v>
      </c>
      <c r="BF48" s="31" t="b">
        <f t="shared" si="0"/>
        <v>0</v>
      </c>
      <c r="BG48" s="31" t="b">
        <f t="shared" si="0"/>
        <v>0</v>
      </c>
      <c r="BH48" s="31" t="b">
        <f t="shared" si="0"/>
        <v>0</v>
      </c>
      <c r="BI48" s="31" t="b">
        <f t="shared" si="0"/>
        <v>0</v>
      </c>
      <c r="BJ48" s="31" t="b">
        <f t="shared" si="0"/>
        <v>0</v>
      </c>
      <c r="BK48" s="31" t="b">
        <f t="shared" si="0"/>
        <v>0</v>
      </c>
      <c r="BL48" s="31" t="b">
        <f t="shared" si="0"/>
        <v>0</v>
      </c>
      <c r="BM48" s="31" t="b">
        <f t="shared" si="0"/>
        <v>0</v>
      </c>
      <c r="BN48" s="31" t="b">
        <f t="shared" si="0"/>
        <v>0</v>
      </c>
      <c r="BO48" s="31" t="b">
        <f t="shared" si="0"/>
        <v>0</v>
      </c>
      <c r="BP48" s="31" t="b">
        <f t="shared" ref="BP48:CD48" si="1">IF($B$48,(ROUND((($B$48/$CE$61)*BP61),0)))</f>
        <v>0</v>
      </c>
      <c r="BQ48" s="31" t="b">
        <f t="shared" si="1"/>
        <v>0</v>
      </c>
      <c r="BR48" s="31" t="b">
        <f t="shared" si="1"/>
        <v>0</v>
      </c>
      <c r="BS48" s="31" t="b">
        <f t="shared" si="1"/>
        <v>0</v>
      </c>
      <c r="BT48" s="31" t="b">
        <f t="shared" si="1"/>
        <v>0</v>
      </c>
      <c r="BU48" s="31" t="b">
        <f t="shared" si="1"/>
        <v>0</v>
      </c>
      <c r="BV48" s="31" t="b">
        <f t="shared" si="1"/>
        <v>0</v>
      </c>
      <c r="BW48" s="31" t="b">
        <f t="shared" si="1"/>
        <v>0</v>
      </c>
      <c r="BX48" s="31" t="b">
        <f t="shared" si="1"/>
        <v>0</v>
      </c>
      <c r="BY48" s="31" t="b">
        <f t="shared" si="1"/>
        <v>0</v>
      </c>
      <c r="BZ48" s="31" t="b">
        <f t="shared" si="1"/>
        <v>0</v>
      </c>
      <c r="CA48" s="31" t="b">
        <f t="shared" si="1"/>
        <v>0</v>
      </c>
      <c r="CB48" s="31" t="b">
        <f t="shared" si="1"/>
        <v>0</v>
      </c>
      <c r="CC48" s="31" t="b">
        <f t="shared" si="1"/>
        <v>0</v>
      </c>
      <c r="CD48" s="31" t="b">
        <f t="shared" si="1"/>
        <v>0</v>
      </c>
      <c r="CE48" s="31">
        <f>SUM(C48:CD48)</f>
        <v>0</v>
      </c>
    </row>
    <row r="49" spans="1:83" x14ac:dyDescent="0.25">
      <c r="A49" s="19" t="s">
        <v>218</v>
      </c>
      <c r="B49" s="31">
        <f>B47+B48</f>
        <v>0</v>
      </c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</row>
    <row r="50" spans="1:83" x14ac:dyDescent="0.25">
      <c r="A50" s="19" t="s">
        <v>11</v>
      </c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</row>
    <row r="51" spans="1:83" x14ac:dyDescent="0.25">
      <c r="A51" s="25" t="s">
        <v>219</v>
      </c>
      <c r="B51" s="23"/>
      <c r="C51" s="23">
        <v>2538694.6500000004</v>
      </c>
      <c r="D51" s="23">
        <v>1451636.05</v>
      </c>
      <c r="E51" s="23">
        <v>2151509.36</v>
      </c>
      <c r="F51" s="23">
        <v>1390</v>
      </c>
      <c r="G51" s="23">
        <v>80264.069999999992</v>
      </c>
      <c r="H51" s="23">
        <v>0</v>
      </c>
      <c r="I51" s="23">
        <v>0</v>
      </c>
      <c r="J51" s="23"/>
      <c r="K51" s="23"/>
      <c r="L51" s="23"/>
      <c r="M51" s="23">
        <f>176375.39+61979</f>
        <v>238354.39</v>
      </c>
      <c r="N51" s="23">
        <v>3939.2</v>
      </c>
      <c r="O51" s="23">
        <v>1965992.87</v>
      </c>
      <c r="P51" s="23">
        <v>3673385.13</v>
      </c>
      <c r="Q51" s="23">
        <v>139695.4</v>
      </c>
      <c r="R51" s="23">
        <v>137139.64000000001</v>
      </c>
      <c r="S51" s="23">
        <v>323889.06</v>
      </c>
      <c r="T51" s="23">
        <v>0</v>
      </c>
      <c r="U51" s="23">
        <v>417018.76</v>
      </c>
      <c r="V51" s="23">
        <v>8222.2999999999993</v>
      </c>
      <c r="W51" s="23">
        <v>133895.89000000001</v>
      </c>
      <c r="X51" s="23">
        <v>191088.02</v>
      </c>
      <c r="Y51" s="23">
        <v>3383884.59</v>
      </c>
      <c r="Z51" s="23">
        <v>910224.17</v>
      </c>
      <c r="AA51" s="23">
        <v>37589.789999999994</v>
      </c>
      <c r="AB51" s="23">
        <v>308189.21999999997</v>
      </c>
      <c r="AC51" s="23">
        <v>41261.839999999997</v>
      </c>
      <c r="AD51" s="23">
        <v>0</v>
      </c>
      <c r="AE51" s="23">
        <v>295287.58</v>
      </c>
      <c r="AF51" s="23"/>
      <c r="AG51" s="23">
        <v>1635377.3</v>
      </c>
      <c r="AH51" s="23">
        <v>0</v>
      </c>
      <c r="AI51" s="23">
        <v>0</v>
      </c>
      <c r="AJ51" s="23">
        <v>2873171.1</v>
      </c>
      <c r="AK51" s="23">
        <v>0</v>
      </c>
      <c r="AL51" s="23"/>
      <c r="AM51" s="23"/>
      <c r="AN51" s="23"/>
      <c r="AO51" s="23"/>
      <c r="AP51" s="23">
        <v>7393472.9000000004</v>
      </c>
      <c r="AQ51" s="23"/>
      <c r="AR51" s="23">
        <f>29775.72+557810.67</f>
        <v>587586.39</v>
      </c>
      <c r="AS51" s="23">
        <v>0</v>
      </c>
      <c r="AT51" s="23"/>
      <c r="AU51" s="23"/>
      <c r="AV51" s="23">
        <v>195143.87000000002</v>
      </c>
      <c r="AW51" s="23">
        <v>34863.29</v>
      </c>
      <c r="AX51" s="23">
        <v>466611.82</v>
      </c>
      <c r="AY51" s="23">
        <v>0</v>
      </c>
      <c r="AZ51" s="23">
        <v>745045.44</v>
      </c>
      <c r="BA51" s="23">
        <v>5511</v>
      </c>
      <c r="BB51" s="23">
        <v>0</v>
      </c>
      <c r="BC51" s="23">
        <v>11594.61</v>
      </c>
      <c r="BD51" s="23">
        <v>68465.850000000006</v>
      </c>
      <c r="BE51" s="23">
        <v>8671469.1600000001</v>
      </c>
      <c r="BF51" s="23">
        <v>65001.95</v>
      </c>
      <c r="BG51" s="23">
        <v>58176</v>
      </c>
      <c r="BH51" s="23">
        <v>7013960.6899999995</v>
      </c>
      <c r="BI51" s="23">
        <v>909223.2</v>
      </c>
      <c r="BJ51" s="23">
        <v>37313.040000000001</v>
      </c>
      <c r="BK51" s="23">
        <v>48835.67</v>
      </c>
      <c r="BL51" s="23">
        <v>26203.279999999999</v>
      </c>
      <c r="BM51" s="23">
        <v>12734.66</v>
      </c>
      <c r="BN51" s="23">
        <v>226492.61000000002</v>
      </c>
      <c r="BO51" s="23">
        <v>56925.990000000005</v>
      </c>
      <c r="BP51" s="23">
        <v>74856.47</v>
      </c>
      <c r="BQ51" s="23">
        <v>3057.78</v>
      </c>
      <c r="BR51" s="23">
        <v>6527.98</v>
      </c>
      <c r="BS51" s="23">
        <v>17793.41</v>
      </c>
      <c r="BT51" s="23">
        <v>20389.099999999999</v>
      </c>
      <c r="BU51" s="23">
        <v>0</v>
      </c>
      <c r="BV51" s="23">
        <v>118182.81</v>
      </c>
      <c r="BW51" s="23">
        <v>22701.739999999998</v>
      </c>
      <c r="BX51" s="23">
        <v>66352.92</v>
      </c>
      <c r="BY51" s="23">
        <v>219574.16999999998</v>
      </c>
      <c r="BZ51" s="23">
        <v>6913.1</v>
      </c>
      <c r="CA51" s="23">
        <v>18107.78</v>
      </c>
      <c r="CB51" s="23">
        <v>144318.15</v>
      </c>
      <c r="CC51" s="23">
        <f>65004.06+22661.36+128879.74</f>
        <v>216545.16</v>
      </c>
      <c r="CD51" s="19"/>
      <c r="CE51" s="31">
        <f>SUM(C51:CD51)</f>
        <v>50511052.370000012</v>
      </c>
    </row>
    <row r="52" spans="1:83" x14ac:dyDescent="0.25">
      <c r="A52" s="38" t="s">
        <v>220</v>
      </c>
      <c r="B52" s="311"/>
      <c r="C52" s="31" t="b">
        <f>IF($B$52,ROUND(($B$52/($CE$90+$CF$90)*C90),0))</f>
        <v>0</v>
      </c>
      <c r="D52" s="31" t="b">
        <f t="shared" ref="D52:BO52" si="2">IF($B$52,ROUND(($B$52/($CE$90+$CF$90)*D90),0))</f>
        <v>0</v>
      </c>
      <c r="E52" s="31" t="b">
        <f t="shared" si="2"/>
        <v>0</v>
      </c>
      <c r="F52" s="31" t="b">
        <f t="shared" si="2"/>
        <v>0</v>
      </c>
      <c r="G52" s="31" t="b">
        <f t="shared" si="2"/>
        <v>0</v>
      </c>
      <c r="H52" s="31" t="b">
        <f t="shared" si="2"/>
        <v>0</v>
      </c>
      <c r="I52" s="31" t="b">
        <f t="shared" si="2"/>
        <v>0</v>
      </c>
      <c r="J52" s="31" t="b">
        <f t="shared" si="2"/>
        <v>0</v>
      </c>
      <c r="K52" s="31" t="b">
        <f t="shared" si="2"/>
        <v>0</v>
      </c>
      <c r="L52" s="31" t="b">
        <f t="shared" si="2"/>
        <v>0</v>
      </c>
      <c r="M52" s="31" t="b">
        <f t="shared" si="2"/>
        <v>0</v>
      </c>
      <c r="N52" s="31" t="b">
        <f t="shared" si="2"/>
        <v>0</v>
      </c>
      <c r="O52" s="31" t="b">
        <f t="shared" si="2"/>
        <v>0</v>
      </c>
      <c r="P52" s="31" t="b">
        <f t="shared" si="2"/>
        <v>0</v>
      </c>
      <c r="Q52" s="31" t="b">
        <f t="shared" si="2"/>
        <v>0</v>
      </c>
      <c r="R52" s="31" t="b">
        <f t="shared" si="2"/>
        <v>0</v>
      </c>
      <c r="S52" s="31" t="b">
        <f t="shared" si="2"/>
        <v>0</v>
      </c>
      <c r="T52" s="31" t="b">
        <f t="shared" si="2"/>
        <v>0</v>
      </c>
      <c r="U52" s="31" t="b">
        <f t="shared" si="2"/>
        <v>0</v>
      </c>
      <c r="V52" s="31" t="b">
        <f t="shared" si="2"/>
        <v>0</v>
      </c>
      <c r="W52" s="31" t="b">
        <f t="shared" si="2"/>
        <v>0</v>
      </c>
      <c r="X52" s="31" t="b">
        <f t="shared" si="2"/>
        <v>0</v>
      </c>
      <c r="Y52" s="31" t="b">
        <f t="shared" si="2"/>
        <v>0</v>
      </c>
      <c r="Z52" s="31" t="b">
        <f t="shared" si="2"/>
        <v>0</v>
      </c>
      <c r="AA52" s="31" t="b">
        <f t="shared" si="2"/>
        <v>0</v>
      </c>
      <c r="AB52" s="31" t="b">
        <f t="shared" si="2"/>
        <v>0</v>
      </c>
      <c r="AC52" s="31" t="b">
        <f t="shared" si="2"/>
        <v>0</v>
      </c>
      <c r="AD52" s="31" t="b">
        <f t="shared" si="2"/>
        <v>0</v>
      </c>
      <c r="AE52" s="31" t="b">
        <f t="shared" si="2"/>
        <v>0</v>
      </c>
      <c r="AF52" s="31" t="b">
        <f t="shared" si="2"/>
        <v>0</v>
      </c>
      <c r="AG52" s="31" t="b">
        <f t="shared" si="2"/>
        <v>0</v>
      </c>
      <c r="AH52" s="31" t="b">
        <f t="shared" si="2"/>
        <v>0</v>
      </c>
      <c r="AI52" s="31" t="b">
        <f t="shared" si="2"/>
        <v>0</v>
      </c>
      <c r="AJ52" s="31" t="b">
        <f t="shared" si="2"/>
        <v>0</v>
      </c>
      <c r="AK52" s="31" t="b">
        <f t="shared" si="2"/>
        <v>0</v>
      </c>
      <c r="AL52" s="31" t="b">
        <f t="shared" si="2"/>
        <v>0</v>
      </c>
      <c r="AM52" s="31" t="b">
        <f t="shared" si="2"/>
        <v>0</v>
      </c>
      <c r="AN52" s="31" t="b">
        <f t="shared" si="2"/>
        <v>0</v>
      </c>
      <c r="AO52" s="31" t="b">
        <f t="shared" si="2"/>
        <v>0</v>
      </c>
      <c r="AP52" s="31" t="b">
        <f t="shared" si="2"/>
        <v>0</v>
      </c>
      <c r="AQ52" s="31" t="b">
        <f t="shared" si="2"/>
        <v>0</v>
      </c>
      <c r="AR52" s="31" t="b">
        <f t="shared" si="2"/>
        <v>0</v>
      </c>
      <c r="AS52" s="31" t="b">
        <f t="shared" si="2"/>
        <v>0</v>
      </c>
      <c r="AT52" s="31" t="b">
        <f t="shared" si="2"/>
        <v>0</v>
      </c>
      <c r="AU52" s="31" t="b">
        <f t="shared" si="2"/>
        <v>0</v>
      </c>
      <c r="AV52" s="31" t="b">
        <f t="shared" si="2"/>
        <v>0</v>
      </c>
      <c r="AW52" s="31" t="b">
        <f t="shared" si="2"/>
        <v>0</v>
      </c>
      <c r="AX52" s="31" t="b">
        <f t="shared" si="2"/>
        <v>0</v>
      </c>
      <c r="AY52" s="31" t="b">
        <f t="shared" si="2"/>
        <v>0</v>
      </c>
      <c r="AZ52" s="31" t="b">
        <f t="shared" si="2"/>
        <v>0</v>
      </c>
      <c r="BA52" s="31" t="b">
        <f t="shared" si="2"/>
        <v>0</v>
      </c>
      <c r="BB52" s="31" t="b">
        <f t="shared" si="2"/>
        <v>0</v>
      </c>
      <c r="BC52" s="31" t="b">
        <f t="shared" si="2"/>
        <v>0</v>
      </c>
      <c r="BD52" s="31" t="b">
        <f t="shared" si="2"/>
        <v>0</v>
      </c>
      <c r="BE52" s="31" t="b">
        <f t="shared" si="2"/>
        <v>0</v>
      </c>
      <c r="BF52" s="31" t="b">
        <f t="shared" si="2"/>
        <v>0</v>
      </c>
      <c r="BG52" s="31" t="b">
        <f t="shared" si="2"/>
        <v>0</v>
      </c>
      <c r="BH52" s="31" t="b">
        <f t="shared" si="2"/>
        <v>0</v>
      </c>
      <c r="BI52" s="31" t="b">
        <f t="shared" si="2"/>
        <v>0</v>
      </c>
      <c r="BJ52" s="31" t="b">
        <f t="shared" si="2"/>
        <v>0</v>
      </c>
      <c r="BK52" s="31" t="b">
        <f t="shared" si="2"/>
        <v>0</v>
      </c>
      <c r="BL52" s="31" t="b">
        <f t="shared" si="2"/>
        <v>0</v>
      </c>
      <c r="BM52" s="31" t="b">
        <f t="shared" si="2"/>
        <v>0</v>
      </c>
      <c r="BN52" s="31" t="b">
        <f t="shared" si="2"/>
        <v>0</v>
      </c>
      <c r="BO52" s="31" t="b">
        <f t="shared" si="2"/>
        <v>0</v>
      </c>
      <c r="BP52" s="31" t="b">
        <f t="shared" ref="BP52:CD52" si="3">IF($B$52,ROUND(($B$52/($CE$90+$CF$90)*BP90),0))</f>
        <v>0</v>
      </c>
      <c r="BQ52" s="31" t="b">
        <f t="shared" si="3"/>
        <v>0</v>
      </c>
      <c r="BR52" s="31" t="b">
        <f t="shared" si="3"/>
        <v>0</v>
      </c>
      <c r="BS52" s="31" t="b">
        <f t="shared" si="3"/>
        <v>0</v>
      </c>
      <c r="BT52" s="31" t="b">
        <f t="shared" si="3"/>
        <v>0</v>
      </c>
      <c r="BU52" s="31" t="b">
        <f t="shared" si="3"/>
        <v>0</v>
      </c>
      <c r="BV52" s="31" t="b">
        <f t="shared" si="3"/>
        <v>0</v>
      </c>
      <c r="BW52" s="31" t="b">
        <f t="shared" si="3"/>
        <v>0</v>
      </c>
      <c r="BX52" s="31" t="b">
        <f t="shared" si="3"/>
        <v>0</v>
      </c>
      <c r="BY52" s="31" t="b">
        <f t="shared" si="3"/>
        <v>0</v>
      </c>
      <c r="BZ52" s="31" t="b">
        <f t="shared" si="3"/>
        <v>0</v>
      </c>
      <c r="CA52" s="31" t="b">
        <f t="shared" si="3"/>
        <v>0</v>
      </c>
      <c r="CB52" s="31" t="b">
        <f t="shared" si="3"/>
        <v>0</v>
      </c>
      <c r="CC52" s="31" t="b">
        <f t="shared" si="3"/>
        <v>0</v>
      </c>
      <c r="CD52" s="31" t="b">
        <f t="shared" si="3"/>
        <v>0</v>
      </c>
      <c r="CE52" s="31">
        <f>SUM(C52:CD52)</f>
        <v>0</v>
      </c>
    </row>
    <row r="53" spans="1:83" x14ac:dyDescent="0.25">
      <c r="A53" s="19" t="s">
        <v>218</v>
      </c>
      <c r="B53" s="31">
        <f>B51+B52</f>
        <v>0</v>
      </c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</row>
    <row r="54" spans="1:83" x14ac:dyDescent="0.25">
      <c r="A54" s="19"/>
      <c r="B54" s="19"/>
      <c r="C54" s="26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</row>
    <row r="55" spans="1:83" x14ac:dyDescent="0.25">
      <c r="A55" s="25" t="s">
        <v>221</v>
      </c>
      <c r="B55" s="19"/>
      <c r="C55" s="20" t="s">
        <v>21</v>
      </c>
      <c r="D55" s="21" t="s">
        <v>22</v>
      </c>
      <c r="E55" s="21" t="s">
        <v>23</v>
      </c>
      <c r="F55" s="21" t="s">
        <v>24</v>
      </c>
      <c r="G55" s="21" t="s">
        <v>25</v>
      </c>
      <c r="H55" s="21" t="s">
        <v>26</v>
      </c>
      <c r="I55" s="21" t="s">
        <v>27</v>
      </c>
      <c r="J55" s="21" t="s">
        <v>28</v>
      </c>
      <c r="K55" s="21" t="s">
        <v>29</v>
      </c>
      <c r="L55" s="21" t="s">
        <v>30</v>
      </c>
      <c r="M55" s="21" t="s">
        <v>31</v>
      </c>
      <c r="N55" s="21" t="s">
        <v>32</v>
      </c>
      <c r="O55" s="21" t="s">
        <v>33</v>
      </c>
      <c r="P55" s="21" t="s">
        <v>34</v>
      </c>
      <c r="Q55" s="21" t="s">
        <v>35</v>
      </c>
      <c r="R55" s="21" t="s">
        <v>36</v>
      </c>
      <c r="S55" s="21" t="s">
        <v>37</v>
      </c>
      <c r="T55" s="27" t="s">
        <v>38</v>
      </c>
      <c r="U55" s="21" t="s">
        <v>39</v>
      </c>
      <c r="V55" s="21" t="s">
        <v>40</v>
      </c>
      <c r="W55" s="21" t="s">
        <v>41</v>
      </c>
      <c r="X55" s="21" t="s">
        <v>42</v>
      </c>
      <c r="Y55" s="21" t="s">
        <v>43</v>
      </c>
      <c r="Z55" s="21" t="s">
        <v>44</v>
      </c>
      <c r="AA55" s="21" t="s">
        <v>45</v>
      </c>
      <c r="AB55" s="21" t="s">
        <v>46</v>
      </c>
      <c r="AC55" s="21" t="s">
        <v>47</v>
      </c>
      <c r="AD55" s="21" t="s">
        <v>48</v>
      </c>
      <c r="AE55" s="21" t="s">
        <v>49</v>
      </c>
      <c r="AF55" s="21" t="s">
        <v>50</v>
      </c>
      <c r="AG55" s="21" t="s">
        <v>51</v>
      </c>
      <c r="AH55" s="21" t="s">
        <v>52</v>
      </c>
      <c r="AI55" s="21" t="s">
        <v>53</v>
      </c>
      <c r="AJ55" s="21" t="s">
        <v>54</v>
      </c>
      <c r="AK55" s="21" t="s">
        <v>55</v>
      </c>
      <c r="AL55" s="21" t="s">
        <v>56</v>
      </c>
      <c r="AM55" s="21" t="s">
        <v>57</v>
      </c>
      <c r="AN55" s="21" t="s">
        <v>58</v>
      </c>
      <c r="AO55" s="21" t="s">
        <v>59</v>
      </c>
      <c r="AP55" s="21" t="s">
        <v>60</v>
      </c>
      <c r="AQ55" s="21" t="s">
        <v>61</v>
      </c>
      <c r="AR55" s="21" t="s">
        <v>62</v>
      </c>
      <c r="AS55" s="21" t="s">
        <v>63</v>
      </c>
      <c r="AT55" s="21" t="s">
        <v>64</v>
      </c>
      <c r="AU55" s="21" t="s">
        <v>65</v>
      </c>
      <c r="AV55" s="21" t="s">
        <v>66</v>
      </c>
      <c r="AW55" s="21" t="s">
        <v>67</v>
      </c>
      <c r="AX55" s="21" t="s">
        <v>68</v>
      </c>
      <c r="AY55" s="21" t="s">
        <v>69</v>
      </c>
      <c r="AZ55" s="21" t="s">
        <v>70</v>
      </c>
      <c r="BA55" s="21" t="s">
        <v>71</v>
      </c>
      <c r="BB55" s="21" t="s">
        <v>72</v>
      </c>
      <c r="BC55" s="21" t="s">
        <v>73</v>
      </c>
      <c r="BD55" s="21" t="s">
        <v>74</v>
      </c>
      <c r="BE55" s="21" t="s">
        <v>75</v>
      </c>
      <c r="BF55" s="21" t="s">
        <v>76</v>
      </c>
      <c r="BG55" s="21" t="s">
        <v>77</v>
      </c>
      <c r="BH55" s="21" t="s">
        <v>78</v>
      </c>
      <c r="BI55" s="21" t="s">
        <v>79</v>
      </c>
      <c r="BJ55" s="21" t="s">
        <v>80</v>
      </c>
      <c r="BK55" s="21" t="s">
        <v>81</v>
      </c>
      <c r="BL55" s="21" t="s">
        <v>82</v>
      </c>
      <c r="BM55" s="21" t="s">
        <v>83</v>
      </c>
      <c r="BN55" s="21" t="s">
        <v>84</v>
      </c>
      <c r="BO55" s="21" t="s">
        <v>85</v>
      </c>
      <c r="BP55" s="21" t="s">
        <v>86</v>
      </c>
      <c r="BQ55" s="21" t="s">
        <v>87</v>
      </c>
      <c r="BR55" s="21" t="s">
        <v>88</v>
      </c>
      <c r="BS55" s="21" t="s">
        <v>89</v>
      </c>
      <c r="BT55" s="21" t="s">
        <v>90</v>
      </c>
      <c r="BU55" s="21" t="s">
        <v>91</v>
      </c>
      <c r="BV55" s="21" t="s">
        <v>92</v>
      </c>
      <c r="BW55" s="21" t="s">
        <v>93</v>
      </c>
      <c r="BX55" s="21" t="s">
        <v>94</v>
      </c>
      <c r="BY55" s="21" t="s">
        <v>95</v>
      </c>
      <c r="BZ55" s="21" t="s">
        <v>96</v>
      </c>
      <c r="CA55" s="21" t="s">
        <v>97</v>
      </c>
      <c r="CB55" s="21" t="s">
        <v>98</v>
      </c>
      <c r="CC55" s="21" t="s">
        <v>99</v>
      </c>
      <c r="CD55" s="21" t="s">
        <v>100</v>
      </c>
      <c r="CE55" s="21" t="s">
        <v>101</v>
      </c>
    </row>
    <row r="56" spans="1:83" x14ac:dyDescent="0.25">
      <c r="A56" s="25" t="s">
        <v>222</v>
      </c>
      <c r="B56" s="19"/>
      <c r="C56" s="20" t="s">
        <v>103</v>
      </c>
      <c r="D56" s="21" t="s">
        <v>104</v>
      </c>
      <c r="E56" s="21" t="s">
        <v>105</v>
      </c>
      <c r="F56" s="21" t="s">
        <v>106</v>
      </c>
      <c r="G56" s="21" t="s">
        <v>107</v>
      </c>
      <c r="H56" s="21" t="s">
        <v>108</v>
      </c>
      <c r="I56" s="21" t="s">
        <v>109</v>
      </c>
      <c r="J56" s="21" t="s">
        <v>110</v>
      </c>
      <c r="K56" s="21" t="s">
        <v>111</v>
      </c>
      <c r="L56" s="21" t="s">
        <v>112</v>
      </c>
      <c r="M56" s="21" t="s">
        <v>113</v>
      </c>
      <c r="N56" s="21" t="s">
        <v>114</v>
      </c>
      <c r="O56" s="21" t="s">
        <v>115</v>
      </c>
      <c r="P56" s="21" t="s">
        <v>116</v>
      </c>
      <c r="Q56" s="21" t="s">
        <v>117</v>
      </c>
      <c r="R56" s="21" t="s">
        <v>118</v>
      </c>
      <c r="S56" s="21" t="s">
        <v>119</v>
      </c>
      <c r="T56" s="21" t="s">
        <v>120</v>
      </c>
      <c r="U56" s="21" t="s">
        <v>121</v>
      </c>
      <c r="V56" s="21" t="s">
        <v>122</v>
      </c>
      <c r="W56" s="21" t="s">
        <v>123</v>
      </c>
      <c r="X56" s="21" t="s">
        <v>124</v>
      </c>
      <c r="Y56" s="21" t="s">
        <v>125</v>
      </c>
      <c r="Z56" s="21" t="s">
        <v>125</v>
      </c>
      <c r="AA56" s="21" t="s">
        <v>126</v>
      </c>
      <c r="AB56" s="21" t="s">
        <v>127</v>
      </c>
      <c r="AC56" s="21" t="s">
        <v>128</v>
      </c>
      <c r="AD56" s="21" t="s">
        <v>129</v>
      </c>
      <c r="AE56" s="21" t="s">
        <v>107</v>
      </c>
      <c r="AF56" s="21" t="s">
        <v>108</v>
      </c>
      <c r="AG56" s="21" t="s">
        <v>130</v>
      </c>
      <c r="AH56" s="21" t="s">
        <v>131</v>
      </c>
      <c r="AI56" s="21" t="s">
        <v>132</v>
      </c>
      <c r="AJ56" s="21" t="s">
        <v>133</v>
      </c>
      <c r="AK56" s="21" t="s">
        <v>134</v>
      </c>
      <c r="AL56" s="21" t="s">
        <v>135</v>
      </c>
      <c r="AM56" s="21" t="s">
        <v>136</v>
      </c>
      <c r="AN56" s="21" t="s">
        <v>122</v>
      </c>
      <c r="AO56" s="21" t="s">
        <v>137</v>
      </c>
      <c r="AP56" s="21" t="s">
        <v>138</v>
      </c>
      <c r="AQ56" s="21" t="s">
        <v>139</v>
      </c>
      <c r="AR56" s="21" t="s">
        <v>140</v>
      </c>
      <c r="AS56" s="21" t="s">
        <v>141</v>
      </c>
      <c r="AT56" s="21" t="s">
        <v>142</v>
      </c>
      <c r="AU56" s="21" t="s">
        <v>143</v>
      </c>
      <c r="AV56" s="21" t="s">
        <v>144</v>
      </c>
      <c r="AW56" s="21" t="s">
        <v>145</v>
      </c>
      <c r="AX56" s="21" t="s">
        <v>146</v>
      </c>
      <c r="AY56" s="21" t="s">
        <v>147</v>
      </c>
      <c r="AZ56" s="21" t="s">
        <v>148</v>
      </c>
      <c r="BA56" s="21" t="s">
        <v>149</v>
      </c>
      <c r="BB56" s="21" t="s">
        <v>150</v>
      </c>
      <c r="BC56" s="21" t="s">
        <v>119</v>
      </c>
      <c r="BD56" s="21" t="s">
        <v>151</v>
      </c>
      <c r="BE56" s="21" t="s">
        <v>152</v>
      </c>
      <c r="BF56" s="21" t="s">
        <v>153</v>
      </c>
      <c r="BG56" s="21" t="s">
        <v>154</v>
      </c>
      <c r="BH56" s="21" t="s">
        <v>155</v>
      </c>
      <c r="BI56" s="21" t="s">
        <v>156</v>
      </c>
      <c r="BJ56" s="21" t="s">
        <v>157</v>
      </c>
      <c r="BK56" s="21" t="s">
        <v>158</v>
      </c>
      <c r="BL56" s="21" t="s">
        <v>159</v>
      </c>
      <c r="BM56" s="21" t="s">
        <v>144</v>
      </c>
      <c r="BN56" s="21" t="s">
        <v>160</v>
      </c>
      <c r="BO56" s="21" t="s">
        <v>161</v>
      </c>
      <c r="BP56" s="21" t="s">
        <v>162</v>
      </c>
      <c r="BQ56" s="21" t="s">
        <v>163</v>
      </c>
      <c r="BR56" s="21" t="s">
        <v>164</v>
      </c>
      <c r="BS56" s="21" t="s">
        <v>165</v>
      </c>
      <c r="BT56" s="21" t="s">
        <v>166</v>
      </c>
      <c r="BU56" s="21" t="s">
        <v>167</v>
      </c>
      <c r="BV56" s="21" t="s">
        <v>167</v>
      </c>
      <c r="BW56" s="21" t="s">
        <v>167</v>
      </c>
      <c r="BX56" s="21" t="s">
        <v>168</v>
      </c>
      <c r="BY56" s="21" t="s">
        <v>169</v>
      </c>
      <c r="BZ56" s="21" t="s">
        <v>170</v>
      </c>
      <c r="CA56" s="21" t="s">
        <v>171</v>
      </c>
      <c r="CB56" s="21" t="s">
        <v>172</v>
      </c>
      <c r="CC56" s="21" t="s">
        <v>144</v>
      </c>
      <c r="CD56" s="21" t="s">
        <v>223</v>
      </c>
      <c r="CE56" s="21" t="s">
        <v>173</v>
      </c>
    </row>
    <row r="57" spans="1:83" x14ac:dyDescent="0.25">
      <c r="A57" s="25" t="s">
        <v>224</v>
      </c>
      <c r="B57" s="19"/>
      <c r="C57" s="20" t="s">
        <v>175</v>
      </c>
      <c r="D57" s="21" t="s">
        <v>175</v>
      </c>
      <c r="E57" s="21" t="s">
        <v>175</v>
      </c>
      <c r="F57" s="21" t="s">
        <v>176</v>
      </c>
      <c r="G57" s="21" t="s">
        <v>177</v>
      </c>
      <c r="H57" s="21" t="s">
        <v>175</v>
      </c>
      <c r="I57" s="21" t="s">
        <v>178</v>
      </c>
      <c r="J57" s="21"/>
      <c r="K57" s="21" t="s">
        <v>169</v>
      </c>
      <c r="L57" s="21" t="s">
        <v>179</v>
      </c>
      <c r="M57" s="21" t="s">
        <v>180</v>
      </c>
      <c r="N57" s="21" t="s">
        <v>181</v>
      </c>
      <c r="O57" s="21" t="s">
        <v>182</v>
      </c>
      <c r="P57" s="21" t="s">
        <v>181</v>
      </c>
      <c r="Q57" s="21" t="s">
        <v>183</v>
      </c>
      <c r="R57" s="21"/>
      <c r="S57" s="21" t="s">
        <v>181</v>
      </c>
      <c r="T57" s="21" t="s">
        <v>184</v>
      </c>
      <c r="U57" s="21"/>
      <c r="V57" s="21" t="s">
        <v>185</v>
      </c>
      <c r="W57" s="21" t="s">
        <v>186</v>
      </c>
      <c r="X57" s="21" t="s">
        <v>187</v>
      </c>
      <c r="Y57" s="21" t="s">
        <v>188</v>
      </c>
      <c r="Z57" s="21" t="s">
        <v>189</v>
      </c>
      <c r="AA57" s="21" t="s">
        <v>190</v>
      </c>
      <c r="AB57" s="21"/>
      <c r="AC57" s="21" t="s">
        <v>184</v>
      </c>
      <c r="AD57" s="21"/>
      <c r="AE57" s="21" t="s">
        <v>184</v>
      </c>
      <c r="AF57" s="21" t="s">
        <v>191</v>
      </c>
      <c r="AG57" s="21" t="s">
        <v>183</v>
      </c>
      <c r="AH57" s="21"/>
      <c r="AI57" s="21" t="s">
        <v>192</v>
      </c>
      <c r="AJ57" s="21"/>
      <c r="AK57" s="21" t="s">
        <v>184</v>
      </c>
      <c r="AL57" s="21" t="s">
        <v>184</v>
      </c>
      <c r="AM57" s="21" t="s">
        <v>184</v>
      </c>
      <c r="AN57" s="21" t="s">
        <v>193</v>
      </c>
      <c r="AO57" s="21" t="s">
        <v>194</v>
      </c>
      <c r="AP57" s="21" t="s">
        <v>133</v>
      </c>
      <c r="AQ57" s="21" t="s">
        <v>195</v>
      </c>
      <c r="AR57" s="21" t="s">
        <v>181</v>
      </c>
      <c r="AS57" s="21"/>
      <c r="AT57" s="21" t="s">
        <v>196</v>
      </c>
      <c r="AU57" s="21" t="s">
        <v>197</v>
      </c>
      <c r="AV57" s="21" t="s">
        <v>198</v>
      </c>
      <c r="AW57" s="21" t="s">
        <v>199</v>
      </c>
      <c r="AX57" s="21" t="s">
        <v>200</v>
      </c>
      <c r="AY57" s="21"/>
      <c r="AZ57" s="21"/>
      <c r="BA57" s="21" t="s">
        <v>201</v>
      </c>
      <c r="BB57" s="21" t="s">
        <v>181</v>
      </c>
      <c r="BC57" s="21" t="s">
        <v>195</v>
      </c>
      <c r="BD57" s="21"/>
      <c r="BE57" s="21"/>
      <c r="BF57" s="21"/>
      <c r="BG57" s="21"/>
      <c r="BH57" s="21" t="s">
        <v>202</v>
      </c>
      <c r="BI57" s="21" t="s">
        <v>181</v>
      </c>
      <c r="BJ57" s="21"/>
      <c r="BK57" s="21" t="s">
        <v>203</v>
      </c>
      <c r="BL57" s="21"/>
      <c r="BM57" s="21" t="s">
        <v>204</v>
      </c>
      <c r="BN57" s="21" t="s">
        <v>205</v>
      </c>
      <c r="BO57" s="21" t="s">
        <v>206</v>
      </c>
      <c r="BP57" s="21" t="s">
        <v>207</v>
      </c>
      <c r="BQ57" s="21" t="s">
        <v>208</v>
      </c>
      <c r="BR57" s="21"/>
      <c r="BS57" s="21" t="s">
        <v>209</v>
      </c>
      <c r="BT57" s="21" t="s">
        <v>181</v>
      </c>
      <c r="BU57" s="21" t="s">
        <v>210</v>
      </c>
      <c r="BV57" s="21" t="s">
        <v>211</v>
      </c>
      <c r="BW57" s="21" t="s">
        <v>212</v>
      </c>
      <c r="BX57" s="21" t="s">
        <v>163</v>
      </c>
      <c r="BY57" s="21" t="s">
        <v>205</v>
      </c>
      <c r="BZ57" s="21" t="s">
        <v>164</v>
      </c>
      <c r="CA57" s="21" t="s">
        <v>213</v>
      </c>
      <c r="CB57" s="21" t="s">
        <v>213</v>
      </c>
      <c r="CC57" s="21" t="s">
        <v>214</v>
      </c>
      <c r="CD57" s="21" t="s">
        <v>225</v>
      </c>
      <c r="CE57" s="21" t="s">
        <v>215</v>
      </c>
    </row>
    <row r="58" spans="1:83" x14ac:dyDescent="0.25">
      <c r="A58" s="25" t="s">
        <v>226</v>
      </c>
      <c r="B58" s="19"/>
      <c r="C58" s="20" t="s">
        <v>227</v>
      </c>
      <c r="D58" s="21" t="s">
        <v>227</v>
      </c>
      <c r="E58" s="21" t="s">
        <v>227</v>
      </c>
      <c r="F58" s="21" t="s">
        <v>227</v>
      </c>
      <c r="G58" s="21" t="s">
        <v>227</v>
      </c>
      <c r="H58" s="21" t="s">
        <v>227</v>
      </c>
      <c r="I58" s="21" t="s">
        <v>227</v>
      </c>
      <c r="J58" s="21" t="s">
        <v>228</v>
      </c>
      <c r="K58" s="21" t="s">
        <v>227</v>
      </c>
      <c r="L58" s="21" t="s">
        <v>227</v>
      </c>
      <c r="M58" s="21" t="s">
        <v>227</v>
      </c>
      <c r="N58" s="21" t="s">
        <v>227</v>
      </c>
      <c r="O58" s="21" t="s">
        <v>229</v>
      </c>
      <c r="P58" s="21" t="s">
        <v>230</v>
      </c>
      <c r="Q58" s="21" t="s">
        <v>231</v>
      </c>
      <c r="R58" s="22" t="s">
        <v>232</v>
      </c>
      <c r="S58" s="28" t="s">
        <v>233</v>
      </c>
      <c r="T58" s="28" t="s">
        <v>233</v>
      </c>
      <c r="U58" s="21" t="s">
        <v>234</v>
      </c>
      <c r="V58" s="21" t="s">
        <v>234</v>
      </c>
      <c r="W58" s="21" t="s">
        <v>235</v>
      </c>
      <c r="X58" s="21" t="s">
        <v>236</v>
      </c>
      <c r="Y58" s="21" t="s">
        <v>237</v>
      </c>
      <c r="Z58" s="21" t="s">
        <v>237</v>
      </c>
      <c r="AA58" s="21" t="s">
        <v>237</v>
      </c>
      <c r="AB58" s="28" t="s">
        <v>233</v>
      </c>
      <c r="AC58" s="21" t="s">
        <v>238</v>
      </c>
      <c r="AD58" s="21" t="s">
        <v>239</v>
      </c>
      <c r="AE58" s="21" t="s">
        <v>238</v>
      </c>
      <c r="AF58" s="21" t="s">
        <v>240</v>
      </c>
      <c r="AG58" s="21" t="s">
        <v>240</v>
      </c>
      <c r="AH58" s="21" t="s">
        <v>241</v>
      </c>
      <c r="AI58" s="21" t="s">
        <v>242</v>
      </c>
      <c r="AJ58" s="21" t="s">
        <v>240</v>
      </c>
      <c r="AK58" s="21" t="s">
        <v>238</v>
      </c>
      <c r="AL58" s="21" t="s">
        <v>238</v>
      </c>
      <c r="AM58" s="21" t="s">
        <v>238</v>
      </c>
      <c r="AN58" s="21" t="s">
        <v>229</v>
      </c>
      <c r="AO58" s="21" t="s">
        <v>239</v>
      </c>
      <c r="AP58" s="21" t="s">
        <v>240</v>
      </c>
      <c r="AQ58" s="21" t="s">
        <v>241</v>
      </c>
      <c r="AR58" s="21" t="s">
        <v>240</v>
      </c>
      <c r="AS58" s="21" t="s">
        <v>238</v>
      </c>
      <c r="AT58" s="21" t="s">
        <v>243</v>
      </c>
      <c r="AU58" s="21" t="s">
        <v>240</v>
      </c>
      <c r="AV58" s="28" t="s">
        <v>233</v>
      </c>
      <c r="AW58" s="28" t="s">
        <v>233</v>
      </c>
      <c r="AX58" s="28" t="s">
        <v>233</v>
      </c>
      <c r="AY58" s="21" t="s">
        <v>244</v>
      </c>
      <c r="AZ58" s="21" t="s">
        <v>244</v>
      </c>
      <c r="BA58" s="28" t="s">
        <v>233</v>
      </c>
      <c r="BB58" s="28" t="s">
        <v>233</v>
      </c>
      <c r="BC58" s="28" t="s">
        <v>233</v>
      </c>
      <c r="BD58" s="28" t="s">
        <v>233</v>
      </c>
      <c r="BE58" s="21" t="s">
        <v>245</v>
      </c>
      <c r="BF58" s="28" t="s">
        <v>233</v>
      </c>
      <c r="BG58" s="28" t="s">
        <v>233</v>
      </c>
      <c r="BH58" s="28" t="s">
        <v>233</v>
      </c>
      <c r="BI58" s="28" t="s">
        <v>233</v>
      </c>
      <c r="BJ58" s="28" t="s">
        <v>233</v>
      </c>
      <c r="BK58" s="28" t="s">
        <v>233</v>
      </c>
      <c r="BL58" s="28" t="s">
        <v>233</v>
      </c>
      <c r="BM58" s="28" t="s">
        <v>233</v>
      </c>
      <c r="BN58" s="28" t="s">
        <v>233</v>
      </c>
      <c r="BO58" s="28" t="s">
        <v>233</v>
      </c>
      <c r="BP58" s="28" t="s">
        <v>233</v>
      </c>
      <c r="BQ58" s="28" t="s">
        <v>233</v>
      </c>
      <c r="BR58" s="28" t="s">
        <v>233</v>
      </c>
      <c r="BS58" s="28" t="s">
        <v>233</v>
      </c>
      <c r="BT58" s="28" t="s">
        <v>233</v>
      </c>
      <c r="BU58" s="28" t="s">
        <v>233</v>
      </c>
      <c r="BV58" s="28" t="s">
        <v>233</v>
      </c>
      <c r="BW58" s="28" t="s">
        <v>233</v>
      </c>
      <c r="BX58" s="28" t="s">
        <v>233</v>
      </c>
      <c r="BY58" s="28" t="s">
        <v>233</v>
      </c>
      <c r="BZ58" s="28" t="s">
        <v>233</v>
      </c>
      <c r="CA58" s="28" t="s">
        <v>233</v>
      </c>
      <c r="CB58" s="28" t="s">
        <v>233</v>
      </c>
      <c r="CC58" s="28" t="s">
        <v>233</v>
      </c>
      <c r="CD58" s="28" t="s">
        <v>233</v>
      </c>
      <c r="CE58" s="28" t="s">
        <v>233</v>
      </c>
    </row>
    <row r="59" spans="1:83" x14ac:dyDescent="0.25">
      <c r="A59" s="38" t="s">
        <v>246</v>
      </c>
      <c r="B59" s="31"/>
      <c r="C59" s="23">
        <v>5601</v>
      </c>
      <c r="D59" s="23">
        <v>10992.92</v>
      </c>
      <c r="E59" s="23">
        <v>46508.52</v>
      </c>
      <c r="F59" s="23"/>
      <c r="G59" s="23">
        <v>3777</v>
      </c>
      <c r="H59" s="23"/>
      <c r="I59" s="23"/>
      <c r="J59" s="23"/>
      <c r="K59" s="23"/>
      <c r="L59" s="23"/>
      <c r="M59" s="23">
        <v>3157</v>
      </c>
      <c r="N59" s="23"/>
      <c r="O59" s="23">
        <v>4529</v>
      </c>
      <c r="P59" s="29">
        <v>790735</v>
      </c>
      <c r="Q59" s="29">
        <v>1960348</v>
      </c>
      <c r="R59" s="29">
        <v>1381181</v>
      </c>
      <c r="S59" s="312"/>
      <c r="T59" s="312"/>
      <c r="U59" s="30">
        <v>1040369</v>
      </c>
      <c r="V59" s="29"/>
      <c r="W59" s="29">
        <v>36220.71</v>
      </c>
      <c r="X59" s="29">
        <v>196603.86000000002</v>
      </c>
      <c r="Y59" s="29">
        <v>459248.88</v>
      </c>
      <c r="Z59" s="29">
        <v>59773.57</v>
      </c>
      <c r="AA59" s="29">
        <v>15243.55</v>
      </c>
      <c r="AB59" s="312"/>
      <c r="AC59" s="29"/>
      <c r="AD59" s="29"/>
      <c r="AE59" s="29">
        <v>45187</v>
      </c>
      <c r="AF59" s="29"/>
      <c r="AG59" s="29">
        <v>124924</v>
      </c>
      <c r="AH59" s="29"/>
      <c r="AI59" s="29"/>
      <c r="AJ59" s="29">
        <v>274398</v>
      </c>
      <c r="AK59" s="29"/>
      <c r="AL59" s="29"/>
      <c r="AM59" s="29"/>
      <c r="AN59" s="29"/>
      <c r="AO59" s="29"/>
      <c r="AP59" s="29">
        <v>371484</v>
      </c>
      <c r="AQ59" s="29"/>
      <c r="AR59" s="29">
        <v>264553</v>
      </c>
      <c r="AS59" s="29"/>
      <c r="AT59" s="29"/>
      <c r="AU59" s="29"/>
      <c r="AV59" s="312"/>
      <c r="AW59" s="312"/>
      <c r="AX59" s="312"/>
      <c r="AY59" s="29"/>
      <c r="AZ59" s="29">
        <v>743097.14</v>
      </c>
      <c r="BA59" s="312"/>
      <c r="BB59" s="312"/>
      <c r="BC59" s="312"/>
      <c r="BD59" s="312"/>
      <c r="BE59" s="29">
        <v>679195</v>
      </c>
      <c r="BF59" s="312"/>
      <c r="BG59" s="312"/>
      <c r="BH59" s="312"/>
      <c r="BI59" s="312"/>
      <c r="BJ59" s="312"/>
      <c r="BK59" s="312"/>
      <c r="BL59" s="312"/>
      <c r="BM59" s="312"/>
      <c r="BN59" s="312"/>
      <c r="BO59" s="312"/>
      <c r="BP59" s="312"/>
      <c r="BQ59" s="312"/>
      <c r="BR59" s="312"/>
      <c r="BS59" s="312"/>
      <c r="BT59" s="312"/>
      <c r="BU59" s="312"/>
      <c r="BV59" s="312"/>
      <c r="BW59" s="312"/>
      <c r="BX59" s="312"/>
      <c r="BY59" s="312"/>
      <c r="BZ59" s="312"/>
      <c r="CA59" s="312"/>
      <c r="CB59" s="312"/>
      <c r="CC59" s="312"/>
      <c r="CD59" s="262"/>
      <c r="CE59" s="31"/>
    </row>
    <row r="60" spans="1:83" s="224" customFormat="1" x14ac:dyDescent="0.25">
      <c r="A60" s="239" t="s">
        <v>247</v>
      </c>
      <c r="B60" s="240"/>
      <c r="C60" s="313">
        <v>129.13001442307691</v>
      </c>
      <c r="D60" s="313">
        <v>76.277168269230771</v>
      </c>
      <c r="E60" s="313">
        <v>344.70559134615377</v>
      </c>
      <c r="F60" s="313">
        <v>9.1393509615384634</v>
      </c>
      <c r="G60" s="313">
        <v>19.144341346153844</v>
      </c>
      <c r="H60" s="313">
        <v>0</v>
      </c>
      <c r="I60" s="313">
        <v>0</v>
      </c>
      <c r="J60" s="313">
        <v>0</v>
      </c>
      <c r="K60" s="313">
        <v>0</v>
      </c>
      <c r="L60" s="313">
        <v>0</v>
      </c>
      <c r="M60" s="313">
        <f>38.59+10.21</f>
        <v>48.800000000000004</v>
      </c>
      <c r="N60" s="313">
        <v>55.038360576923075</v>
      </c>
      <c r="O60" s="313">
        <v>179.01842307692309</v>
      </c>
      <c r="P60" s="314">
        <v>106.17424038461539</v>
      </c>
      <c r="Q60" s="314">
        <v>56.232009615384619</v>
      </c>
      <c r="R60" s="314">
        <v>7.4419471153846164</v>
      </c>
      <c r="S60" s="315">
        <v>27.50855769230769</v>
      </c>
      <c r="T60" s="315">
        <v>0</v>
      </c>
      <c r="U60" s="316">
        <v>77.06212499999998</v>
      </c>
      <c r="V60" s="314">
        <v>2.8105528846153849</v>
      </c>
      <c r="W60" s="314">
        <v>5.8971923076923076</v>
      </c>
      <c r="X60" s="314">
        <v>13.897769230769232</v>
      </c>
      <c r="Y60" s="314">
        <v>156.48716826923081</v>
      </c>
      <c r="Z60" s="314">
        <v>21.475341346153847</v>
      </c>
      <c r="AA60" s="314">
        <v>2.9737403846153847</v>
      </c>
      <c r="AB60" s="315">
        <v>61.240899038461535</v>
      </c>
      <c r="AC60" s="314">
        <v>24.610182692307692</v>
      </c>
      <c r="AD60" s="314">
        <v>0</v>
      </c>
      <c r="AE60" s="314">
        <v>67.029312500000017</v>
      </c>
      <c r="AF60" s="314">
        <v>0</v>
      </c>
      <c r="AG60" s="314">
        <v>113.49677884615384</v>
      </c>
      <c r="AH60" s="314">
        <v>0</v>
      </c>
      <c r="AI60" s="314">
        <v>0</v>
      </c>
      <c r="AJ60" s="314">
        <v>488.1790721153846</v>
      </c>
      <c r="AK60" s="314">
        <v>0</v>
      </c>
      <c r="AL60" s="314">
        <v>0</v>
      </c>
      <c r="AM60" s="314">
        <v>0</v>
      </c>
      <c r="AN60" s="314">
        <v>0</v>
      </c>
      <c r="AO60" s="314">
        <v>0</v>
      </c>
      <c r="AP60" s="314">
        <v>389.87558653846156</v>
      </c>
      <c r="AQ60" s="314">
        <v>0</v>
      </c>
      <c r="AR60" s="314">
        <f>400.14+91.87</f>
        <v>492.01</v>
      </c>
      <c r="AS60" s="314">
        <v>0</v>
      </c>
      <c r="AT60" s="314">
        <v>0</v>
      </c>
      <c r="AU60" s="314">
        <v>0</v>
      </c>
      <c r="AV60" s="315">
        <v>23.968250000000001</v>
      </c>
      <c r="AW60" s="315">
        <v>22.016120192307696</v>
      </c>
      <c r="AX60" s="315">
        <v>0</v>
      </c>
      <c r="AY60" s="314">
        <v>0</v>
      </c>
      <c r="AZ60" s="314">
        <v>53.978298076923075</v>
      </c>
      <c r="BA60" s="315">
        <v>5.4640432692307694</v>
      </c>
      <c r="BB60" s="315">
        <v>0.50330769230769223</v>
      </c>
      <c r="BC60" s="315">
        <v>7.8017740384615388</v>
      </c>
      <c r="BD60" s="315">
        <v>37.475812500000004</v>
      </c>
      <c r="BE60" s="314">
        <v>49.177269230769234</v>
      </c>
      <c r="BF60" s="315">
        <v>98.434269230769232</v>
      </c>
      <c r="BG60" s="315">
        <v>16.49370673076923</v>
      </c>
      <c r="BH60" s="315">
        <v>141.16565384615387</v>
      </c>
      <c r="BI60" s="315">
        <v>55.700346153846155</v>
      </c>
      <c r="BJ60" s="315">
        <v>18.434091346153849</v>
      </c>
      <c r="BK60" s="315">
        <v>85.431860576923086</v>
      </c>
      <c r="BL60" s="315">
        <v>87.180336538461532</v>
      </c>
      <c r="BM60" s="315">
        <v>47.098067307692311</v>
      </c>
      <c r="BN60" s="315">
        <v>26.630081730769231</v>
      </c>
      <c r="BO60" s="315">
        <v>9.9694759615384623</v>
      </c>
      <c r="BP60" s="315">
        <v>10.167740384615385</v>
      </c>
      <c r="BQ60" s="315">
        <v>4.2926634615384618</v>
      </c>
      <c r="BR60" s="315">
        <v>31.588865384615382</v>
      </c>
      <c r="BS60" s="315">
        <v>5.6887499999999998</v>
      </c>
      <c r="BT60" s="315">
        <v>1.8015528846153845</v>
      </c>
      <c r="BU60" s="315">
        <v>0</v>
      </c>
      <c r="BV60" s="315">
        <v>55.457471153846157</v>
      </c>
      <c r="BW60" s="315">
        <v>8.1218798076923076</v>
      </c>
      <c r="BX60" s="315">
        <v>53.623326923076917</v>
      </c>
      <c r="BY60" s="315">
        <v>12.335701923076924</v>
      </c>
      <c r="BZ60" s="315">
        <v>41.36040865384615</v>
      </c>
      <c r="CA60" s="315">
        <v>14.156913461538462</v>
      </c>
      <c r="CB60" s="315">
        <v>84.202653846153837</v>
      </c>
      <c r="CC60" s="315">
        <f>48.76+0.01</f>
        <v>48.769999999999996</v>
      </c>
      <c r="CD60" s="245" t="s">
        <v>233</v>
      </c>
      <c r="CE60" s="266">
        <f t="shared" ref="CE60:CE68" si="4">SUM(C60:CD60)</f>
        <v>4134.1464182692307</v>
      </c>
    </row>
    <row r="61" spans="1:83" x14ac:dyDescent="0.25">
      <c r="A61" s="38" t="s">
        <v>248</v>
      </c>
      <c r="B61" s="19"/>
      <c r="C61" s="23">
        <v>18448094.240000006</v>
      </c>
      <c r="D61" s="23">
        <v>10641758.460000003</v>
      </c>
      <c r="E61" s="23">
        <v>45752919.269999988</v>
      </c>
      <c r="F61" s="23">
        <v>1426051.51</v>
      </c>
      <c r="G61" s="23">
        <v>2638151.8499999996</v>
      </c>
      <c r="H61" s="23">
        <v>0</v>
      </c>
      <c r="I61" s="23">
        <v>0</v>
      </c>
      <c r="J61" s="23"/>
      <c r="K61" s="23"/>
      <c r="L61" s="23"/>
      <c r="M61" s="23">
        <f>4677895.3+986398.15</f>
        <v>5664293.4500000002</v>
      </c>
      <c r="N61" s="23">
        <v>19337764.660000004</v>
      </c>
      <c r="O61" s="23">
        <v>26838693.499999996</v>
      </c>
      <c r="P61" s="29">
        <v>13018395.980000002</v>
      </c>
      <c r="Q61" s="29">
        <v>8896781.7699999996</v>
      </c>
      <c r="R61" s="29">
        <v>761258.14000000013</v>
      </c>
      <c r="S61" s="317">
        <v>1909870.5999999999</v>
      </c>
      <c r="T61" s="317">
        <v>0</v>
      </c>
      <c r="U61" s="30">
        <v>6700372.6500000004</v>
      </c>
      <c r="V61" s="29">
        <v>189582.03000000003</v>
      </c>
      <c r="W61" s="29">
        <v>853498.62999999989</v>
      </c>
      <c r="X61" s="29">
        <v>1777432.71</v>
      </c>
      <c r="Y61" s="29">
        <v>17952437.200000003</v>
      </c>
      <c r="Z61" s="29">
        <v>4606899.62</v>
      </c>
      <c r="AA61" s="29">
        <v>419236.36</v>
      </c>
      <c r="AB61" s="318">
        <v>7478485.5000000009</v>
      </c>
      <c r="AC61" s="29">
        <v>3048287.3599999994</v>
      </c>
      <c r="AD61" s="29">
        <v>0</v>
      </c>
      <c r="AE61" s="29">
        <v>6304612.0999999996</v>
      </c>
      <c r="AF61" s="29"/>
      <c r="AG61" s="29">
        <v>14333534.91</v>
      </c>
      <c r="AH61" s="29">
        <v>0</v>
      </c>
      <c r="AI61" s="29">
        <v>0</v>
      </c>
      <c r="AJ61" s="29">
        <v>84227671.710000023</v>
      </c>
      <c r="AK61" s="29">
        <v>0</v>
      </c>
      <c r="AL61" s="29"/>
      <c r="AM61" s="29"/>
      <c r="AN61" s="29"/>
      <c r="AO61" s="29"/>
      <c r="AP61" s="29">
        <v>52807579.600000009</v>
      </c>
      <c r="AQ61" s="29"/>
      <c r="AR61" s="29">
        <f>46111253.39+8877582.94</f>
        <v>54988836.329999998</v>
      </c>
      <c r="AS61" s="29">
        <v>0</v>
      </c>
      <c r="AT61" s="29"/>
      <c r="AU61" s="29"/>
      <c r="AV61" s="317">
        <v>2903558.61</v>
      </c>
      <c r="AW61" s="317">
        <v>1982988.4100000004</v>
      </c>
      <c r="AX61" s="317">
        <v>0</v>
      </c>
      <c r="AY61" s="29">
        <v>0</v>
      </c>
      <c r="AZ61" s="29">
        <v>2900587</v>
      </c>
      <c r="BA61" s="317">
        <v>266382.21999999997</v>
      </c>
      <c r="BB61" s="317">
        <v>84749.14</v>
      </c>
      <c r="BC61" s="317">
        <v>390126.92000000004</v>
      </c>
      <c r="BD61" s="317">
        <v>2541998.7799999998</v>
      </c>
      <c r="BE61" s="29">
        <v>3778026.83</v>
      </c>
      <c r="BF61" s="317">
        <v>4990882.7300000004</v>
      </c>
      <c r="BG61" s="317">
        <v>1308258.9099999999</v>
      </c>
      <c r="BH61" s="317">
        <v>18592548.219999999</v>
      </c>
      <c r="BI61" s="317">
        <v>4906733.43</v>
      </c>
      <c r="BJ61" s="317">
        <v>1820825.5200000003</v>
      </c>
      <c r="BK61" s="317">
        <v>5691181.1599999992</v>
      </c>
      <c r="BL61" s="317">
        <v>5204006.0999999996</v>
      </c>
      <c r="BM61" s="317">
        <v>4280354.49</v>
      </c>
      <c r="BN61" s="317">
        <v>7767527.6800000006</v>
      </c>
      <c r="BO61" s="317">
        <v>1320105.54</v>
      </c>
      <c r="BP61" s="317">
        <v>1204736.8999999999</v>
      </c>
      <c r="BQ61" s="317">
        <v>529323.44999999995</v>
      </c>
      <c r="BR61" s="317">
        <f>3355390.84-795806.23</f>
        <v>2559584.61</v>
      </c>
      <c r="BS61" s="317">
        <v>367803.86</v>
      </c>
      <c r="BT61" s="317">
        <v>137837.5</v>
      </c>
      <c r="BU61" s="317">
        <v>0</v>
      </c>
      <c r="BV61" s="317">
        <v>3958012.169999999</v>
      </c>
      <c r="BW61" s="317">
        <v>3003271.7</v>
      </c>
      <c r="BX61" s="317">
        <v>6611060.919999999</v>
      </c>
      <c r="BY61" s="317">
        <v>1494478.0699999996</v>
      </c>
      <c r="BZ61" s="317">
        <v>4227814.16</v>
      </c>
      <c r="CA61" s="317">
        <v>1661008.4500000004</v>
      </c>
      <c r="CB61" s="317">
        <v>6769443.040000001</v>
      </c>
      <c r="CC61" s="317">
        <f>5393076.64-1733691.37</f>
        <v>3659385.2699999996</v>
      </c>
      <c r="CD61" s="28" t="s">
        <v>233</v>
      </c>
      <c r="CE61" s="31">
        <f t="shared" si="4"/>
        <v>517937101.93000019</v>
      </c>
    </row>
    <row r="62" spans="1:83" x14ac:dyDescent="0.25">
      <c r="A62" s="38" t="s">
        <v>9</v>
      </c>
      <c r="B62" s="19"/>
      <c r="C62" s="31">
        <f>ROUND(C47+C48,0)</f>
        <v>3510195</v>
      </c>
      <c r="D62" s="31">
        <f t="shared" ref="D62:BO62" si="5">ROUND(D47+D48,0)</f>
        <v>1697587</v>
      </c>
      <c r="E62" s="31">
        <f t="shared" si="5"/>
        <v>6127370</v>
      </c>
      <c r="F62" s="31">
        <f t="shared" si="5"/>
        <v>283688</v>
      </c>
      <c r="G62" s="31">
        <f t="shared" si="5"/>
        <v>479752</v>
      </c>
      <c r="H62" s="31">
        <f t="shared" si="5"/>
        <v>0</v>
      </c>
      <c r="I62" s="31">
        <f t="shared" si="5"/>
        <v>0</v>
      </c>
      <c r="J62" s="31">
        <f t="shared" si="5"/>
        <v>0</v>
      </c>
      <c r="K62" s="31">
        <f t="shared" si="5"/>
        <v>0</v>
      </c>
      <c r="L62" s="31">
        <f t="shared" si="5"/>
        <v>0</v>
      </c>
      <c r="M62" s="31">
        <f t="shared" si="5"/>
        <v>1361338</v>
      </c>
      <c r="N62" s="31">
        <f t="shared" si="5"/>
        <v>3308680</v>
      </c>
      <c r="O62" s="31">
        <f t="shared" si="5"/>
        <v>4275608</v>
      </c>
      <c r="P62" s="31">
        <f t="shared" si="5"/>
        <v>2392764</v>
      </c>
      <c r="Q62" s="31">
        <f t="shared" si="5"/>
        <v>1479251</v>
      </c>
      <c r="R62" s="31">
        <f t="shared" si="5"/>
        <v>77167</v>
      </c>
      <c r="S62" s="31">
        <f t="shared" si="5"/>
        <v>592832</v>
      </c>
      <c r="T62" s="31">
        <f t="shared" si="5"/>
        <v>0</v>
      </c>
      <c r="U62" s="31">
        <f t="shared" si="5"/>
        <v>1619077</v>
      </c>
      <c r="V62" s="31">
        <f t="shared" si="5"/>
        <v>50249</v>
      </c>
      <c r="W62" s="31">
        <f t="shared" si="5"/>
        <v>139854</v>
      </c>
      <c r="X62" s="31">
        <f t="shared" si="5"/>
        <v>282459</v>
      </c>
      <c r="Y62" s="31">
        <f t="shared" si="5"/>
        <v>3970022</v>
      </c>
      <c r="Z62" s="31">
        <f t="shared" si="5"/>
        <v>802668</v>
      </c>
      <c r="AA62" s="31">
        <f t="shared" si="5"/>
        <v>97709</v>
      </c>
      <c r="AB62" s="31">
        <f t="shared" si="5"/>
        <v>1545735</v>
      </c>
      <c r="AC62" s="31">
        <f t="shared" si="5"/>
        <v>646699</v>
      </c>
      <c r="AD62" s="31">
        <f t="shared" si="5"/>
        <v>0</v>
      </c>
      <c r="AE62" s="31">
        <f t="shared" si="5"/>
        <v>1488326</v>
      </c>
      <c r="AF62" s="31">
        <f t="shared" si="5"/>
        <v>0</v>
      </c>
      <c r="AG62" s="31">
        <f t="shared" si="5"/>
        <v>2823414</v>
      </c>
      <c r="AH62" s="31">
        <f t="shared" si="5"/>
        <v>0</v>
      </c>
      <c r="AI62" s="31">
        <f t="shared" si="5"/>
        <v>0</v>
      </c>
      <c r="AJ62" s="31">
        <f t="shared" si="5"/>
        <v>14902105</v>
      </c>
      <c r="AK62" s="31">
        <f t="shared" si="5"/>
        <v>0</v>
      </c>
      <c r="AL62" s="31">
        <f t="shared" si="5"/>
        <v>0</v>
      </c>
      <c r="AM62" s="31">
        <f t="shared" si="5"/>
        <v>0</v>
      </c>
      <c r="AN62" s="31">
        <f t="shared" si="5"/>
        <v>0</v>
      </c>
      <c r="AO62" s="31">
        <f t="shared" si="5"/>
        <v>0</v>
      </c>
      <c r="AP62" s="31">
        <f t="shared" si="5"/>
        <v>10785873</v>
      </c>
      <c r="AQ62" s="31">
        <f t="shared" si="5"/>
        <v>0</v>
      </c>
      <c r="AR62" s="31">
        <f t="shared" si="5"/>
        <v>13068153</v>
      </c>
      <c r="AS62" s="31">
        <f t="shared" si="5"/>
        <v>0</v>
      </c>
      <c r="AT62" s="31">
        <f t="shared" si="5"/>
        <v>0</v>
      </c>
      <c r="AU62" s="31">
        <f t="shared" si="5"/>
        <v>0</v>
      </c>
      <c r="AV62" s="31">
        <f t="shared" si="5"/>
        <v>633131</v>
      </c>
      <c r="AW62" s="31">
        <f t="shared" si="5"/>
        <v>390305</v>
      </c>
      <c r="AX62" s="31">
        <f t="shared" si="5"/>
        <v>0</v>
      </c>
      <c r="AY62" s="31">
        <f t="shared" si="5"/>
        <v>0</v>
      </c>
      <c r="AZ62" s="31">
        <f t="shared" si="5"/>
        <v>984284</v>
      </c>
      <c r="BA62" s="31">
        <f t="shared" si="5"/>
        <v>114825</v>
      </c>
      <c r="BB62" s="31">
        <f t="shared" si="5"/>
        <v>0</v>
      </c>
      <c r="BC62" s="31">
        <f t="shared" si="5"/>
        <v>112886</v>
      </c>
      <c r="BD62" s="31">
        <f t="shared" si="5"/>
        <v>756122</v>
      </c>
      <c r="BE62" s="31">
        <f t="shared" si="5"/>
        <v>1046406</v>
      </c>
      <c r="BF62" s="31">
        <f t="shared" si="5"/>
        <v>1747325</v>
      </c>
      <c r="BG62" s="31">
        <f t="shared" si="5"/>
        <v>273333</v>
      </c>
      <c r="BH62" s="31">
        <f t="shared" si="5"/>
        <v>2806413</v>
      </c>
      <c r="BI62" s="31">
        <f t="shared" si="5"/>
        <v>510307</v>
      </c>
      <c r="BJ62" s="31">
        <f t="shared" si="5"/>
        <v>423290</v>
      </c>
      <c r="BK62" s="31">
        <f t="shared" si="5"/>
        <v>1605972</v>
      </c>
      <c r="BL62" s="31">
        <f t="shared" si="5"/>
        <v>1536858</v>
      </c>
      <c r="BM62" s="31">
        <f t="shared" si="5"/>
        <v>1166256</v>
      </c>
      <c r="BN62" s="31">
        <f t="shared" si="5"/>
        <v>1259322</v>
      </c>
      <c r="BO62" s="31">
        <f t="shared" si="5"/>
        <v>277989</v>
      </c>
      <c r="BP62" s="31">
        <f t="shared" ref="BP62:CC62" si="6">ROUND(BP47+BP48,0)</f>
        <v>356865</v>
      </c>
      <c r="BQ62" s="31">
        <f t="shared" si="6"/>
        <v>116190</v>
      </c>
      <c r="BR62" s="31">
        <f t="shared" si="6"/>
        <v>5158748</v>
      </c>
      <c r="BS62" s="31">
        <f t="shared" si="6"/>
        <v>122575</v>
      </c>
      <c r="BT62" s="31">
        <f t="shared" si="6"/>
        <v>56661</v>
      </c>
      <c r="BU62" s="31">
        <f t="shared" si="6"/>
        <v>0</v>
      </c>
      <c r="BV62" s="31">
        <f t="shared" si="6"/>
        <v>1231879</v>
      </c>
      <c r="BW62" s="31">
        <f t="shared" si="6"/>
        <v>163854</v>
      </c>
      <c r="BX62" s="31">
        <f t="shared" si="6"/>
        <v>1369685</v>
      </c>
      <c r="BY62" s="31">
        <f t="shared" si="6"/>
        <v>374354</v>
      </c>
      <c r="BZ62" s="31">
        <f t="shared" si="6"/>
        <v>1188814</v>
      </c>
      <c r="CA62" s="31">
        <f t="shared" si="6"/>
        <v>399258</v>
      </c>
      <c r="CB62" s="31">
        <f t="shared" si="6"/>
        <v>1862526</v>
      </c>
      <c r="CC62" s="31">
        <f t="shared" si="6"/>
        <v>1176345</v>
      </c>
      <c r="CD62" s="28" t="s">
        <v>233</v>
      </c>
      <c r="CE62" s="31">
        <f t="shared" si="4"/>
        <v>107031353</v>
      </c>
    </row>
    <row r="63" spans="1:83" x14ac:dyDescent="0.25">
      <c r="A63" s="38" t="s">
        <v>249</v>
      </c>
      <c r="B63" s="19"/>
      <c r="C63" s="23">
        <v>750325.11</v>
      </c>
      <c r="D63" s="23">
        <v>0</v>
      </c>
      <c r="E63" s="23">
        <v>0</v>
      </c>
      <c r="F63" s="23">
        <v>0</v>
      </c>
      <c r="G63" s="23">
        <v>500</v>
      </c>
      <c r="H63" s="23">
        <v>0</v>
      </c>
      <c r="I63" s="23">
        <v>0</v>
      </c>
      <c r="J63" s="23"/>
      <c r="K63" s="23"/>
      <c r="L63" s="23"/>
      <c r="M63" s="23">
        <v>0</v>
      </c>
      <c r="N63" s="23">
        <v>707372.91</v>
      </c>
      <c r="O63" s="23">
        <v>1761145.62</v>
      </c>
      <c r="P63" s="29">
        <v>0</v>
      </c>
      <c r="Q63" s="29">
        <v>0</v>
      </c>
      <c r="R63" s="29">
        <v>0</v>
      </c>
      <c r="S63" s="317">
        <v>0</v>
      </c>
      <c r="T63" s="317">
        <v>0</v>
      </c>
      <c r="U63" s="30">
        <v>56534.48</v>
      </c>
      <c r="V63" s="29">
        <v>3300</v>
      </c>
      <c r="W63" s="29">
        <v>0</v>
      </c>
      <c r="X63" s="29">
        <v>0</v>
      </c>
      <c r="Y63" s="29">
        <v>109755.7</v>
      </c>
      <c r="Z63" s="29">
        <v>0</v>
      </c>
      <c r="AA63" s="29">
        <v>0</v>
      </c>
      <c r="AB63" s="318">
        <v>0</v>
      </c>
      <c r="AC63" s="29">
        <v>0</v>
      </c>
      <c r="AD63" s="29">
        <v>0</v>
      </c>
      <c r="AE63" s="29">
        <v>0</v>
      </c>
      <c r="AF63" s="29"/>
      <c r="AG63" s="29">
        <v>322806.8</v>
      </c>
      <c r="AH63" s="29">
        <v>0</v>
      </c>
      <c r="AI63" s="29">
        <v>0</v>
      </c>
      <c r="AJ63" s="29">
        <v>800599.20000000007</v>
      </c>
      <c r="AK63" s="29">
        <v>0</v>
      </c>
      <c r="AL63" s="29"/>
      <c r="AM63" s="29"/>
      <c r="AN63" s="29"/>
      <c r="AO63" s="29"/>
      <c r="AP63" s="29">
        <v>6581890.8200000003</v>
      </c>
      <c r="AQ63" s="29"/>
      <c r="AR63" s="29">
        <v>6722.13</v>
      </c>
      <c r="AS63" s="29">
        <v>0</v>
      </c>
      <c r="AT63" s="29"/>
      <c r="AU63" s="29"/>
      <c r="AV63" s="317">
        <v>0</v>
      </c>
      <c r="AW63" s="317">
        <v>307335.82999999996</v>
      </c>
      <c r="AX63" s="317">
        <v>0</v>
      </c>
      <c r="AY63" s="29">
        <v>0</v>
      </c>
      <c r="AZ63" s="29">
        <v>125.9</v>
      </c>
      <c r="BA63" s="317">
        <v>0</v>
      </c>
      <c r="BB63" s="317">
        <v>0</v>
      </c>
      <c r="BC63" s="317">
        <v>0</v>
      </c>
      <c r="BD63" s="317">
        <v>0</v>
      </c>
      <c r="BE63" s="29">
        <v>337.5</v>
      </c>
      <c r="BF63" s="317">
        <v>0</v>
      </c>
      <c r="BG63" s="317">
        <v>0</v>
      </c>
      <c r="BH63" s="317">
        <v>1950</v>
      </c>
      <c r="BI63" s="317">
        <v>416116.54</v>
      </c>
      <c r="BJ63" s="317">
        <v>354674.80000000005</v>
      </c>
      <c r="BK63" s="317">
        <v>158699.65</v>
      </c>
      <c r="BL63" s="317">
        <v>0</v>
      </c>
      <c r="BM63" s="317">
        <v>-50</v>
      </c>
      <c r="BN63" s="317">
        <v>6478328.79</v>
      </c>
      <c r="BO63" s="317">
        <v>1234</v>
      </c>
      <c r="BP63" s="317">
        <v>-7620</v>
      </c>
      <c r="BQ63" s="317">
        <v>0</v>
      </c>
      <c r="BR63" s="317">
        <f>2342104.44+250614.38</f>
        <v>2592718.8199999998</v>
      </c>
      <c r="BS63" s="317">
        <v>0</v>
      </c>
      <c r="BT63" s="317">
        <v>0</v>
      </c>
      <c r="BU63" s="317">
        <v>0</v>
      </c>
      <c r="BV63" s="317">
        <v>-6744.56</v>
      </c>
      <c r="BW63" s="317">
        <v>2138121.15</v>
      </c>
      <c r="BX63" s="317">
        <v>125944.93</v>
      </c>
      <c r="BY63" s="317">
        <v>1280</v>
      </c>
      <c r="BZ63" s="317">
        <v>0</v>
      </c>
      <c r="CA63" s="317">
        <v>1031.25</v>
      </c>
      <c r="CB63" s="317">
        <v>0</v>
      </c>
      <c r="CC63" s="317">
        <f>204438.05+500</f>
        <v>204938.05</v>
      </c>
      <c r="CD63" s="28" t="s">
        <v>233</v>
      </c>
      <c r="CE63" s="31">
        <f t="shared" si="4"/>
        <v>23869375.420000002</v>
      </c>
    </row>
    <row r="64" spans="1:83" x14ac:dyDescent="0.25">
      <c r="A64" s="38" t="s">
        <v>250</v>
      </c>
      <c r="B64" s="19"/>
      <c r="C64" s="23">
        <v>1559956.5900000003</v>
      </c>
      <c r="D64" s="23">
        <v>685223.06</v>
      </c>
      <c r="E64" s="23">
        <v>2422980.3800000008</v>
      </c>
      <c r="F64" s="23">
        <v>1914.5</v>
      </c>
      <c r="G64" s="23">
        <v>75780.86</v>
      </c>
      <c r="H64" s="23">
        <v>0</v>
      </c>
      <c r="I64" s="23">
        <v>0</v>
      </c>
      <c r="J64" s="23"/>
      <c r="K64" s="23"/>
      <c r="L64" s="23"/>
      <c r="M64" s="23">
        <f>126003.83+45440.01</f>
        <v>171443.84</v>
      </c>
      <c r="N64" s="23">
        <v>28152.610000000004</v>
      </c>
      <c r="O64" s="23">
        <v>2797298.1799999997</v>
      </c>
      <c r="P64" s="29">
        <v>38309592.769999981</v>
      </c>
      <c r="Q64" s="29">
        <v>749944.1399999999</v>
      </c>
      <c r="R64" s="29">
        <v>555702.31000000006</v>
      </c>
      <c r="S64" s="317">
        <v>818058.88000000012</v>
      </c>
      <c r="T64" s="317">
        <v>0</v>
      </c>
      <c r="U64" s="30">
        <v>6846539.0499999989</v>
      </c>
      <c r="V64" s="29">
        <v>47970.31</v>
      </c>
      <c r="W64" s="29">
        <v>198039.67999999996</v>
      </c>
      <c r="X64" s="29">
        <v>465640.77</v>
      </c>
      <c r="Y64" s="29">
        <v>7957172.9400000023</v>
      </c>
      <c r="Z64" s="29">
        <v>684530.53</v>
      </c>
      <c r="AA64" s="29">
        <v>440199.26</v>
      </c>
      <c r="AB64" s="318">
        <v>19613803.989999995</v>
      </c>
      <c r="AC64" s="29">
        <v>338726.52000000014</v>
      </c>
      <c r="AD64" s="29">
        <v>0</v>
      </c>
      <c r="AE64" s="29">
        <v>135859.12000000002</v>
      </c>
      <c r="AF64" s="29"/>
      <c r="AG64" s="29">
        <v>1866443.2900000003</v>
      </c>
      <c r="AH64" s="29">
        <v>0</v>
      </c>
      <c r="AI64" s="29">
        <v>0</v>
      </c>
      <c r="AJ64" s="29">
        <v>5653744.5</v>
      </c>
      <c r="AK64" s="29">
        <v>0</v>
      </c>
      <c r="AL64" s="29"/>
      <c r="AM64" s="29"/>
      <c r="AN64" s="29"/>
      <c r="AO64" s="29"/>
      <c r="AP64" s="29">
        <v>8077516.0599999987</v>
      </c>
      <c r="AQ64" s="29"/>
      <c r="AR64" s="29">
        <f>3473902.94+408960.08</f>
        <v>3882863.02</v>
      </c>
      <c r="AS64" s="29">
        <v>0</v>
      </c>
      <c r="AT64" s="29"/>
      <c r="AU64" s="29"/>
      <c r="AV64" s="317">
        <v>9143633.6099999994</v>
      </c>
      <c r="AW64" s="317">
        <v>43133.59</v>
      </c>
      <c r="AX64" s="317">
        <v>339095.25999999995</v>
      </c>
      <c r="AY64" s="29">
        <v>0</v>
      </c>
      <c r="AZ64" s="29">
        <v>2035358.74</v>
      </c>
      <c r="BA64" s="317">
        <v>35118.35</v>
      </c>
      <c r="BB64" s="317">
        <v>0</v>
      </c>
      <c r="BC64" s="317">
        <v>2391.38</v>
      </c>
      <c r="BD64" s="317">
        <v>78310.279999999984</v>
      </c>
      <c r="BE64" s="29">
        <v>491617.15</v>
      </c>
      <c r="BF64" s="317">
        <v>362151.17</v>
      </c>
      <c r="BG64" s="317">
        <v>147834.56</v>
      </c>
      <c r="BH64" s="317">
        <v>1831358.54</v>
      </c>
      <c r="BI64" s="317">
        <v>396810.67000000004</v>
      </c>
      <c r="BJ64" s="317">
        <v>14238.329999999998</v>
      </c>
      <c r="BK64" s="317">
        <v>50326.170000000006</v>
      </c>
      <c r="BL64" s="317">
        <v>46144.72</v>
      </c>
      <c r="BM64" s="317">
        <v>24539.500000000004</v>
      </c>
      <c r="BN64" s="317">
        <v>48004.81</v>
      </c>
      <c r="BO64" s="317">
        <v>235139.44999999998</v>
      </c>
      <c r="BP64" s="317">
        <v>84419.09</v>
      </c>
      <c r="BQ64" s="317">
        <v>1757.74</v>
      </c>
      <c r="BR64" s="317">
        <v>60032.080000000009</v>
      </c>
      <c r="BS64" s="317">
        <v>249631.61000000002</v>
      </c>
      <c r="BT64" s="317">
        <v>35.24</v>
      </c>
      <c r="BU64" s="317">
        <v>36664.03</v>
      </c>
      <c r="BV64" s="317">
        <v>7087.3</v>
      </c>
      <c r="BW64" s="317">
        <v>1549.79</v>
      </c>
      <c r="BX64" s="317">
        <v>57496.08</v>
      </c>
      <c r="BY64" s="317">
        <v>8730.85</v>
      </c>
      <c r="BZ64" s="317">
        <v>3718.9700000000003</v>
      </c>
      <c r="CA64" s="317">
        <v>369300.67</v>
      </c>
      <c r="CB64" s="317">
        <v>43237.72</v>
      </c>
      <c r="CC64" s="317">
        <f>41448.25-1984507.08</f>
        <v>-1943058.83</v>
      </c>
      <c r="CD64" s="28" t="s">
        <v>233</v>
      </c>
      <c r="CE64" s="31">
        <f t="shared" si="4"/>
        <v>118690905.78</v>
      </c>
    </row>
    <row r="65" spans="1:83" x14ac:dyDescent="0.25">
      <c r="A65" s="38" t="s">
        <v>251</v>
      </c>
      <c r="B65" s="19"/>
      <c r="C65" s="23">
        <v>5575.72</v>
      </c>
      <c r="D65" s="23">
        <v>0</v>
      </c>
      <c r="E65" s="23">
        <v>0</v>
      </c>
      <c r="F65" s="23">
        <v>0</v>
      </c>
      <c r="G65" s="23">
        <v>0</v>
      </c>
      <c r="H65" s="23">
        <v>0</v>
      </c>
      <c r="I65" s="23">
        <v>0</v>
      </c>
      <c r="J65" s="23"/>
      <c r="K65" s="23"/>
      <c r="L65" s="23"/>
      <c r="M65" s="23">
        <f>4594.74+7990.45</f>
        <v>12585.189999999999</v>
      </c>
      <c r="N65" s="23">
        <v>29691.06</v>
      </c>
      <c r="O65" s="23">
        <v>0</v>
      </c>
      <c r="P65" s="29">
        <v>0</v>
      </c>
      <c r="Q65" s="29">
        <v>731.02</v>
      </c>
      <c r="R65" s="29">
        <v>0</v>
      </c>
      <c r="S65" s="317">
        <v>0</v>
      </c>
      <c r="T65" s="317">
        <v>0</v>
      </c>
      <c r="U65" s="30">
        <v>0</v>
      </c>
      <c r="V65" s="29">
        <v>0</v>
      </c>
      <c r="W65" s="29">
        <v>0</v>
      </c>
      <c r="X65" s="29">
        <v>0</v>
      </c>
      <c r="Y65" s="29">
        <v>13266.970000000001</v>
      </c>
      <c r="Z65" s="29">
        <v>2154.33</v>
      </c>
      <c r="AA65" s="29">
        <v>0</v>
      </c>
      <c r="AB65" s="318">
        <v>0</v>
      </c>
      <c r="AC65" s="29">
        <v>0</v>
      </c>
      <c r="AD65" s="29">
        <v>0</v>
      </c>
      <c r="AE65" s="29">
        <v>6454.420000000001</v>
      </c>
      <c r="AF65" s="29"/>
      <c r="AG65" s="29">
        <v>2493.8900000000003</v>
      </c>
      <c r="AH65" s="29">
        <v>0</v>
      </c>
      <c r="AI65" s="29">
        <v>0</v>
      </c>
      <c r="AJ65" s="29">
        <v>130401.53</v>
      </c>
      <c r="AK65" s="29">
        <v>0</v>
      </c>
      <c r="AL65" s="29"/>
      <c r="AM65" s="29"/>
      <c r="AN65" s="29"/>
      <c r="AO65" s="29"/>
      <c r="AP65" s="29">
        <v>211752.8</v>
      </c>
      <c r="AQ65" s="29"/>
      <c r="AR65" s="29">
        <f>241459.7+71914.05</f>
        <v>313373.75</v>
      </c>
      <c r="AS65" s="29">
        <v>0</v>
      </c>
      <c r="AT65" s="29"/>
      <c r="AU65" s="29"/>
      <c r="AV65" s="317">
        <v>2645.24</v>
      </c>
      <c r="AW65" s="317">
        <v>0</v>
      </c>
      <c r="AX65" s="317">
        <v>3357.52</v>
      </c>
      <c r="AY65" s="29">
        <v>0</v>
      </c>
      <c r="AZ65" s="29">
        <v>0</v>
      </c>
      <c r="BA65" s="317">
        <v>0</v>
      </c>
      <c r="BB65" s="317">
        <v>0</v>
      </c>
      <c r="BC65" s="317">
        <v>0</v>
      </c>
      <c r="BD65" s="317">
        <v>0</v>
      </c>
      <c r="BE65" s="29">
        <v>4610709.6800000006</v>
      </c>
      <c r="BF65" s="317">
        <v>521250.52</v>
      </c>
      <c r="BG65" s="317">
        <v>1290825.24</v>
      </c>
      <c r="BH65" s="317">
        <v>1386.67</v>
      </c>
      <c r="BI65" s="317">
        <v>1505.21</v>
      </c>
      <c r="BJ65" s="317">
        <v>0</v>
      </c>
      <c r="BK65" s="317">
        <v>0</v>
      </c>
      <c r="BL65" s="317">
        <v>0</v>
      </c>
      <c r="BM65" s="317">
        <v>0</v>
      </c>
      <c r="BN65" s="317">
        <v>0</v>
      </c>
      <c r="BO65" s="317">
        <v>418.76</v>
      </c>
      <c r="BP65" s="317">
        <v>666.72</v>
      </c>
      <c r="BQ65" s="317">
        <v>0</v>
      </c>
      <c r="BR65" s="317">
        <v>0</v>
      </c>
      <c r="BS65" s="317">
        <v>566.72</v>
      </c>
      <c r="BT65" s="317">
        <v>3991.29</v>
      </c>
      <c r="BU65" s="317">
        <v>0</v>
      </c>
      <c r="BV65" s="317">
        <v>0</v>
      </c>
      <c r="BW65" s="317">
        <v>0</v>
      </c>
      <c r="BX65" s="317">
        <v>6387.54</v>
      </c>
      <c r="BY65" s="317">
        <v>1241.21</v>
      </c>
      <c r="BZ65" s="317">
        <v>0</v>
      </c>
      <c r="CA65" s="317">
        <v>0</v>
      </c>
      <c r="CB65" s="317">
        <v>4463.74</v>
      </c>
      <c r="CC65" s="317">
        <v>0</v>
      </c>
      <c r="CD65" s="28" t="s">
        <v>233</v>
      </c>
      <c r="CE65" s="31">
        <f t="shared" si="4"/>
        <v>7177896.7400000002</v>
      </c>
    </row>
    <row r="66" spans="1:83" x14ac:dyDescent="0.25">
      <c r="A66" s="38" t="s">
        <v>252</v>
      </c>
      <c r="B66" s="19"/>
      <c r="C66" s="23">
        <v>526923.65</v>
      </c>
      <c r="D66" s="23">
        <v>512211.66</v>
      </c>
      <c r="E66" s="23">
        <v>1157457.3799999999</v>
      </c>
      <c r="F66" s="23">
        <v>701.35</v>
      </c>
      <c r="G66" s="23">
        <v>82693.12000000001</v>
      </c>
      <c r="H66" s="23">
        <v>0</v>
      </c>
      <c r="I66" s="23">
        <v>33.72</v>
      </c>
      <c r="J66" s="23"/>
      <c r="K66" s="23"/>
      <c r="L66" s="23"/>
      <c r="M66" s="23">
        <f>89252.26+12670.27</f>
        <v>101922.53</v>
      </c>
      <c r="N66" s="23">
        <v>3020.67</v>
      </c>
      <c r="O66" s="23">
        <v>327042.3</v>
      </c>
      <c r="P66" s="29">
        <v>2648760.2500000005</v>
      </c>
      <c r="Q66" s="29">
        <v>77088.739999999991</v>
      </c>
      <c r="R66" s="29">
        <v>63953.33</v>
      </c>
      <c r="S66" s="317">
        <v>127259.04999999999</v>
      </c>
      <c r="T66" s="317">
        <v>0</v>
      </c>
      <c r="U66" s="30">
        <v>7254947.9500000002</v>
      </c>
      <c r="V66" s="29">
        <v>960.28</v>
      </c>
      <c r="W66" s="29">
        <v>183326.34</v>
      </c>
      <c r="X66" s="29">
        <v>468811.75</v>
      </c>
      <c r="Y66" s="29">
        <v>5376836.0600000005</v>
      </c>
      <c r="Z66" s="29">
        <v>1390803.84</v>
      </c>
      <c r="AA66" s="29">
        <v>51417.159999999996</v>
      </c>
      <c r="AB66" s="318">
        <v>282330.99999999994</v>
      </c>
      <c r="AC66" s="29">
        <v>73809.960000000006</v>
      </c>
      <c r="AD66" s="29">
        <v>0</v>
      </c>
      <c r="AE66" s="29">
        <v>878294.72</v>
      </c>
      <c r="AF66" s="29"/>
      <c r="AG66" s="29">
        <v>686559.10000000009</v>
      </c>
      <c r="AH66" s="29">
        <v>0</v>
      </c>
      <c r="AI66" s="29">
        <v>0</v>
      </c>
      <c r="AJ66" s="29">
        <v>1261447.26</v>
      </c>
      <c r="AK66" s="29">
        <v>454.98</v>
      </c>
      <c r="AL66" s="29"/>
      <c r="AM66" s="29"/>
      <c r="AN66" s="29"/>
      <c r="AO66" s="29"/>
      <c r="AP66" s="29">
        <v>1616489.58</v>
      </c>
      <c r="AQ66" s="29"/>
      <c r="AR66" s="29">
        <f>2227717.51+114032.42</f>
        <v>2341749.9299999997</v>
      </c>
      <c r="AS66" s="29">
        <v>0</v>
      </c>
      <c r="AT66" s="29"/>
      <c r="AU66" s="29"/>
      <c r="AV66" s="317">
        <v>688883.09</v>
      </c>
      <c r="AW66" s="317">
        <v>96716.060000000012</v>
      </c>
      <c r="AX66" s="317">
        <v>825386.48</v>
      </c>
      <c r="AY66" s="29">
        <v>0</v>
      </c>
      <c r="AZ66" s="29">
        <v>269763.15000000002</v>
      </c>
      <c r="BA66" s="317">
        <v>1.77</v>
      </c>
      <c r="BB66" s="317">
        <v>240700</v>
      </c>
      <c r="BC66" s="317">
        <v>0</v>
      </c>
      <c r="BD66" s="317">
        <v>9181.2900000000009</v>
      </c>
      <c r="BE66" s="29">
        <v>2905582.7199999997</v>
      </c>
      <c r="BF66" s="317">
        <v>-1033133.0499999999</v>
      </c>
      <c r="BG66" s="317">
        <v>1319775.74</v>
      </c>
      <c r="BH66" s="317">
        <v>32166388.559999999</v>
      </c>
      <c r="BI66" s="317">
        <v>452066.48999999993</v>
      </c>
      <c r="BJ66" s="317">
        <v>63002.91</v>
      </c>
      <c r="BK66" s="317">
        <v>2794435.9200000004</v>
      </c>
      <c r="BL66" s="317">
        <v>556439.07000000007</v>
      </c>
      <c r="BM66" s="317">
        <v>487617.88</v>
      </c>
      <c r="BN66" s="317">
        <v>1125408.1000000001</v>
      </c>
      <c r="BO66" s="317">
        <v>98607.040000000008</v>
      </c>
      <c r="BP66" s="317">
        <v>5360035.3100000005</v>
      </c>
      <c r="BQ66" s="317">
        <v>281.11</v>
      </c>
      <c r="BR66" s="317">
        <v>724549.29</v>
      </c>
      <c r="BS66" s="317">
        <v>11733.5</v>
      </c>
      <c r="BT66" s="317">
        <v>139.63999999999999</v>
      </c>
      <c r="BU66" s="317">
        <v>0</v>
      </c>
      <c r="BV66" s="317">
        <v>1611799.11</v>
      </c>
      <c r="BW66" s="317">
        <v>184782.67</v>
      </c>
      <c r="BX66" s="317">
        <v>1163551.93</v>
      </c>
      <c r="BY66" s="317">
        <v>109943.44</v>
      </c>
      <c r="BZ66" s="317">
        <v>19.87</v>
      </c>
      <c r="CA66" s="317">
        <v>319246.61000000004</v>
      </c>
      <c r="CB66" s="317">
        <v>52141.969999999994</v>
      </c>
      <c r="CC66" s="317">
        <f>897764.36+177460.57+240139.9+2981531.1</f>
        <v>4296895.93</v>
      </c>
      <c r="CD66" s="28" t="s">
        <v>233</v>
      </c>
      <c r="CE66" s="31">
        <f t="shared" si="4"/>
        <v>84399251.25999999</v>
      </c>
    </row>
    <row r="67" spans="1:83" x14ac:dyDescent="0.25">
      <c r="A67" s="38" t="s">
        <v>11</v>
      </c>
      <c r="B67" s="19"/>
      <c r="C67" s="31">
        <f>ROUND(C51+C52,0)</f>
        <v>2538695</v>
      </c>
      <c r="D67" s="31">
        <f t="shared" ref="D67:BN67" si="7">ROUND(D51+D52,0)</f>
        <v>1451636</v>
      </c>
      <c r="E67" s="31">
        <f t="shared" si="7"/>
        <v>2151509</v>
      </c>
      <c r="F67" s="31">
        <f t="shared" si="7"/>
        <v>1390</v>
      </c>
      <c r="G67" s="31">
        <f t="shared" si="7"/>
        <v>80264</v>
      </c>
      <c r="H67" s="31">
        <f t="shared" si="7"/>
        <v>0</v>
      </c>
      <c r="I67" s="31">
        <f t="shared" si="7"/>
        <v>0</v>
      </c>
      <c r="J67" s="31">
        <f t="shared" si="7"/>
        <v>0</v>
      </c>
      <c r="K67" s="31">
        <f t="shared" si="7"/>
        <v>0</v>
      </c>
      <c r="L67" s="31">
        <f t="shared" si="7"/>
        <v>0</v>
      </c>
      <c r="M67" s="31">
        <f t="shared" si="7"/>
        <v>238354</v>
      </c>
      <c r="N67" s="31">
        <f t="shared" si="7"/>
        <v>3939</v>
      </c>
      <c r="O67" s="31">
        <f t="shared" si="7"/>
        <v>1965993</v>
      </c>
      <c r="P67" s="31">
        <f t="shared" si="7"/>
        <v>3673385</v>
      </c>
      <c r="Q67" s="31">
        <f t="shared" si="7"/>
        <v>139695</v>
      </c>
      <c r="R67" s="31">
        <f t="shared" si="7"/>
        <v>137140</v>
      </c>
      <c r="S67" s="31">
        <f t="shared" si="7"/>
        <v>323889</v>
      </c>
      <c r="T67" s="31">
        <f t="shared" si="7"/>
        <v>0</v>
      </c>
      <c r="U67" s="31">
        <f t="shared" si="7"/>
        <v>417019</v>
      </c>
      <c r="V67" s="31">
        <f t="shared" si="7"/>
        <v>8222</v>
      </c>
      <c r="W67" s="31">
        <f t="shared" si="7"/>
        <v>133896</v>
      </c>
      <c r="X67" s="31">
        <f t="shared" si="7"/>
        <v>191088</v>
      </c>
      <c r="Y67" s="31">
        <f t="shared" si="7"/>
        <v>3383885</v>
      </c>
      <c r="Z67" s="31">
        <f t="shared" si="7"/>
        <v>910224</v>
      </c>
      <c r="AA67" s="31">
        <f t="shared" si="7"/>
        <v>37590</v>
      </c>
      <c r="AB67" s="31">
        <f t="shared" si="7"/>
        <v>308189</v>
      </c>
      <c r="AC67" s="31">
        <f t="shared" si="7"/>
        <v>41262</v>
      </c>
      <c r="AD67" s="31">
        <f t="shared" si="7"/>
        <v>0</v>
      </c>
      <c r="AE67" s="31">
        <f t="shared" si="7"/>
        <v>295288</v>
      </c>
      <c r="AF67" s="31">
        <f t="shared" si="7"/>
        <v>0</v>
      </c>
      <c r="AG67" s="31">
        <f t="shared" si="7"/>
        <v>1635377</v>
      </c>
      <c r="AH67" s="31">
        <f t="shared" si="7"/>
        <v>0</v>
      </c>
      <c r="AI67" s="31">
        <f t="shared" si="7"/>
        <v>0</v>
      </c>
      <c r="AJ67" s="31">
        <f t="shared" si="7"/>
        <v>2873171</v>
      </c>
      <c r="AK67" s="31">
        <f t="shared" si="7"/>
        <v>0</v>
      </c>
      <c r="AL67" s="31">
        <f t="shared" si="7"/>
        <v>0</v>
      </c>
      <c r="AM67" s="31">
        <f t="shared" si="7"/>
        <v>0</v>
      </c>
      <c r="AN67" s="31">
        <f t="shared" si="7"/>
        <v>0</v>
      </c>
      <c r="AO67" s="31">
        <f t="shared" si="7"/>
        <v>0</v>
      </c>
      <c r="AP67" s="31">
        <f t="shared" si="7"/>
        <v>7393473</v>
      </c>
      <c r="AQ67" s="31">
        <f t="shared" si="7"/>
        <v>0</v>
      </c>
      <c r="AR67" s="31">
        <f t="shared" si="7"/>
        <v>587586</v>
      </c>
      <c r="AS67" s="31">
        <f t="shared" si="7"/>
        <v>0</v>
      </c>
      <c r="AT67" s="31">
        <f t="shared" si="7"/>
        <v>0</v>
      </c>
      <c r="AU67" s="31">
        <f t="shared" si="7"/>
        <v>0</v>
      </c>
      <c r="AV67" s="31">
        <f t="shared" si="7"/>
        <v>195144</v>
      </c>
      <c r="AW67" s="31">
        <f t="shared" si="7"/>
        <v>34863</v>
      </c>
      <c r="AX67" s="31">
        <f t="shared" si="7"/>
        <v>466612</v>
      </c>
      <c r="AY67" s="31">
        <f t="shared" si="7"/>
        <v>0</v>
      </c>
      <c r="AZ67" s="31">
        <f t="shared" si="7"/>
        <v>745045</v>
      </c>
      <c r="BA67" s="31">
        <f t="shared" si="7"/>
        <v>5511</v>
      </c>
      <c r="BB67" s="31">
        <f t="shared" si="7"/>
        <v>0</v>
      </c>
      <c r="BC67" s="31">
        <f t="shared" si="7"/>
        <v>11595</v>
      </c>
      <c r="BD67" s="31">
        <f t="shared" si="7"/>
        <v>68466</v>
      </c>
      <c r="BE67" s="31">
        <f t="shared" si="7"/>
        <v>8671469</v>
      </c>
      <c r="BF67" s="31">
        <f t="shared" si="7"/>
        <v>65002</v>
      </c>
      <c r="BG67" s="31">
        <f t="shared" si="7"/>
        <v>58176</v>
      </c>
      <c r="BH67" s="31">
        <f t="shared" si="7"/>
        <v>7013961</v>
      </c>
      <c r="BI67" s="31">
        <f t="shared" si="7"/>
        <v>909223</v>
      </c>
      <c r="BJ67" s="31">
        <f t="shared" si="7"/>
        <v>37313</v>
      </c>
      <c r="BK67" s="31">
        <f t="shared" si="7"/>
        <v>48836</v>
      </c>
      <c r="BL67" s="31">
        <f t="shared" si="7"/>
        <v>26203</v>
      </c>
      <c r="BM67" s="31">
        <f t="shared" si="7"/>
        <v>12735</v>
      </c>
      <c r="BN67" s="31">
        <f t="shared" si="7"/>
        <v>226493</v>
      </c>
      <c r="BO67" s="31">
        <f t="shared" ref="BO67:CC67" si="8">ROUND(BO51+BO52,0)</f>
        <v>56926</v>
      </c>
      <c r="BP67" s="31">
        <f t="shared" si="8"/>
        <v>74856</v>
      </c>
      <c r="BQ67" s="31">
        <f t="shared" si="8"/>
        <v>3058</v>
      </c>
      <c r="BR67" s="31">
        <f t="shared" si="8"/>
        <v>6528</v>
      </c>
      <c r="BS67" s="31">
        <f t="shared" si="8"/>
        <v>17793</v>
      </c>
      <c r="BT67" s="31">
        <f t="shared" si="8"/>
        <v>20389</v>
      </c>
      <c r="BU67" s="31">
        <f t="shared" si="8"/>
        <v>0</v>
      </c>
      <c r="BV67" s="31">
        <f t="shared" si="8"/>
        <v>118183</v>
      </c>
      <c r="BW67" s="31">
        <f t="shared" si="8"/>
        <v>22702</v>
      </c>
      <c r="BX67" s="31">
        <f t="shared" si="8"/>
        <v>66353</v>
      </c>
      <c r="BY67" s="31">
        <f t="shared" si="8"/>
        <v>219574</v>
      </c>
      <c r="BZ67" s="31">
        <f t="shared" si="8"/>
        <v>6913</v>
      </c>
      <c r="CA67" s="31">
        <f t="shared" si="8"/>
        <v>18108</v>
      </c>
      <c r="CB67" s="31">
        <f t="shared" si="8"/>
        <v>144318</v>
      </c>
      <c r="CC67" s="31">
        <f t="shared" si="8"/>
        <v>216545</v>
      </c>
      <c r="CD67" s="28" t="s">
        <v>233</v>
      </c>
      <c r="CE67" s="31">
        <f t="shared" si="4"/>
        <v>50511052</v>
      </c>
    </row>
    <row r="68" spans="1:83" x14ac:dyDescent="0.25">
      <c r="A68" s="38" t="s">
        <v>253</v>
      </c>
      <c r="B68" s="31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>
        <v>25943.13</v>
      </c>
      <c r="N68" s="23">
        <v>0</v>
      </c>
      <c r="O68" s="23">
        <v>0</v>
      </c>
      <c r="P68" s="29">
        <v>71537.820000000007</v>
      </c>
      <c r="Q68" s="29">
        <v>0</v>
      </c>
      <c r="R68" s="29">
        <v>0</v>
      </c>
      <c r="S68" s="317">
        <v>0</v>
      </c>
      <c r="T68" s="317">
        <v>0</v>
      </c>
      <c r="U68" s="30">
        <v>2059.4499999999998</v>
      </c>
      <c r="V68" s="29">
        <v>0</v>
      </c>
      <c r="W68" s="29">
        <v>0</v>
      </c>
      <c r="X68" s="29">
        <v>0</v>
      </c>
      <c r="Y68" s="29">
        <v>99070.67</v>
      </c>
      <c r="Z68" s="29">
        <v>0</v>
      </c>
      <c r="AA68" s="29">
        <v>0</v>
      </c>
      <c r="AB68" s="318">
        <v>60954</v>
      </c>
      <c r="AC68" s="29">
        <v>0</v>
      </c>
      <c r="AD68" s="29">
        <v>0</v>
      </c>
      <c r="AE68" s="29">
        <v>30668.799999999999</v>
      </c>
      <c r="AF68" s="29"/>
      <c r="AG68" s="29">
        <v>55449.58</v>
      </c>
      <c r="AH68" s="29">
        <v>0</v>
      </c>
      <c r="AI68" s="29">
        <v>0</v>
      </c>
      <c r="AJ68" s="29">
        <v>104722.83</v>
      </c>
      <c r="AK68" s="29">
        <v>0</v>
      </c>
      <c r="AL68" s="29"/>
      <c r="AM68" s="29"/>
      <c r="AN68" s="29"/>
      <c r="AO68" s="29"/>
      <c r="AP68" s="29">
        <v>2063151.43</v>
      </c>
      <c r="AQ68" s="29"/>
      <c r="AR68" s="29">
        <f>774481.9+233488.16</f>
        <v>1007970.06</v>
      </c>
      <c r="AS68" s="29">
        <v>0</v>
      </c>
      <c r="AT68" s="29"/>
      <c r="AU68" s="29"/>
      <c r="AV68" s="317">
        <v>604.34</v>
      </c>
      <c r="AW68" s="317">
        <v>12224.73</v>
      </c>
      <c r="AX68" s="317">
        <v>977578.01</v>
      </c>
      <c r="AY68" s="29">
        <v>0</v>
      </c>
      <c r="AZ68" s="29">
        <v>10876.35</v>
      </c>
      <c r="BA68" s="317">
        <v>0</v>
      </c>
      <c r="BB68" s="317">
        <v>0</v>
      </c>
      <c r="BC68" s="317">
        <v>0</v>
      </c>
      <c r="BD68" s="317">
        <v>0</v>
      </c>
      <c r="BE68" s="29">
        <v>1207824.9300000002</v>
      </c>
      <c r="BF68" s="317">
        <v>0</v>
      </c>
      <c r="BG68" s="317">
        <v>10306.65</v>
      </c>
      <c r="BH68" s="317">
        <v>0</v>
      </c>
      <c r="BI68" s="317">
        <v>351234.31000000006</v>
      </c>
      <c r="BJ68" s="317">
        <v>0</v>
      </c>
      <c r="BK68" s="317">
        <v>636.91999999999996</v>
      </c>
      <c r="BL68" s="317">
        <v>0</v>
      </c>
      <c r="BM68" s="317">
        <v>0</v>
      </c>
      <c r="BN68" s="317">
        <v>0</v>
      </c>
      <c r="BO68" s="317">
        <v>0</v>
      </c>
      <c r="BP68" s="317">
        <v>0</v>
      </c>
      <c r="BQ68" s="317">
        <v>0</v>
      </c>
      <c r="BR68" s="317">
        <v>968.5</v>
      </c>
      <c r="BS68" s="317">
        <v>0</v>
      </c>
      <c r="BT68" s="317">
        <v>0</v>
      </c>
      <c r="BU68" s="317">
        <v>0</v>
      </c>
      <c r="BV68" s="317">
        <v>30403.06</v>
      </c>
      <c r="BW68" s="317">
        <v>0</v>
      </c>
      <c r="BX68" s="317">
        <v>0</v>
      </c>
      <c r="BY68" s="317">
        <v>0</v>
      </c>
      <c r="BZ68" s="317">
        <v>0</v>
      </c>
      <c r="CA68" s="317">
        <v>0</v>
      </c>
      <c r="CB68" s="317">
        <v>77210.97</v>
      </c>
      <c r="CC68" s="317">
        <v>600</v>
      </c>
      <c r="CD68" s="28" t="s">
        <v>233</v>
      </c>
      <c r="CE68" s="31">
        <f t="shared" si="4"/>
        <v>6201996.5399999991</v>
      </c>
    </row>
    <row r="69" spans="1:83" x14ac:dyDescent="0.25">
      <c r="A69" s="38" t="s">
        <v>254</v>
      </c>
      <c r="B69" s="19"/>
      <c r="C69" s="31">
        <f t="shared" ref="C69:BN69" si="9">SUM(C70:C83)</f>
        <v>17577.86</v>
      </c>
      <c r="D69" s="31">
        <f t="shared" si="9"/>
        <v>6351.4699999999993</v>
      </c>
      <c r="E69" s="31">
        <f t="shared" si="9"/>
        <v>17805.87</v>
      </c>
      <c r="F69" s="31">
        <f t="shared" si="9"/>
        <v>32603.07</v>
      </c>
      <c r="G69" s="31">
        <f t="shared" si="9"/>
        <v>7231.72</v>
      </c>
      <c r="H69" s="31">
        <f t="shared" si="9"/>
        <v>0</v>
      </c>
      <c r="I69" s="31">
        <f t="shared" si="9"/>
        <v>0</v>
      </c>
      <c r="J69" s="31">
        <f t="shared" si="9"/>
        <v>0</v>
      </c>
      <c r="K69" s="31">
        <f t="shared" si="9"/>
        <v>0</v>
      </c>
      <c r="L69" s="31">
        <f t="shared" si="9"/>
        <v>0</v>
      </c>
      <c r="M69" s="31">
        <f t="shared" si="9"/>
        <v>39007.42</v>
      </c>
      <c r="N69" s="31">
        <f t="shared" si="9"/>
        <v>256681.71000000002</v>
      </c>
      <c r="O69" s="31">
        <f t="shared" si="9"/>
        <v>18679.2</v>
      </c>
      <c r="P69" s="31">
        <f t="shared" si="9"/>
        <v>12991.86</v>
      </c>
      <c r="Q69" s="31">
        <f t="shared" si="9"/>
        <v>6373.5899999999992</v>
      </c>
      <c r="R69" s="31">
        <f t="shared" si="9"/>
        <v>330</v>
      </c>
      <c r="S69" s="31">
        <f t="shared" si="9"/>
        <v>578.54</v>
      </c>
      <c r="T69" s="31">
        <f t="shared" si="9"/>
        <v>0</v>
      </c>
      <c r="U69" s="31">
        <f t="shared" si="9"/>
        <v>4582.04</v>
      </c>
      <c r="V69" s="31">
        <f t="shared" si="9"/>
        <v>0</v>
      </c>
      <c r="W69" s="31">
        <f t="shared" si="9"/>
        <v>2302.94</v>
      </c>
      <c r="X69" s="31">
        <f t="shared" si="9"/>
        <v>6176</v>
      </c>
      <c r="Y69" s="31">
        <f t="shared" si="9"/>
        <v>38688.040000000008</v>
      </c>
      <c r="Z69" s="31">
        <f t="shared" si="9"/>
        <v>27165.88</v>
      </c>
      <c r="AA69" s="31">
        <f t="shared" si="9"/>
        <v>13880</v>
      </c>
      <c r="AB69" s="31">
        <f t="shared" si="9"/>
        <v>45049.2</v>
      </c>
      <c r="AC69" s="31">
        <f t="shared" si="9"/>
        <v>468</v>
      </c>
      <c r="AD69" s="31">
        <f t="shared" si="9"/>
        <v>0</v>
      </c>
      <c r="AE69" s="31">
        <f t="shared" si="9"/>
        <v>27405.97</v>
      </c>
      <c r="AF69" s="31">
        <f t="shared" si="9"/>
        <v>0</v>
      </c>
      <c r="AG69" s="31">
        <f t="shared" si="9"/>
        <v>16774.759999999998</v>
      </c>
      <c r="AH69" s="31">
        <f t="shared" si="9"/>
        <v>0</v>
      </c>
      <c r="AI69" s="31">
        <f t="shared" si="9"/>
        <v>0</v>
      </c>
      <c r="AJ69" s="31">
        <f t="shared" si="9"/>
        <v>1307408.9000000001</v>
      </c>
      <c r="AK69" s="31">
        <f t="shared" si="9"/>
        <v>888</v>
      </c>
      <c r="AL69" s="31">
        <f t="shared" si="9"/>
        <v>0</v>
      </c>
      <c r="AM69" s="31">
        <f t="shared" si="9"/>
        <v>0</v>
      </c>
      <c r="AN69" s="31">
        <f t="shared" si="9"/>
        <v>0</v>
      </c>
      <c r="AO69" s="31">
        <f t="shared" si="9"/>
        <v>0</v>
      </c>
      <c r="AP69" s="31">
        <f t="shared" si="9"/>
        <v>1108417.8600000001</v>
      </c>
      <c r="AQ69" s="31">
        <f t="shared" si="9"/>
        <v>0</v>
      </c>
      <c r="AR69" s="31">
        <f t="shared" si="9"/>
        <v>1337367.73</v>
      </c>
      <c r="AS69" s="31">
        <f t="shared" si="9"/>
        <v>0</v>
      </c>
      <c r="AT69" s="31">
        <f t="shared" si="9"/>
        <v>0</v>
      </c>
      <c r="AU69" s="31">
        <f t="shared" si="9"/>
        <v>0</v>
      </c>
      <c r="AV69" s="31">
        <f t="shared" si="9"/>
        <v>7471</v>
      </c>
      <c r="AW69" s="31">
        <f t="shared" si="9"/>
        <v>71226.929999999993</v>
      </c>
      <c r="AX69" s="31">
        <f t="shared" si="9"/>
        <v>24243.25</v>
      </c>
      <c r="AY69" s="31">
        <f t="shared" si="9"/>
        <v>0</v>
      </c>
      <c r="AZ69" s="31">
        <f t="shared" si="9"/>
        <v>197.07</v>
      </c>
      <c r="BA69" s="31">
        <f t="shared" si="9"/>
        <v>0</v>
      </c>
      <c r="BB69" s="31">
        <f t="shared" si="9"/>
        <v>0</v>
      </c>
      <c r="BC69" s="31">
        <f t="shared" si="9"/>
        <v>0</v>
      </c>
      <c r="BD69" s="31">
        <f t="shared" si="9"/>
        <v>202473.03</v>
      </c>
      <c r="BE69" s="31">
        <f t="shared" si="9"/>
        <v>200032.27</v>
      </c>
      <c r="BF69" s="31">
        <f t="shared" si="9"/>
        <v>1556.37</v>
      </c>
      <c r="BG69" s="31">
        <f t="shared" si="9"/>
        <v>0</v>
      </c>
      <c r="BH69" s="31">
        <f t="shared" si="9"/>
        <v>73103.960000000006</v>
      </c>
      <c r="BI69" s="31">
        <f t="shared" si="9"/>
        <v>23285.800000000003</v>
      </c>
      <c r="BJ69" s="31">
        <f t="shared" si="9"/>
        <v>1410.98</v>
      </c>
      <c r="BK69" s="31">
        <f t="shared" si="9"/>
        <v>0</v>
      </c>
      <c r="BL69" s="31">
        <f t="shared" si="9"/>
        <v>488.51000000000005</v>
      </c>
      <c r="BM69" s="31">
        <f t="shared" si="9"/>
        <v>42300.479999999996</v>
      </c>
      <c r="BN69" s="31">
        <f t="shared" si="9"/>
        <v>911764.04000000015</v>
      </c>
      <c r="BO69" s="31">
        <f t="shared" ref="BO69:CD69" si="10">SUM(BO70:BO83)</f>
        <v>2767.95</v>
      </c>
      <c r="BP69" s="31">
        <f t="shared" si="10"/>
        <v>13264.26</v>
      </c>
      <c r="BQ69" s="31">
        <f t="shared" si="10"/>
        <v>7733.66</v>
      </c>
      <c r="BR69" s="31">
        <f t="shared" si="10"/>
        <v>24515.34</v>
      </c>
      <c r="BS69" s="31">
        <f t="shared" si="10"/>
        <v>2022.2499999999998</v>
      </c>
      <c r="BT69" s="31">
        <f t="shared" si="10"/>
        <v>0</v>
      </c>
      <c r="BU69" s="31">
        <f t="shared" si="10"/>
        <v>224990.13</v>
      </c>
      <c r="BV69" s="31">
        <f t="shared" si="10"/>
        <v>3699.15</v>
      </c>
      <c r="BW69" s="31">
        <f t="shared" si="10"/>
        <v>11816.77</v>
      </c>
      <c r="BX69" s="31">
        <f t="shared" si="10"/>
        <v>10129.199999999999</v>
      </c>
      <c r="BY69" s="31">
        <f t="shared" si="10"/>
        <v>16492.760000000002</v>
      </c>
      <c r="BZ69" s="31">
        <f t="shared" si="10"/>
        <v>2156.7399999999998</v>
      </c>
      <c r="CA69" s="31">
        <f t="shared" si="10"/>
        <v>383322.07</v>
      </c>
      <c r="CB69" s="31">
        <f t="shared" si="10"/>
        <v>1868.44</v>
      </c>
      <c r="CC69" s="31">
        <f t="shared" si="10"/>
        <v>3640473.2</v>
      </c>
      <c r="CD69" s="31">
        <f t="shared" si="10"/>
        <v>12225992</v>
      </c>
      <c r="CE69" s="31">
        <f>SUM(CE70:CE84)</f>
        <v>68699473.219999999</v>
      </c>
    </row>
    <row r="70" spans="1:83" x14ac:dyDescent="0.25">
      <c r="A70" s="32" t="s">
        <v>255</v>
      </c>
      <c r="B70" s="33"/>
      <c r="C70" s="272"/>
      <c r="D70" s="272"/>
      <c r="E70" s="272"/>
      <c r="F70" s="272"/>
      <c r="G70" s="272"/>
      <c r="H70" s="272"/>
      <c r="I70" s="272"/>
      <c r="J70" s="272"/>
      <c r="K70" s="272"/>
      <c r="L70" s="272"/>
      <c r="M70" s="272"/>
      <c r="N70" s="272"/>
      <c r="O70" s="272"/>
      <c r="P70" s="272"/>
      <c r="Q70" s="272"/>
      <c r="R70" s="272"/>
      <c r="S70" s="272"/>
      <c r="T70" s="272"/>
      <c r="U70" s="272"/>
      <c r="V70" s="272"/>
      <c r="W70" s="272"/>
      <c r="X70" s="272"/>
      <c r="Y70" s="272"/>
      <c r="Z70" s="272"/>
      <c r="AA70" s="272"/>
      <c r="AB70" s="272"/>
      <c r="AC70" s="272"/>
      <c r="AD70" s="272"/>
      <c r="AE70" s="272"/>
      <c r="AF70" s="272"/>
      <c r="AG70" s="272"/>
      <c r="AH70" s="272"/>
      <c r="AI70" s="272"/>
      <c r="AJ70" s="272"/>
      <c r="AK70" s="272"/>
      <c r="AL70" s="272"/>
      <c r="AM70" s="272"/>
      <c r="AN70" s="272"/>
      <c r="AO70" s="272"/>
      <c r="AP70" s="272"/>
      <c r="AQ70" s="272"/>
      <c r="AR70" s="272"/>
      <c r="AS70" s="272"/>
      <c r="AT70" s="272"/>
      <c r="AU70" s="272"/>
      <c r="AV70" s="272"/>
      <c r="AW70" s="272"/>
      <c r="AX70" s="272"/>
      <c r="AY70" s="272"/>
      <c r="AZ70" s="272"/>
      <c r="BA70" s="272"/>
      <c r="BB70" s="272"/>
      <c r="BC70" s="272"/>
      <c r="BD70" s="272"/>
      <c r="BE70" s="272"/>
      <c r="BF70" s="272"/>
      <c r="BG70" s="272"/>
      <c r="BH70" s="272"/>
      <c r="BI70" s="272"/>
      <c r="BJ70" s="272"/>
      <c r="BK70" s="272"/>
      <c r="BL70" s="272"/>
      <c r="BM70" s="272"/>
      <c r="BN70" s="272"/>
      <c r="BO70" s="272"/>
      <c r="BP70" s="272"/>
      <c r="BQ70" s="272"/>
      <c r="BR70" s="272"/>
      <c r="BS70" s="272"/>
      <c r="BT70" s="272"/>
      <c r="BU70" s="272"/>
      <c r="BV70" s="272"/>
      <c r="BW70" s="272"/>
      <c r="BX70" s="272"/>
      <c r="BY70" s="272"/>
      <c r="BZ70" s="272"/>
      <c r="CA70" s="272"/>
      <c r="CB70" s="272"/>
      <c r="CC70" s="272"/>
      <c r="CD70" s="272"/>
      <c r="CE70" s="31">
        <f>SUM(C70:CD70)</f>
        <v>0</v>
      </c>
    </row>
    <row r="71" spans="1:83" x14ac:dyDescent="0.25">
      <c r="A71" s="32" t="s">
        <v>256</v>
      </c>
      <c r="B71" s="33"/>
      <c r="C71" s="272"/>
      <c r="D71" s="272"/>
      <c r="E71" s="272"/>
      <c r="F71" s="272"/>
      <c r="G71" s="272"/>
      <c r="H71" s="272"/>
      <c r="I71" s="272"/>
      <c r="J71" s="272"/>
      <c r="K71" s="272"/>
      <c r="L71" s="272"/>
      <c r="M71" s="272"/>
      <c r="N71" s="272"/>
      <c r="O71" s="272"/>
      <c r="P71" s="272"/>
      <c r="Q71" s="272"/>
      <c r="R71" s="272"/>
      <c r="S71" s="272"/>
      <c r="T71" s="272"/>
      <c r="U71" s="272"/>
      <c r="V71" s="272"/>
      <c r="W71" s="272"/>
      <c r="X71" s="272"/>
      <c r="Y71" s="272"/>
      <c r="Z71" s="272"/>
      <c r="AA71" s="272"/>
      <c r="AB71" s="272"/>
      <c r="AC71" s="272"/>
      <c r="AD71" s="272"/>
      <c r="AE71" s="272"/>
      <c r="AF71" s="272"/>
      <c r="AG71" s="272"/>
      <c r="AH71" s="272"/>
      <c r="AI71" s="272"/>
      <c r="AJ71" s="272"/>
      <c r="AK71" s="272"/>
      <c r="AL71" s="272"/>
      <c r="AM71" s="272"/>
      <c r="AN71" s="272"/>
      <c r="AO71" s="272"/>
      <c r="AP71" s="272"/>
      <c r="AQ71" s="272"/>
      <c r="AR71" s="272"/>
      <c r="AS71" s="272"/>
      <c r="AT71" s="272"/>
      <c r="AU71" s="272"/>
      <c r="AV71" s="272"/>
      <c r="AW71" s="272"/>
      <c r="AX71" s="272"/>
      <c r="AY71" s="272"/>
      <c r="AZ71" s="272"/>
      <c r="BA71" s="272"/>
      <c r="BB71" s="272"/>
      <c r="BC71" s="272"/>
      <c r="BD71" s="272"/>
      <c r="BE71" s="272"/>
      <c r="BF71" s="272"/>
      <c r="BG71" s="272"/>
      <c r="BH71" s="272"/>
      <c r="BI71" s="272"/>
      <c r="BJ71" s="272"/>
      <c r="BK71" s="272"/>
      <c r="BL71" s="272"/>
      <c r="BM71" s="272"/>
      <c r="BN71" s="272"/>
      <c r="BO71" s="272"/>
      <c r="BP71" s="272"/>
      <c r="BQ71" s="272"/>
      <c r="BR71" s="272"/>
      <c r="BS71" s="272"/>
      <c r="BT71" s="272"/>
      <c r="BU71" s="272"/>
      <c r="BV71" s="272"/>
      <c r="BW71" s="272"/>
      <c r="BX71" s="272"/>
      <c r="BY71" s="272"/>
      <c r="BZ71" s="272"/>
      <c r="CA71" s="272"/>
      <c r="CB71" s="272"/>
      <c r="CC71" s="272"/>
      <c r="CD71" s="272"/>
      <c r="CE71" s="31">
        <f t="shared" ref="CE71:CE85" si="11">SUM(C71:CD71)</f>
        <v>0</v>
      </c>
    </row>
    <row r="72" spans="1:83" x14ac:dyDescent="0.25">
      <c r="A72" s="32" t="s">
        <v>257</v>
      </c>
      <c r="B72" s="33"/>
      <c r="C72" s="272"/>
      <c r="D72" s="272"/>
      <c r="E72" s="272"/>
      <c r="F72" s="272"/>
      <c r="G72" s="272"/>
      <c r="H72" s="272"/>
      <c r="I72" s="272"/>
      <c r="J72" s="272"/>
      <c r="K72" s="272"/>
      <c r="L72" s="272"/>
      <c r="M72" s="272"/>
      <c r="N72" s="272"/>
      <c r="O72" s="272"/>
      <c r="P72" s="272"/>
      <c r="Q72" s="272"/>
      <c r="R72" s="272"/>
      <c r="S72" s="272"/>
      <c r="T72" s="272"/>
      <c r="U72" s="272"/>
      <c r="V72" s="272"/>
      <c r="W72" s="272"/>
      <c r="X72" s="272"/>
      <c r="Y72" s="272"/>
      <c r="Z72" s="272"/>
      <c r="AA72" s="272"/>
      <c r="AB72" s="272"/>
      <c r="AC72" s="272"/>
      <c r="AD72" s="272"/>
      <c r="AE72" s="272"/>
      <c r="AF72" s="272"/>
      <c r="AG72" s="272"/>
      <c r="AH72" s="272"/>
      <c r="AI72" s="272"/>
      <c r="AJ72" s="272"/>
      <c r="AK72" s="272"/>
      <c r="AL72" s="272"/>
      <c r="AM72" s="272"/>
      <c r="AN72" s="272"/>
      <c r="AO72" s="272"/>
      <c r="AP72" s="272"/>
      <c r="AQ72" s="272"/>
      <c r="AR72" s="272"/>
      <c r="AS72" s="272"/>
      <c r="AT72" s="272"/>
      <c r="AU72" s="272"/>
      <c r="AV72" s="272"/>
      <c r="AW72" s="272"/>
      <c r="AX72" s="272"/>
      <c r="AY72" s="272"/>
      <c r="AZ72" s="272"/>
      <c r="BA72" s="272"/>
      <c r="BB72" s="272"/>
      <c r="BC72" s="272"/>
      <c r="BD72" s="272"/>
      <c r="BE72" s="272"/>
      <c r="BF72" s="272"/>
      <c r="BG72" s="272"/>
      <c r="BH72" s="272"/>
      <c r="BI72" s="272"/>
      <c r="BJ72" s="272"/>
      <c r="BK72" s="272"/>
      <c r="BL72" s="272"/>
      <c r="BM72" s="272"/>
      <c r="BN72" s="272"/>
      <c r="BO72" s="272"/>
      <c r="BP72" s="272"/>
      <c r="BQ72" s="272"/>
      <c r="BR72" s="272"/>
      <c r="BS72" s="272"/>
      <c r="BT72" s="272"/>
      <c r="BU72" s="272"/>
      <c r="BV72" s="272"/>
      <c r="BW72" s="272"/>
      <c r="BX72" s="272"/>
      <c r="BY72" s="272"/>
      <c r="BZ72" s="272"/>
      <c r="CA72" s="272"/>
      <c r="CB72" s="272"/>
      <c r="CC72" s="272"/>
      <c r="CD72" s="272"/>
      <c r="CE72" s="31">
        <f t="shared" si="11"/>
        <v>0</v>
      </c>
    </row>
    <row r="73" spans="1:83" x14ac:dyDescent="0.25">
      <c r="A73" s="32" t="s">
        <v>258</v>
      </c>
      <c r="B73" s="33"/>
      <c r="C73" s="272"/>
      <c r="D73" s="272"/>
      <c r="E73" s="272"/>
      <c r="F73" s="272"/>
      <c r="G73" s="272"/>
      <c r="H73" s="272"/>
      <c r="I73" s="272"/>
      <c r="J73" s="272"/>
      <c r="K73" s="272"/>
      <c r="L73" s="272"/>
      <c r="M73" s="272"/>
      <c r="N73" s="272"/>
      <c r="O73" s="272"/>
      <c r="P73" s="272"/>
      <c r="Q73" s="272"/>
      <c r="R73" s="272"/>
      <c r="S73" s="272"/>
      <c r="T73" s="272"/>
      <c r="U73" s="272"/>
      <c r="V73" s="272"/>
      <c r="W73" s="272"/>
      <c r="X73" s="272"/>
      <c r="Y73" s="272"/>
      <c r="Z73" s="272"/>
      <c r="AA73" s="272"/>
      <c r="AB73" s="272"/>
      <c r="AC73" s="272"/>
      <c r="AD73" s="272"/>
      <c r="AE73" s="272"/>
      <c r="AF73" s="272"/>
      <c r="AG73" s="272"/>
      <c r="AH73" s="272"/>
      <c r="AI73" s="272"/>
      <c r="AJ73" s="272"/>
      <c r="AK73" s="272"/>
      <c r="AL73" s="272"/>
      <c r="AM73" s="272"/>
      <c r="AN73" s="272"/>
      <c r="AO73" s="272"/>
      <c r="AP73" s="272"/>
      <c r="AQ73" s="272"/>
      <c r="AR73" s="272"/>
      <c r="AS73" s="272"/>
      <c r="AT73" s="272"/>
      <c r="AU73" s="272"/>
      <c r="AV73" s="272"/>
      <c r="AW73" s="272"/>
      <c r="AX73" s="272"/>
      <c r="AY73" s="272"/>
      <c r="AZ73" s="272"/>
      <c r="BA73" s="272"/>
      <c r="BB73" s="272"/>
      <c r="BC73" s="272"/>
      <c r="BD73" s="272"/>
      <c r="BE73" s="272"/>
      <c r="BF73" s="272"/>
      <c r="BG73" s="272"/>
      <c r="BH73" s="272"/>
      <c r="BI73" s="272"/>
      <c r="BJ73" s="272"/>
      <c r="BK73" s="272"/>
      <c r="BL73" s="272"/>
      <c r="BM73" s="272"/>
      <c r="BN73" s="272"/>
      <c r="BO73" s="272"/>
      <c r="BP73" s="272"/>
      <c r="BQ73" s="272"/>
      <c r="BR73" s="272"/>
      <c r="BS73" s="272"/>
      <c r="BT73" s="272"/>
      <c r="BU73" s="272"/>
      <c r="BV73" s="272"/>
      <c r="BW73" s="272"/>
      <c r="BX73" s="272"/>
      <c r="BY73" s="272"/>
      <c r="BZ73" s="272"/>
      <c r="CA73" s="272"/>
      <c r="CB73" s="272"/>
      <c r="CC73" s="272"/>
      <c r="CD73" s="272"/>
      <c r="CE73" s="31">
        <f t="shared" si="11"/>
        <v>0</v>
      </c>
    </row>
    <row r="74" spans="1:83" x14ac:dyDescent="0.25">
      <c r="A74" s="32" t="s">
        <v>259</v>
      </c>
      <c r="B74" s="33"/>
      <c r="C74" s="272"/>
      <c r="D74" s="272"/>
      <c r="E74" s="272"/>
      <c r="F74" s="272"/>
      <c r="G74" s="272"/>
      <c r="H74" s="272"/>
      <c r="I74" s="272"/>
      <c r="J74" s="272"/>
      <c r="K74" s="272"/>
      <c r="L74" s="272"/>
      <c r="M74" s="272"/>
      <c r="N74" s="272"/>
      <c r="O74" s="272"/>
      <c r="P74" s="272"/>
      <c r="Q74" s="272"/>
      <c r="R74" s="272"/>
      <c r="S74" s="272"/>
      <c r="T74" s="272"/>
      <c r="U74" s="272"/>
      <c r="V74" s="272"/>
      <c r="W74" s="272"/>
      <c r="X74" s="272"/>
      <c r="Y74" s="272"/>
      <c r="Z74" s="272"/>
      <c r="AA74" s="272"/>
      <c r="AB74" s="272"/>
      <c r="AC74" s="272"/>
      <c r="AD74" s="272"/>
      <c r="AE74" s="272"/>
      <c r="AF74" s="272"/>
      <c r="AG74" s="272"/>
      <c r="AH74" s="272"/>
      <c r="AI74" s="272"/>
      <c r="AJ74" s="272"/>
      <c r="AK74" s="272"/>
      <c r="AL74" s="272"/>
      <c r="AM74" s="272"/>
      <c r="AN74" s="272"/>
      <c r="AO74" s="272"/>
      <c r="AP74" s="272"/>
      <c r="AQ74" s="272"/>
      <c r="AR74" s="272"/>
      <c r="AS74" s="272"/>
      <c r="AT74" s="272"/>
      <c r="AU74" s="272"/>
      <c r="AV74" s="272"/>
      <c r="AW74" s="272"/>
      <c r="AX74" s="272"/>
      <c r="AY74" s="272"/>
      <c r="AZ74" s="272"/>
      <c r="BA74" s="272"/>
      <c r="BB74" s="272"/>
      <c r="BC74" s="272"/>
      <c r="BD74" s="272"/>
      <c r="BE74" s="272"/>
      <c r="BF74" s="272"/>
      <c r="BG74" s="272"/>
      <c r="BH74" s="272"/>
      <c r="BI74" s="272"/>
      <c r="BJ74" s="272"/>
      <c r="BK74" s="272"/>
      <c r="BL74" s="272"/>
      <c r="BM74" s="272"/>
      <c r="BN74" s="272"/>
      <c r="BO74" s="272"/>
      <c r="BP74" s="272"/>
      <c r="BQ74" s="272"/>
      <c r="BR74" s="272"/>
      <c r="BS74" s="272"/>
      <c r="BT74" s="272"/>
      <c r="BU74" s="272"/>
      <c r="BV74" s="272"/>
      <c r="BW74" s="272"/>
      <c r="BX74" s="272"/>
      <c r="BY74" s="272"/>
      <c r="BZ74" s="272"/>
      <c r="CA74" s="272"/>
      <c r="CB74" s="272"/>
      <c r="CC74" s="272"/>
      <c r="CD74" s="272"/>
      <c r="CE74" s="31">
        <f t="shared" si="11"/>
        <v>0</v>
      </c>
    </row>
    <row r="75" spans="1:83" x14ac:dyDescent="0.25">
      <c r="A75" s="32" t="s">
        <v>260</v>
      </c>
      <c r="B75" s="33"/>
      <c r="C75" s="272"/>
      <c r="D75" s="272"/>
      <c r="E75" s="272"/>
      <c r="F75" s="272"/>
      <c r="G75" s="272"/>
      <c r="H75" s="272"/>
      <c r="I75" s="272"/>
      <c r="J75" s="272"/>
      <c r="K75" s="272"/>
      <c r="L75" s="272"/>
      <c r="M75" s="272"/>
      <c r="N75" s="272"/>
      <c r="O75" s="272"/>
      <c r="P75" s="272"/>
      <c r="Q75" s="272"/>
      <c r="R75" s="272"/>
      <c r="S75" s="272"/>
      <c r="T75" s="272"/>
      <c r="U75" s="272"/>
      <c r="V75" s="272"/>
      <c r="W75" s="272"/>
      <c r="X75" s="272"/>
      <c r="Y75" s="272"/>
      <c r="Z75" s="272"/>
      <c r="AA75" s="272"/>
      <c r="AB75" s="272"/>
      <c r="AC75" s="272"/>
      <c r="AD75" s="272"/>
      <c r="AE75" s="272"/>
      <c r="AF75" s="272"/>
      <c r="AG75" s="272"/>
      <c r="AH75" s="272"/>
      <c r="AI75" s="272"/>
      <c r="AJ75" s="272"/>
      <c r="AK75" s="272"/>
      <c r="AL75" s="272"/>
      <c r="AM75" s="272"/>
      <c r="AN75" s="272"/>
      <c r="AO75" s="272"/>
      <c r="AP75" s="272"/>
      <c r="AQ75" s="272"/>
      <c r="AR75" s="272"/>
      <c r="AS75" s="272"/>
      <c r="AT75" s="272"/>
      <c r="AU75" s="272"/>
      <c r="AV75" s="272"/>
      <c r="AW75" s="272"/>
      <c r="AX75" s="272"/>
      <c r="AY75" s="272"/>
      <c r="AZ75" s="272"/>
      <c r="BA75" s="272"/>
      <c r="BB75" s="272"/>
      <c r="BC75" s="272"/>
      <c r="BD75" s="272"/>
      <c r="BE75" s="272"/>
      <c r="BF75" s="272"/>
      <c r="BG75" s="272"/>
      <c r="BH75" s="272"/>
      <c r="BI75" s="272"/>
      <c r="BJ75" s="272"/>
      <c r="BK75" s="272"/>
      <c r="BL75" s="272"/>
      <c r="BM75" s="272"/>
      <c r="BN75" s="272"/>
      <c r="BO75" s="272"/>
      <c r="BP75" s="272"/>
      <c r="BQ75" s="272"/>
      <c r="BR75" s="272"/>
      <c r="BS75" s="272"/>
      <c r="BT75" s="272"/>
      <c r="BU75" s="272"/>
      <c r="BV75" s="272"/>
      <c r="BW75" s="272"/>
      <c r="BX75" s="272"/>
      <c r="BY75" s="272"/>
      <c r="BZ75" s="272"/>
      <c r="CA75" s="272"/>
      <c r="CB75" s="272"/>
      <c r="CC75" s="272"/>
      <c r="CD75" s="272"/>
      <c r="CE75" s="31">
        <f t="shared" si="11"/>
        <v>0</v>
      </c>
    </row>
    <row r="76" spans="1:83" x14ac:dyDescent="0.25">
      <c r="A76" s="32" t="s">
        <v>261</v>
      </c>
      <c r="B76" s="231"/>
      <c r="C76" s="272"/>
      <c r="D76" s="272"/>
      <c r="E76" s="272"/>
      <c r="F76" s="272"/>
      <c r="G76" s="272"/>
      <c r="H76" s="272"/>
      <c r="I76" s="272"/>
      <c r="J76" s="272"/>
      <c r="K76" s="272"/>
      <c r="L76" s="272"/>
      <c r="M76" s="272"/>
      <c r="N76" s="272"/>
      <c r="O76" s="272"/>
      <c r="P76" s="272"/>
      <c r="Q76" s="272"/>
      <c r="R76" s="272"/>
      <c r="S76" s="272"/>
      <c r="T76" s="272"/>
      <c r="U76" s="272"/>
      <c r="V76" s="272"/>
      <c r="W76" s="272"/>
      <c r="X76" s="272"/>
      <c r="Y76" s="272"/>
      <c r="Z76" s="272"/>
      <c r="AA76" s="272"/>
      <c r="AB76" s="272"/>
      <c r="AC76" s="272"/>
      <c r="AD76" s="272"/>
      <c r="AE76" s="272"/>
      <c r="AF76" s="272"/>
      <c r="AG76" s="272"/>
      <c r="AH76" s="272"/>
      <c r="AI76" s="272"/>
      <c r="AJ76" s="272"/>
      <c r="AK76" s="272"/>
      <c r="AL76" s="272"/>
      <c r="AM76" s="272"/>
      <c r="AN76" s="272"/>
      <c r="AO76" s="272"/>
      <c r="AP76" s="272"/>
      <c r="AQ76" s="272"/>
      <c r="AR76" s="272"/>
      <c r="AS76" s="272"/>
      <c r="AT76" s="272"/>
      <c r="AU76" s="272"/>
      <c r="AV76" s="272"/>
      <c r="AW76" s="272"/>
      <c r="AX76" s="272"/>
      <c r="AY76" s="272"/>
      <c r="AZ76" s="272"/>
      <c r="BA76" s="272"/>
      <c r="BB76" s="272"/>
      <c r="BC76" s="272"/>
      <c r="BD76" s="272"/>
      <c r="BE76" s="272"/>
      <c r="BF76" s="272"/>
      <c r="BG76" s="272"/>
      <c r="BH76" s="272"/>
      <c r="BI76" s="272"/>
      <c r="BJ76" s="272"/>
      <c r="BK76" s="272"/>
      <c r="BL76" s="272"/>
      <c r="BM76" s="272"/>
      <c r="BN76" s="272"/>
      <c r="BO76" s="272"/>
      <c r="BP76" s="272"/>
      <c r="BQ76" s="272"/>
      <c r="BR76" s="272"/>
      <c r="BS76" s="272"/>
      <c r="BT76" s="272"/>
      <c r="BU76" s="272"/>
      <c r="BV76" s="272"/>
      <c r="BW76" s="272"/>
      <c r="BX76" s="272"/>
      <c r="BY76" s="272"/>
      <c r="BZ76" s="272"/>
      <c r="CA76" s="272"/>
      <c r="CB76" s="272"/>
      <c r="CC76" s="272"/>
      <c r="CD76" s="272"/>
      <c r="CE76" s="31">
        <f t="shared" si="11"/>
        <v>0</v>
      </c>
    </row>
    <row r="77" spans="1:83" x14ac:dyDescent="0.25">
      <c r="A77" s="32" t="s">
        <v>262</v>
      </c>
      <c r="B77" s="33"/>
      <c r="C77" s="272"/>
      <c r="D77" s="272"/>
      <c r="E77" s="272"/>
      <c r="F77" s="272"/>
      <c r="G77" s="272"/>
      <c r="H77" s="272"/>
      <c r="I77" s="272"/>
      <c r="J77" s="272"/>
      <c r="K77" s="272"/>
      <c r="L77" s="272"/>
      <c r="M77" s="272"/>
      <c r="N77" s="272"/>
      <c r="O77" s="272"/>
      <c r="P77" s="272"/>
      <c r="Q77" s="272"/>
      <c r="R77" s="272"/>
      <c r="S77" s="272"/>
      <c r="T77" s="272"/>
      <c r="U77" s="272"/>
      <c r="V77" s="272"/>
      <c r="W77" s="272"/>
      <c r="X77" s="272"/>
      <c r="Y77" s="272"/>
      <c r="Z77" s="272"/>
      <c r="AA77" s="272"/>
      <c r="AB77" s="272"/>
      <c r="AC77" s="272"/>
      <c r="AD77" s="272"/>
      <c r="AE77" s="272"/>
      <c r="AF77" s="272"/>
      <c r="AG77" s="272"/>
      <c r="AH77" s="272"/>
      <c r="AI77" s="272"/>
      <c r="AJ77" s="272"/>
      <c r="AK77" s="272"/>
      <c r="AL77" s="272"/>
      <c r="AM77" s="272"/>
      <c r="AN77" s="272"/>
      <c r="AO77" s="272"/>
      <c r="AP77" s="272"/>
      <c r="AQ77" s="272"/>
      <c r="AR77" s="272"/>
      <c r="AS77" s="272"/>
      <c r="AT77" s="272"/>
      <c r="AU77" s="272"/>
      <c r="AV77" s="272"/>
      <c r="AW77" s="272"/>
      <c r="AX77" s="272"/>
      <c r="AY77" s="272"/>
      <c r="AZ77" s="272"/>
      <c r="BA77" s="272"/>
      <c r="BB77" s="272"/>
      <c r="BC77" s="272"/>
      <c r="BD77" s="272"/>
      <c r="BE77" s="272"/>
      <c r="BF77" s="272"/>
      <c r="BG77" s="272"/>
      <c r="BH77" s="272"/>
      <c r="BI77" s="272"/>
      <c r="BJ77" s="272"/>
      <c r="BK77" s="272"/>
      <c r="BL77" s="272"/>
      <c r="BM77" s="272"/>
      <c r="BN77" s="272"/>
      <c r="BO77" s="272"/>
      <c r="BP77" s="272"/>
      <c r="BQ77" s="272"/>
      <c r="BR77" s="272"/>
      <c r="BS77" s="272"/>
      <c r="BT77" s="272"/>
      <c r="BU77" s="272"/>
      <c r="BV77" s="272"/>
      <c r="BW77" s="272"/>
      <c r="BX77" s="272"/>
      <c r="BY77" s="272"/>
      <c r="BZ77" s="272"/>
      <c r="CA77" s="272"/>
      <c r="CB77" s="272"/>
      <c r="CC77" s="272"/>
      <c r="CD77" s="272"/>
      <c r="CE77" s="31">
        <f t="shared" si="11"/>
        <v>0</v>
      </c>
    </row>
    <row r="78" spans="1:83" x14ac:dyDescent="0.25">
      <c r="A78" s="32" t="s">
        <v>263</v>
      </c>
      <c r="B78" s="19"/>
      <c r="C78" s="272"/>
      <c r="D78" s="272"/>
      <c r="E78" s="272"/>
      <c r="F78" s="272"/>
      <c r="G78" s="272"/>
      <c r="H78" s="272"/>
      <c r="I78" s="272"/>
      <c r="J78" s="272"/>
      <c r="K78" s="272"/>
      <c r="L78" s="272"/>
      <c r="M78" s="272"/>
      <c r="N78" s="272"/>
      <c r="O78" s="272"/>
      <c r="P78" s="272"/>
      <c r="Q78" s="272"/>
      <c r="R78" s="272"/>
      <c r="S78" s="272"/>
      <c r="T78" s="272"/>
      <c r="U78" s="272"/>
      <c r="V78" s="272"/>
      <c r="W78" s="272"/>
      <c r="X78" s="272"/>
      <c r="Y78" s="272"/>
      <c r="Z78" s="272"/>
      <c r="AA78" s="272"/>
      <c r="AB78" s="272"/>
      <c r="AC78" s="272"/>
      <c r="AD78" s="272"/>
      <c r="AE78" s="272"/>
      <c r="AF78" s="272"/>
      <c r="AG78" s="272"/>
      <c r="AH78" s="272"/>
      <c r="AI78" s="272"/>
      <c r="AJ78" s="272"/>
      <c r="AK78" s="272"/>
      <c r="AL78" s="272"/>
      <c r="AM78" s="272"/>
      <c r="AN78" s="272"/>
      <c r="AO78" s="272"/>
      <c r="AP78" s="272"/>
      <c r="AQ78" s="272"/>
      <c r="AR78" s="272"/>
      <c r="AS78" s="272"/>
      <c r="AT78" s="272"/>
      <c r="AU78" s="272"/>
      <c r="AV78" s="272"/>
      <c r="AW78" s="272"/>
      <c r="AX78" s="272"/>
      <c r="AY78" s="272"/>
      <c r="AZ78" s="272"/>
      <c r="BA78" s="272"/>
      <c r="BB78" s="272"/>
      <c r="BC78" s="272"/>
      <c r="BD78" s="272"/>
      <c r="BE78" s="272"/>
      <c r="BF78" s="272"/>
      <c r="BG78" s="272"/>
      <c r="BH78" s="272"/>
      <c r="BI78" s="272"/>
      <c r="BJ78" s="272"/>
      <c r="BK78" s="272"/>
      <c r="BL78" s="272"/>
      <c r="BM78" s="272"/>
      <c r="BN78" s="272"/>
      <c r="BO78" s="272"/>
      <c r="BP78" s="272"/>
      <c r="BQ78" s="272"/>
      <c r="BR78" s="272"/>
      <c r="BS78" s="272"/>
      <c r="BT78" s="272"/>
      <c r="BU78" s="272"/>
      <c r="BV78" s="272"/>
      <c r="BW78" s="272"/>
      <c r="BX78" s="272"/>
      <c r="BY78" s="272"/>
      <c r="BZ78" s="272"/>
      <c r="CA78" s="272"/>
      <c r="CB78" s="272"/>
      <c r="CC78" s="272"/>
      <c r="CD78" s="272"/>
      <c r="CE78" s="31">
        <f t="shared" si="11"/>
        <v>0</v>
      </c>
    </row>
    <row r="79" spans="1:83" x14ac:dyDescent="0.25">
      <c r="A79" s="32" t="s">
        <v>264</v>
      </c>
      <c r="B79" s="19"/>
      <c r="C79" s="272"/>
      <c r="D79" s="272"/>
      <c r="E79" s="272"/>
      <c r="F79" s="272"/>
      <c r="G79" s="272"/>
      <c r="H79" s="272"/>
      <c r="I79" s="272"/>
      <c r="J79" s="272"/>
      <c r="K79" s="272"/>
      <c r="L79" s="272"/>
      <c r="M79" s="272"/>
      <c r="N79" s="272"/>
      <c r="O79" s="272"/>
      <c r="P79" s="272"/>
      <c r="Q79" s="272"/>
      <c r="R79" s="272"/>
      <c r="S79" s="272"/>
      <c r="T79" s="272"/>
      <c r="U79" s="272"/>
      <c r="V79" s="272"/>
      <c r="W79" s="272"/>
      <c r="X79" s="272"/>
      <c r="Y79" s="272"/>
      <c r="Z79" s="272"/>
      <c r="AA79" s="272"/>
      <c r="AB79" s="272"/>
      <c r="AC79" s="272"/>
      <c r="AD79" s="272"/>
      <c r="AE79" s="272"/>
      <c r="AF79" s="272"/>
      <c r="AG79" s="272"/>
      <c r="AH79" s="272"/>
      <c r="AI79" s="272"/>
      <c r="AJ79" s="272"/>
      <c r="AK79" s="272"/>
      <c r="AL79" s="272"/>
      <c r="AM79" s="272"/>
      <c r="AN79" s="272"/>
      <c r="AO79" s="272"/>
      <c r="AP79" s="272"/>
      <c r="AQ79" s="272"/>
      <c r="AR79" s="272"/>
      <c r="AS79" s="272"/>
      <c r="AT79" s="272"/>
      <c r="AU79" s="272"/>
      <c r="AV79" s="272"/>
      <c r="AW79" s="272"/>
      <c r="AX79" s="272"/>
      <c r="AY79" s="272"/>
      <c r="AZ79" s="272"/>
      <c r="BA79" s="272"/>
      <c r="BB79" s="272"/>
      <c r="BC79" s="272"/>
      <c r="BD79" s="272"/>
      <c r="BE79" s="272"/>
      <c r="BF79" s="272"/>
      <c r="BG79" s="272"/>
      <c r="BH79" s="272"/>
      <c r="BI79" s="272"/>
      <c r="BJ79" s="272"/>
      <c r="BK79" s="272"/>
      <c r="BL79" s="272"/>
      <c r="BM79" s="272"/>
      <c r="BN79" s="272"/>
      <c r="BO79" s="272"/>
      <c r="BP79" s="272"/>
      <c r="BQ79" s="272"/>
      <c r="BR79" s="272"/>
      <c r="BS79" s="272"/>
      <c r="BT79" s="272"/>
      <c r="BU79" s="272"/>
      <c r="BV79" s="272"/>
      <c r="BW79" s="272"/>
      <c r="BX79" s="272"/>
      <c r="BY79" s="272"/>
      <c r="BZ79" s="272"/>
      <c r="CA79" s="272"/>
      <c r="CB79" s="272"/>
      <c r="CC79" s="272"/>
      <c r="CD79" s="272"/>
      <c r="CE79" s="31">
        <f t="shared" si="11"/>
        <v>0</v>
      </c>
    </row>
    <row r="80" spans="1:83" x14ac:dyDescent="0.25">
      <c r="A80" s="32" t="s">
        <v>265</v>
      </c>
      <c r="B80" s="19"/>
      <c r="C80" s="272"/>
      <c r="D80" s="272"/>
      <c r="E80" s="272"/>
      <c r="F80" s="272"/>
      <c r="G80" s="272"/>
      <c r="H80" s="272"/>
      <c r="I80" s="272"/>
      <c r="J80" s="272"/>
      <c r="K80" s="272"/>
      <c r="L80" s="272"/>
      <c r="M80" s="272"/>
      <c r="N80" s="272"/>
      <c r="O80" s="272"/>
      <c r="P80" s="272"/>
      <c r="Q80" s="272"/>
      <c r="R80" s="272"/>
      <c r="S80" s="272"/>
      <c r="T80" s="272"/>
      <c r="U80" s="272"/>
      <c r="V80" s="272"/>
      <c r="W80" s="272"/>
      <c r="X80" s="272"/>
      <c r="Y80" s="272"/>
      <c r="Z80" s="272"/>
      <c r="AA80" s="272"/>
      <c r="AB80" s="272"/>
      <c r="AC80" s="272"/>
      <c r="AD80" s="272"/>
      <c r="AE80" s="272"/>
      <c r="AF80" s="272"/>
      <c r="AG80" s="272"/>
      <c r="AH80" s="272"/>
      <c r="AI80" s="272"/>
      <c r="AJ80" s="272"/>
      <c r="AK80" s="272"/>
      <c r="AL80" s="272"/>
      <c r="AM80" s="272"/>
      <c r="AN80" s="272"/>
      <c r="AO80" s="272"/>
      <c r="AP80" s="272"/>
      <c r="AQ80" s="272"/>
      <c r="AR80" s="272"/>
      <c r="AS80" s="272"/>
      <c r="AT80" s="272"/>
      <c r="AU80" s="272"/>
      <c r="AV80" s="272"/>
      <c r="AW80" s="272"/>
      <c r="AX80" s="272"/>
      <c r="AY80" s="272"/>
      <c r="AZ80" s="272"/>
      <c r="BA80" s="272"/>
      <c r="BB80" s="272"/>
      <c r="BC80" s="272"/>
      <c r="BD80" s="272"/>
      <c r="BE80" s="272"/>
      <c r="BF80" s="272"/>
      <c r="BG80" s="272"/>
      <c r="BH80" s="272"/>
      <c r="BI80" s="272"/>
      <c r="BJ80" s="272"/>
      <c r="BK80" s="272"/>
      <c r="BL80" s="272"/>
      <c r="BM80" s="272"/>
      <c r="BN80" s="272"/>
      <c r="BO80" s="272"/>
      <c r="BP80" s="272"/>
      <c r="BQ80" s="272"/>
      <c r="BR80" s="272"/>
      <c r="BS80" s="272"/>
      <c r="BT80" s="272"/>
      <c r="BU80" s="272"/>
      <c r="BV80" s="272"/>
      <c r="BW80" s="272"/>
      <c r="BX80" s="272"/>
      <c r="BY80" s="272"/>
      <c r="BZ80" s="272"/>
      <c r="CA80" s="272"/>
      <c r="CB80" s="272"/>
      <c r="CC80" s="272"/>
      <c r="CD80" s="272"/>
      <c r="CE80" s="31">
        <f t="shared" si="11"/>
        <v>0</v>
      </c>
    </row>
    <row r="81" spans="1:84" x14ac:dyDescent="0.25">
      <c r="A81" s="32" t="s">
        <v>266</v>
      </c>
      <c r="B81" s="19"/>
      <c r="C81" s="272"/>
      <c r="D81" s="272"/>
      <c r="E81" s="272"/>
      <c r="F81" s="272"/>
      <c r="G81" s="272"/>
      <c r="H81" s="272"/>
      <c r="I81" s="272"/>
      <c r="J81" s="272"/>
      <c r="K81" s="272"/>
      <c r="L81" s="272"/>
      <c r="M81" s="272"/>
      <c r="N81" s="272"/>
      <c r="O81" s="272"/>
      <c r="P81" s="272"/>
      <c r="Q81" s="272"/>
      <c r="R81" s="272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/>
      <c r="AE81" s="272"/>
      <c r="AF81" s="272"/>
      <c r="AG81" s="272"/>
      <c r="AH81" s="272"/>
      <c r="AI81" s="272"/>
      <c r="AJ81" s="272"/>
      <c r="AK81" s="272"/>
      <c r="AL81" s="272"/>
      <c r="AM81" s="272"/>
      <c r="AN81" s="272"/>
      <c r="AO81" s="272"/>
      <c r="AP81" s="272"/>
      <c r="AQ81" s="272"/>
      <c r="AR81" s="272"/>
      <c r="AS81" s="272"/>
      <c r="AT81" s="272"/>
      <c r="AU81" s="272"/>
      <c r="AV81" s="272"/>
      <c r="AW81" s="272"/>
      <c r="AX81" s="272"/>
      <c r="AY81" s="272"/>
      <c r="AZ81" s="272"/>
      <c r="BA81" s="272"/>
      <c r="BB81" s="272"/>
      <c r="BC81" s="272"/>
      <c r="BD81" s="272"/>
      <c r="BE81" s="272"/>
      <c r="BF81" s="272"/>
      <c r="BG81" s="272"/>
      <c r="BH81" s="272"/>
      <c r="BI81" s="272"/>
      <c r="BJ81" s="272"/>
      <c r="BK81" s="272"/>
      <c r="BL81" s="272"/>
      <c r="BM81" s="272"/>
      <c r="BN81" s="272"/>
      <c r="BO81" s="272"/>
      <c r="BP81" s="272"/>
      <c r="BQ81" s="272"/>
      <c r="BR81" s="272"/>
      <c r="BS81" s="272"/>
      <c r="BT81" s="272"/>
      <c r="BU81" s="272"/>
      <c r="BV81" s="272"/>
      <c r="BW81" s="272"/>
      <c r="BX81" s="272"/>
      <c r="BY81" s="272"/>
      <c r="BZ81" s="272"/>
      <c r="CA81" s="272"/>
      <c r="CB81" s="272"/>
      <c r="CC81" s="272"/>
      <c r="CD81" s="272"/>
      <c r="CE81" s="31">
        <f t="shared" si="11"/>
        <v>0</v>
      </c>
    </row>
    <row r="82" spans="1:84" x14ac:dyDescent="0.25">
      <c r="A82" s="32" t="s">
        <v>267</v>
      </c>
      <c r="B82" s="19"/>
      <c r="C82" s="272"/>
      <c r="D82" s="272"/>
      <c r="E82" s="272"/>
      <c r="F82" s="272"/>
      <c r="G82" s="272"/>
      <c r="H82" s="272"/>
      <c r="I82" s="272"/>
      <c r="J82" s="272"/>
      <c r="K82" s="272"/>
      <c r="L82" s="272"/>
      <c r="M82" s="272"/>
      <c r="N82" s="272"/>
      <c r="O82" s="272"/>
      <c r="P82" s="272"/>
      <c r="Q82" s="272"/>
      <c r="R82" s="272"/>
      <c r="S82" s="272"/>
      <c r="T82" s="272"/>
      <c r="U82" s="272"/>
      <c r="V82" s="272"/>
      <c r="W82" s="272"/>
      <c r="X82" s="272"/>
      <c r="Y82" s="272"/>
      <c r="Z82" s="272"/>
      <c r="AA82" s="272"/>
      <c r="AB82" s="272"/>
      <c r="AC82" s="272"/>
      <c r="AD82" s="272"/>
      <c r="AE82" s="272"/>
      <c r="AF82" s="272"/>
      <c r="AG82" s="272"/>
      <c r="AH82" s="272"/>
      <c r="AI82" s="272"/>
      <c r="AJ82" s="272"/>
      <c r="AK82" s="272"/>
      <c r="AL82" s="272"/>
      <c r="AM82" s="272"/>
      <c r="AN82" s="272"/>
      <c r="AO82" s="272"/>
      <c r="AP82" s="272"/>
      <c r="AQ82" s="272"/>
      <c r="AR82" s="272"/>
      <c r="AS82" s="272"/>
      <c r="AT82" s="272"/>
      <c r="AU82" s="272"/>
      <c r="AV82" s="272"/>
      <c r="AW82" s="272"/>
      <c r="AX82" s="272"/>
      <c r="AY82" s="272"/>
      <c r="AZ82" s="272"/>
      <c r="BA82" s="272"/>
      <c r="BB82" s="272"/>
      <c r="BC82" s="272"/>
      <c r="BD82" s="272"/>
      <c r="BE82" s="272"/>
      <c r="BF82" s="272"/>
      <c r="BG82" s="272"/>
      <c r="BH82" s="272"/>
      <c r="BI82" s="272"/>
      <c r="BJ82" s="272"/>
      <c r="BK82" s="272"/>
      <c r="BL82" s="272"/>
      <c r="BM82" s="272"/>
      <c r="BN82" s="272"/>
      <c r="BO82" s="272"/>
      <c r="BP82" s="272"/>
      <c r="BQ82" s="272"/>
      <c r="BR82" s="272"/>
      <c r="BS82" s="272"/>
      <c r="BT82" s="272"/>
      <c r="BU82" s="272"/>
      <c r="BV82" s="272"/>
      <c r="BW82" s="272"/>
      <c r="BX82" s="272"/>
      <c r="BY82" s="272"/>
      <c r="BZ82" s="272"/>
      <c r="CA82" s="272"/>
      <c r="CB82" s="272"/>
      <c r="CC82" s="272"/>
      <c r="CD82" s="272"/>
      <c r="CE82" s="31">
        <f t="shared" si="11"/>
        <v>0</v>
      </c>
    </row>
    <row r="83" spans="1:84" x14ac:dyDescent="0.25">
      <c r="A83" s="32" t="s">
        <v>268</v>
      </c>
      <c r="B83" s="19"/>
      <c r="C83" s="23">
        <v>17577.86</v>
      </c>
      <c r="D83" s="23">
        <v>6351.4699999999993</v>
      </c>
      <c r="E83" s="29">
        <v>17805.87</v>
      </c>
      <c r="F83" s="29">
        <v>32603.07</v>
      </c>
      <c r="G83" s="23">
        <v>7231.72</v>
      </c>
      <c r="H83" s="23">
        <v>0</v>
      </c>
      <c r="I83" s="29">
        <v>0</v>
      </c>
      <c r="J83" s="29"/>
      <c r="K83" s="29"/>
      <c r="L83" s="29"/>
      <c r="M83" s="23">
        <f>32451.48+6555.94</f>
        <v>39007.42</v>
      </c>
      <c r="N83" s="23">
        <v>256681.71000000002</v>
      </c>
      <c r="O83" s="23">
        <v>18679.2</v>
      </c>
      <c r="P83" s="29">
        <v>12991.86</v>
      </c>
      <c r="Q83" s="29">
        <v>6373.5899999999992</v>
      </c>
      <c r="R83" s="30">
        <v>330</v>
      </c>
      <c r="S83" s="29">
        <v>578.54</v>
      </c>
      <c r="T83" s="23">
        <v>0</v>
      </c>
      <c r="U83" s="29">
        <v>4582.04</v>
      </c>
      <c r="V83" s="29">
        <v>0</v>
      </c>
      <c r="W83" s="23">
        <v>2302.94</v>
      </c>
      <c r="X83" s="29">
        <v>6176</v>
      </c>
      <c r="Y83" s="29">
        <v>38688.040000000008</v>
      </c>
      <c r="Z83" s="29">
        <v>27165.88</v>
      </c>
      <c r="AA83" s="29">
        <v>13880</v>
      </c>
      <c r="AB83" s="29">
        <v>45049.2</v>
      </c>
      <c r="AC83" s="29">
        <v>468</v>
      </c>
      <c r="AD83" s="29">
        <v>0</v>
      </c>
      <c r="AE83" s="29">
        <v>27405.97</v>
      </c>
      <c r="AF83" s="29"/>
      <c r="AG83" s="29">
        <v>16774.759999999998</v>
      </c>
      <c r="AH83" s="29">
        <v>0</v>
      </c>
      <c r="AI83" s="29">
        <v>0</v>
      </c>
      <c r="AJ83" s="29">
        <v>1307408.9000000001</v>
      </c>
      <c r="AK83" s="29">
        <v>888</v>
      </c>
      <c r="AL83" s="29"/>
      <c r="AM83" s="29"/>
      <c r="AN83" s="29"/>
      <c r="AO83" s="23"/>
      <c r="AP83" s="29">
        <v>1108417.8600000001</v>
      </c>
      <c r="AQ83" s="23"/>
      <c r="AR83" s="23">
        <f>1278364.28+59003.45</f>
        <v>1337367.73</v>
      </c>
      <c r="AS83" s="23">
        <v>0</v>
      </c>
      <c r="AT83" s="23"/>
      <c r="AU83" s="29"/>
      <c r="AV83" s="29">
        <v>7471</v>
      </c>
      <c r="AW83" s="29">
        <v>71226.929999999993</v>
      </c>
      <c r="AX83" s="29">
        <v>24243.25</v>
      </c>
      <c r="AY83" s="29">
        <v>0</v>
      </c>
      <c r="AZ83" s="29">
        <v>197.07</v>
      </c>
      <c r="BA83" s="29">
        <v>0</v>
      </c>
      <c r="BB83" s="29">
        <v>0</v>
      </c>
      <c r="BC83" s="29">
        <v>0</v>
      </c>
      <c r="BD83" s="29">
        <v>202473.03</v>
      </c>
      <c r="BE83" s="29">
        <v>200032.27</v>
      </c>
      <c r="BF83" s="29">
        <v>1556.37</v>
      </c>
      <c r="BG83" s="29">
        <v>0</v>
      </c>
      <c r="BH83" s="30">
        <v>73103.960000000006</v>
      </c>
      <c r="BI83" s="29">
        <v>23285.800000000003</v>
      </c>
      <c r="BJ83" s="29">
        <v>1410.98</v>
      </c>
      <c r="BK83" s="29">
        <v>0</v>
      </c>
      <c r="BL83" s="29">
        <v>488.51000000000005</v>
      </c>
      <c r="BM83" s="29">
        <v>42300.479999999996</v>
      </c>
      <c r="BN83" s="29">
        <v>911764.04000000015</v>
      </c>
      <c r="BO83" s="29">
        <v>2767.95</v>
      </c>
      <c r="BP83" s="29">
        <v>13264.26</v>
      </c>
      <c r="BQ83" s="29">
        <v>7733.66</v>
      </c>
      <c r="BR83" s="29">
        <v>24515.34</v>
      </c>
      <c r="BS83" s="29">
        <v>2022.2499999999998</v>
      </c>
      <c r="BT83" s="29">
        <v>0</v>
      </c>
      <c r="BU83" s="29">
        <v>224990.13</v>
      </c>
      <c r="BV83" s="29">
        <v>3699.15</v>
      </c>
      <c r="BW83" s="29">
        <v>11816.77</v>
      </c>
      <c r="BX83" s="29">
        <v>10129.199999999999</v>
      </c>
      <c r="BY83" s="29">
        <v>16492.760000000002</v>
      </c>
      <c r="BZ83" s="29">
        <v>2156.7399999999998</v>
      </c>
      <c r="CA83" s="29">
        <v>383322.07</v>
      </c>
      <c r="CB83" s="29">
        <v>1868.44</v>
      </c>
      <c r="CC83" s="29">
        <v>3640473.2</v>
      </c>
      <c r="CD83" s="34">
        <f>1326449.52+2122955.96+6892346.04+17758.01+1866482.47</f>
        <v>12225992</v>
      </c>
      <c r="CE83" s="31">
        <f t="shared" si="11"/>
        <v>22483585.240000002</v>
      </c>
    </row>
    <row r="84" spans="1:84" x14ac:dyDescent="0.25">
      <c r="A84" s="38" t="s">
        <v>269</v>
      </c>
      <c r="B84" s="19"/>
      <c r="C84" s="23">
        <v>30820.67</v>
      </c>
      <c r="D84" s="23">
        <v>0</v>
      </c>
      <c r="E84" s="23">
        <v>49.92</v>
      </c>
      <c r="F84" s="23">
        <v>0</v>
      </c>
      <c r="G84" s="23">
        <v>0</v>
      </c>
      <c r="H84" s="23">
        <v>0</v>
      </c>
      <c r="I84" s="23">
        <v>0</v>
      </c>
      <c r="J84" s="23"/>
      <c r="K84" s="23"/>
      <c r="L84" s="23"/>
      <c r="M84" s="23">
        <v>914498.11</v>
      </c>
      <c r="N84" s="23">
        <v>42465.72</v>
      </c>
      <c r="O84" s="23">
        <v>10384.94</v>
      </c>
      <c r="P84" s="23">
        <v>5480.6</v>
      </c>
      <c r="Q84" s="23">
        <v>0</v>
      </c>
      <c r="R84" s="23">
        <v>0</v>
      </c>
      <c r="S84" s="23">
        <v>0</v>
      </c>
      <c r="T84" s="23">
        <v>0</v>
      </c>
      <c r="U84" s="23">
        <v>532078.99</v>
      </c>
      <c r="V84" s="23">
        <v>3027</v>
      </c>
      <c r="W84" s="23">
        <v>0</v>
      </c>
      <c r="X84" s="23">
        <v>0</v>
      </c>
      <c r="Y84" s="23">
        <v>9339.4599999999991</v>
      </c>
      <c r="Z84" s="23">
        <v>15279.84</v>
      </c>
      <c r="AA84" s="23">
        <v>0</v>
      </c>
      <c r="AB84" s="23">
        <v>499.98</v>
      </c>
      <c r="AC84" s="23">
        <v>0</v>
      </c>
      <c r="AD84" s="23">
        <v>0</v>
      </c>
      <c r="AE84" s="23">
        <v>7245</v>
      </c>
      <c r="AF84" s="23"/>
      <c r="AG84" s="23">
        <v>4012.53</v>
      </c>
      <c r="AH84" s="23">
        <v>0</v>
      </c>
      <c r="AI84" s="23">
        <v>0</v>
      </c>
      <c r="AJ84" s="23">
        <v>4639047.72</v>
      </c>
      <c r="AK84" s="23">
        <v>0</v>
      </c>
      <c r="AL84" s="23"/>
      <c r="AM84" s="23"/>
      <c r="AN84" s="23"/>
      <c r="AO84" s="23"/>
      <c r="AP84" s="23">
        <v>1678455.37</v>
      </c>
      <c r="AQ84" s="23"/>
      <c r="AR84" s="23">
        <v>46313.81</v>
      </c>
      <c r="AS84" s="23">
        <v>0</v>
      </c>
      <c r="AT84" s="23"/>
      <c r="AU84" s="23"/>
      <c r="AV84" s="23">
        <v>9157965.2300000004</v>
      </c>
      <c r="AW84" s="23">
        <v>3587244.33</v>
      </c>
      <c r="AX84" s="23">
        <v>0</v>
      </c>
      <c r="AY84" s="23">
        <v>0</v>
      </c>
      <c r="AZ84" s="23">
        <v>1795499.73</v>
      </c>
      <c r="BA84" s="23">
        <v>0</v>
      </c>
      <c r="BB84" s="23">
        <v>0</v>
      </c>
      <c r="BC84" s="23">
        <v>0</v>
      </c>
      <c r="BD84" s="23">
        <v>37186.26</v>
      </c>
      <c r="BE84" s="23">
        <v>7357121.5199999996</v>
      </c>
      <c r="BF84" s="23">
        <v>13802.28</v>
      </c>
      <c r="BG84" s="23">
        <v>276316.93</v>
      </c>
      <c r="BH84" s="23">
        <v>594941.41</v>
      </c>
      <c r="BI84" s="23">
        <v>1050128.32</v>
      </c>
      <c r="BJ84" s="23">
        <v>280741.88</v>
      </c>
      <c r="BK84" s="23">
        <v>128571.47</v>
      </c>
      <c r="BL84" s="23">
        <v>710176.68</v>
      </c>
      <c r="BM84" s="23">
        <v>0</v>
      </c>
      <c r="BN84" s="23">
        <v>8589.61</v>
      </c>
      <c r="BO84" s="23">
        <v>80026.570000000007</v>
      </c>
      <c r="BP84" s="23">
        <v>0</v>
      </c>
      <c r="BQ84" s="23">
        <v>0</v>
      </c>
      <c r="BR84" s="23">
        <v>0</v>
      </c>
      <c r="BS84" s="23">
        <v>449997.41</v>
      </c>
      <c r="BT84" s="23">
        <v>49.92</v>
      </c>
      <c r="BU84" s="23">
        <v>15000</v>
      </c>
      <c r="BV84" s="23">
        <v>172684.15</v>
      </c>
      <c r="BW84" s="23">
        <v>512591.78</v>
      </c>
      <c r="BX84" s="23">
        <v>69883.649999999994</v>
      </c>
      <c r="BY84" s="23">
        <v>5639.81</v>
      </c>
      <c r="BZ84" s="23">
        <v>0</v>
      </c>
      <c r="CA84" s="23">
        <v>0</v>
      </c>
      <c r="CB84" s="23">
        <v>1472779.36</v>
      </c>
      <c r="CC84" s="23">
        <v>8581854.3399999999</v>
      </c>
      <c r="CD84" s="34">
        <v>1918095.68</v>
      </c>
      <c r="CE84" s="31">
        <f t="shared" si="11"/>
        <v>46215887.979999997</v>
      </c>
    </row>
    <row r="85" spans="1:84" x14ac:dyDescent="0.25">
      <c r="A85" s="38" t="s">
        <v>270</v>
      </c>
      <c r="B85" s="31"/>
      <c r="C85" s="31">
        <f>SUM(C61:C69)-C84</f>
        <v>27326522.5</v>
      </c>
      <c r="D85" s="31">
        <f t="shared" ref="D85:BO85" si="12">SUM(D61:D69)-D84</f>
        <v>14994767.650000004</v>
      </c>
      <c r="E85" s="31">
        <f t="shared" si="12"/>
        <v>57629991.979999989</v>
      </c>
      <c r="F85" s="31">
        <f t="shared" si="12"/>
        <v>1746348.4300000002</v>
      </c>
      <c r="G85" s="31">
        <f t="shared" si="12"/>
        <v>3364373.55</v>
      </c>
      <c r="H85" s="31">
        <f t="shared" si="12"/>
        <v>0</v>
      </c>
      <c r="I85" s="31">
        <f t="shared" si="12"/>
        <v>33.72</v>
      </c>
      <c r="J85" s="31">
        <f t="shared" si="12"/>
        <v>0</v>
      </c>
      <c r="K85" s="31">
        <f t="shared" si="12"/>
        <v>0</v>
      </c>
      <c r="L85" s="31">
        <f t="shared" si="12"/>
        <v>0</v>
      </c>
      <c r="M85" s="31">
        <f t="shared" si="12"/>
        <v>6700389.4500000002</v>
      </c>
      <c r="N85" s="31">
        <f t="shared" si="12"/>
        <v>23632836.900000006</v>
      </c>
      <c r="O85" s="31">
        <f t="shared" si="12"/>
        <v>37974074.859999999</v>
      </c>
      <c r="P85" s="31">
        <f t="shared" si="12"/>
        <v>60121947.079999983</v>
      </c>
      <c r="Q85" s="31">
        <f t="shared" si="12"/>
        <v>11349865.26</v>
      </c>
      <c r="R85" s="31">
        <f t="shared" si="12"/>
        <v>1595550.7800000003</v>
      </c>
      <c r="S85" s="31">
        <f t="shared" si="12"/>
        <v>3772488.0699999994</v>
      </c>
      <c r="T85" s="31">
        <f t="shared" si="12"/>
        <v>0</v>
      </c>
      <c r="U85" s="31">
        <f t="shared" si="12"/>
        <v>22369052.629999999</v>
      </c>
      <c r="V85" s="31">
        <f t="shared" si="12"/>
        <v>297256.62000000005</v>
      </c>
      <c r="W85" s="31">
        <f t="shared" si="12"/>
        <v>1510917.5899999999</v>
      </c>
      <c r="X85" s="31">
        <f t="shared" si="12"/>
        <v>3191608.23</v>
      </c>
      <c r="Y85" s="31">
        <f t="shared" si="12"/>
        <v>38891795.120000005</v>
      </c>
      <c r="Z85" s="31">
        <f t="shared" si="12"/>
        <v>8409166.3600000013</v>
      </c>
      <c r="AA85" s="31">
        <f t="shared" si="12"/>
        <v>1060031.78</v>
      </c>
      <c r="AB85" s="31">
        <f t="shared" si="12"/>
        <v>29334047.709999993</v>
      </c>
      <c r="AC85" s="31">
        <f t="shared" si="12"/>
        <v>4149252.8399999994</v>
      </c>
      <c r="AD85" s="31">
        <f t="shared" si="12"/>
        <v>0</v>
      </c>
      <c r="AE85" s="31">
        <f t="shared" si="12"/>
        <v>9159664.1300000008</v>
      </c>
      <c r="AF85" s="31">
        <f t="shared" si="12"/>
        <v>0</v>
      </c>
      <c r="AG85" s="31">
        <f t="shared" si="12"/>
        <v>21738840.800000001</v>
      </c>
      <c r="AH85" s="31">
        <f t="shared" si="12"/>
        <v>0</v>
      </c>
      <c r="AI85" s="31">
        <f t="shared" si="12"/>
        <v>0</v>
      </c>
      <c r="AJ85" s="31">
        <f t="shared" si="12"/>
        <v>106622224.21000004</v>
      </c>
      <c r="AK85" s="31">
        <f t="shared" si="12"/>
        <v>1342.98</v>
      </c>
      <c r="AL85" s="31">
        <f t="shared" si="12"/>
        <v>0</v>
      </c>
      <c r="AM85" s="31">
        <f t="shared" si="12"/>
        <v>0</v>
      </c>
      <c r="AN85" s="31">
        <f t="shared" si="12"/>
        <v>0</v>
      </c>
      <c r="AO85" s="31">
        <f t="shared" si="12"/>
        <v>0</v>
      </c>
      <c r="AP85" s="31">
        <f t="shared" si="12"/>
        <v>88967688.780000016</v>
      </c>
      <c r="AQ85" s="31">
        <f t="shared" si="12"/>
        <v>0</v>
      </c>
      <c r="AR85" s="31">
        <f t="shared" si="12"/>
        <v>77488308.140000001</v>
      </c>
      <c r="AS85" s="31">
        <f t="shared" si="12"/>
        <v>0</v>
      </c>
      <c r="AT85" s="31">
        <f t="shared" si="12"/>
        <v>0</v>
      </c>
      <c r="AU85" s="31">
        <f t="shared" si="12"/>
        <v>0</v>
      </c>
      <c r="AV85" s="31">
        <f t="shared" si="12"/>
        <v>4417105.6599999983</v>
      </c>
      <c r="AW85" s="31">
        <f t="shared" si="12"/>
        <v>-648450.7799999998</v>
      </c>
      <c r="AX85" s="31">
        <f t="shared" si="12"/>
        <v>2636272.52</v>
      </c>
      <c r="AY85" s="31">
        <f t="shared" si="12"/>
        <v>0</v>
      </c>
      <c r="AZ85" s="31">
        <f t="shared" si="12"/>
        <v>5150737.4800000004</v>
      </c>
      <c r="BA85" s="31">
        <f t="shared" si="12"/>
        <v>421838.33999999997</v>
      </c>
      <c r="BB85" s="31">
        <f t="shared" si="12"/>
        <v>325449.14</v>
      </c>
      <c r="BC85" s="31">
        <f t="shared" si="12"/>
        <v>516999.30000000005</v>
      </c>
      <c r="BD85" s="31">
        <f t="shared" si="12"/>
        <v>3619365.1199999996</v>
      </c>
      <c r="BE85" s="31">
        <f t="shared" si="12"/>
        <v>15554884.559999999</v>
      </c>
      <c r="BF85" s="31">
        <f t="shared" si="12"/>
        <v>6641232.46</v>
      </c>
      <c r="BG85" s="31">
        <f t="shared" si="12"/>
        <v>4132193.1700000004</v>
      </c>
      <c r="BH85" s="31">
        <f t="shared" si="12"/>
        <v>61892168.539999999</v>
      </c>
      <c r="BI85" s="31">
        <f t="shared" si="12"/>
        <v>6917154.1299999999</v>
      </c>
      <c r="BJ85" s="31">
        <f t="shared" si="12"/>
        <v>2434013.6600000006</v>
      </c>
      <c r="BK85" s="31">
        <f t="shared" si="12"/>
        <v>10221516.35</v>
      </c>
      <c r="BL85" s="31">
        <f t="shared" si="12"/>
        <v>6659962.7199999997</v>
      </c>
      <c r="BM85" s="31">
        <f t="shared" si="12"/>
        <v>6013753.3500000006</v>
      </c>
      <c r="BN85" s="31">
        <f t="shared" si="12"/>
        <v>17808258.809999999</v>
      </c>
      <c r="BO85" s="31">
        <f t="shared" si="12"/>
        <v>1913161.17</v>
      </c>
      <c r="BP85" s="31">
        <f t="shared" ref="BP85:CD85" si="13">SUM(BP61:BP69)-BP84</f>
        <v>7087223.2800000003</v>
      </c>
      <c r="BQ85" s="31">
        <f t="shared" si="13"/>
        <v>658343.96</v>
      </c>
      <c r="BR85" s="31">
        <f t="shared" si="13"/>
        <v>11127644.640000001</v>
      </c>
      <c r="BS85" s="31">
        <f t="shared" si="13"/>
        <v>322128.52999999997</v>
      </c>
      <c r="BT85" s="31">
        <f t="shared" si="13"/>
        <v>219003.75</v>
      </c>
      <c r="BU85" s="31">
        <f t="shared" si="13"/>
        <v>246654.16</v>
      </c>
      <c r="BV85" s="31">
        <f t="shared" si="13"/>
        <v>6781634.0799999991</v>
      </c>
      <c r="BW85" s="31">
        <f t="shared" si="13"/>
        <v>5013506.2999999989</v>
      </c>
      <c r="BX85" s="31">
        <f t="shared" si="13"/>
        <v>9340724.9499999974</v>
      </c>
      <c r="BY85" s="31">
        <f t="shared" si="13"/>
        <v>2220454.5199999991</v>
      </c>
      <c r="BZ85" s="31">
        <f t="shared" si="13"/>
        <v>5429436.7400000002</v>
      </c>
      <c r="CA85" s="31">
        <f t="shared" si="13"/>
        <v>3151275.0500000003</v>
      </c>
      <c r="CB85" s="31">
        <f t="shared" si="13"/>
        <v>7482430.5200000023</v>
      </c>
      <c r="CC85" s="31">
        <f t="shared" si="13"/>
        <v>2670269.2799999993</v>
      </c>
      <c r="CD85" s="31">
        <f t="shared" si="13"/>
        <v>10307896.32</v>
      </c>
      <c r="CE85" s="31">
        <f t="shared" si="11"/>
        <v>892086629.92999971</v>
      </c>
    </row>
    <row r="86" spans="1:84" x14ac:dyDescent="0.25">
      <c r="A86" s="38" t="s">
        <v>271</v>
      </c>
      <c r="B86" s="31"/>
      <c r="C86" s="28" t="s">
        <v>233</v>
      </c>
      <c r="D86" s="28" t="s">
        <v>233</v>
      </c>
      <c r="E86" s="28" t="s">
        <v>233</v>
      </c>
      <c r="F86" s="28" t="s">
        <v>233</v>
      </c>
      <c r="G86" s="28" t="s">
        <v>233</v>
      </c>
      <c r="H86" s="28" t="s">
        <v>233</v>
      </c>
      <c r="I86" s="28" t="s">
        <v>233</v>
      </c>
      <c r="J86" s="28" t="s">
        <v>233</v>
      </c>
      <c r="K86" s="35" t="s">
        <v>233</v>
      </c>
      <c r="L86" s="28" t="s">
        <v>233</v>
      </c>
      <c r="M86" s="28" t="s">
        <v>233</v>
      </c>
      <c r="N86" s="28" t="s">
        <v>233</v>
      </c>
      <c r="O86" s="28" t="s">
        <v>233</v>
      </c>
      <c r="P86" s="28" t="s">
        <v>233</v>
      </c>
      <c r="Q86" s="28" t="s">
        <v>233</v>
      </c>
      <c r="R86" s="28" t="s">
        <v>233</v>
      </c>
      <c r="S86" s="28" t="s">
        <v>233</v>
      </c>
      <c r="T86" s="28" t="s">
        <v>233</v>
      </c>
      <c r="U86" s="28" t="s">
        <v>233</v>
      </c>
      <c r="V86" s="28" t="s">
        <v>233</v>
      </c>
      <c r="W86" s="28" t="s">
        <v>233</v>
      </c>
      <c r="X86" s="28" t="s">
        <v>233</v>
      </c>
      <c r="Y86" s="28" t="s">
        <v>233</v>
      </c>
      <c r="Z86" s="28" t="s">
        <v>233</v>
      </c>
      <c r="AA86" s="28" t="s">
        <v>233</v>
      </c>
      <c r="AB86" s="28" t="s">
        <v>233</v>
      </c>
      <c r="AC86" s="28" t="s">
        <v>233</v>
      </c>
      <c r="AD86" s="28" t="s">
        <v>233</v>
      </c>
      <c r="AE86" s="28" t="s">
        <v>233</v>
      </c>
      <c r="AF86" s="28" t="s">
        <v>233</v>
      </c>
      <c r="AG86" s="28" t="s">
        <v>233</v>
      </c>
      <c r="AH86" s="28" t="s">
        <v>233</v>
      </c>
      <c r="AI86" s="28" t="s">
        <v>233</v>
      </c>
      <c r="AJ86" s="28" t="s">
        <v>233</v>
      </c>
      <c r="AK86" s="28" t="s">
        <v>233</v>
      </c>
      <c r="AL86" s="28" t="s">
        <v>233</v>
      </c>
      <c r="AM86" s="28" t="s">
        <v>233</v>
      </c>
      <c r="AN86" s="28" t="s">
        <v>233</v>
      </c>
      <c r="AO86" s="28" t="s">
        <v>233</v>
      </c>
      <c r="AP86" s="28" t="s">
        <v>233</v>
      </c>
      <c r="AQ86" s="28" t="s">
        <v>233</v>
      </c>
      <c r="AR86" s="28" t="s">
        <v>233</v>
      </c>
      <c r="AS86" s="28" t="s">
        <v>233</v>
      </c>
      <c r="AT86" s="28" t="s">
        <v>233</v>
      </c>
      <c r="AU86" s="28" t="s">
        <v>233</v>
      </c>
      <c r="AV86" s="28" t="s">
        <v>233</v>
      </c>
      <c r="AW86" s="28" t="s">
        <v>233</v>
      </c>
      <c r="AX86" s="28" t="s">
        <v>233</v>
      </c>
      <c r="AY86" s="28" t="s">
        <v>233</v>
      </c>
      <c r="AZ86" s="28" t="s">
        <v>233</v>
      </c>
      <c r="BA86" s="28" t="s">
        <v>233</v>
      </c>
      <c r="BB86" s="28" t="s">
        <v>233</v>
      </c>
      <c r="BC86" s="28" t="s">
        <v>233</v>
      </c>
      <c r="BD86" s="28" t="s">
        <v>233</v>
      </c>
      <c r="BE86" s="28" t="s">
        <v>233</v>
      </c>
      <c r="BF86" s="28" t="s">
        <v>233</v>
      </c>
      <c r="BG86" s="28" t="s">
        <v>233</v>
      </c>
      <c r="BH86" s="28" t="s">
        <v>233</v>
      </c>
      <c r="BI86" s="28" t="s">
        <v>233</v>
      </c>
      <c r="BJ86" s="28" t="s">
        <v>233</v>
      </c>
      <c r="BK86" s="28" t="s">
        <v>233</v>
      </c>
      <c r="BL86" s="28" t="s">
        <v>233</v>
      </c>
      <c r="BM86" s="28" t="s">
        <v>233</v>
      </c>
      <c r="BN86" s="28" t="s">
        <v>233</v>
      </c>
      <c r="BO86" s="28" t="s">
        <v>233</v>
      </c>
      <c r="BP86" s="28" t="s">
        <v>233</v>
      </c>
      <c r="BQ86" s="28" t="s">
        <v>233</v>
      </c>
      <c r="BR86" s="28" t="s">
        <v>233</v>
      </c>
      <c r="BS86" s="28" t="s">
        <v>233</v>
      </c>
      <c r="BT86" s="28" t="s">
        <v>233</v>
      </c>
      <c r="BU86" s="28" t="s">
        <v>233</v>
      </c>
      <c r="BV86" s="28" t="s">
        <v>233</v>
      </c>
      <c r="BW86" s="28" t="s">
        <v>233</v>
      </c>
      <c r="BX86" s="28" t="s">
        <v>233</v>
      </c>
      <c r="BY86" s="28" t="s">
        <v>233</v>
      </c>
      <c r="BZ86" s="28" t="s">
        <v>233</v>
      </c>
      <c r="CA86" s="28" t="s">
        <v>233</v>
      </c>
      <c r="CB86" s="28" t="s">
        <v>233</v>
      </c>
      <c r="CC86" s="28" t="s">
        <v>233</v>
      </c>
      <c r="CD86" s="28" t="s">
        <v>233</v>
      </c>
      <c r="CE86" s="34">
        <v>0</v>
      </c>
    </row>
    <row r="87" spans="1:84" x14ac:dyDescent="0.25">
      <c r="A87" s="25" t="s">
        <v>272</v>
      </c>
      <c r="B87" s="19"/>
      <c r="C87" s="23">
        <v>79106249.219999999</v>
      </c>
      <c r="D87" s="23">
        <v>55002822.32</v>
      </c>
      <c r="E87" s="23">
        <v>162667443.41</v>
      </c>
      <c r="F87" s="23">
        <v>0</v>
      </c>
      <c r="G87" s="23">
        <v>16211063.970000001</v>
      </c>
      <c r="H87" s="23">
        <v>0</v>
      </c>
      <c r="I87" s="23">
        <v>0</v>
      </c>
      <c r="J87" s="23">
        <v>0</v>
      </c>
      <c r="K87" s="23">
        <v>0</v>
      </c>
      <c r="L87" s="23">
        <v>0</v>
      </c>
      <c r="M87" s="23">
        <f>4252045.53</f>
        <v>4252045.53</v>
      </c>
      <c r="N87" s="23">
        <v>19703217.75</v>
      </c>
      <c r="O87" s="23">
        <v>100546133.18000001</v>
      </c>
      <c r="P87" s="23">
        <v>80227760.629999995</v>
      </c>
      <c r="Q87" s="23">
        <v>5518314</v>
      </c>
      <c r="R87" s="23">
        <v>11867880</v>
      </c>
      <c r="S87" s="23">
        <v>0</v>
      </c>
      <c r="T87" s="23">
        <v>0</v>
      </c>
      <c r="U87" s="23">
        <v>84163526.019999996</v>
      </c>
      <c r="V87" s="23">
        <v>2037366</v>
      </c>
      <c r="W87" s="23">
        <v>6714440.75</v>
      </c>
      <c r="X87" s="23">
        <v>28413355.719999999</v>
      </c>
      <c r="Y87" s="23">
        <v>49766590.770000003</v>
      </c>
      <c r="Z87" s="23">
        <v>1085404</v>
      </c>
      <c r="AA87" s="23">
        <v>918395.75</v>
      </c>
      <c r="AB87" s="23">
        <v>84600751.469999999</v>
      </c>
      <c r="AC87" s="23">
        <v>21258467</v>
      </c>
      <c r="AD87" s="23">
        <v>0</v>
      </c>
      <c r="AE87" s="23">
        <v>14740468.33</v>
      </c>
      <c r="AF87" s="23">
        <v>0</v>
      </c>
      <c r="AG87" s="23">
        <v>42607148.740000002</v>
      </c>
      <c r="AH87" s="23">
        <v>0</v>
      </c>
      <c r="AI87" s="23">
        <v>0</v>
      </c>
      <c r="AJ87" s="23">
        <v>28140496.41</v>
      </c>
      <c r="AK87" s="23"/>
      <c r="AL87" s="23"/>
      <c r="AM87" s="23"/>
      <c r="AN87" s="23"/>
      <c r="AO87" s="23"/>
      <c r="AP87" s="23">
        <v>3600398.46</v>
      </c>
      <c r="AQ87" s="23"/>
      <c r="AR87" s="23">
        <f>2847-855.06</f>
        <v>1991.94</v>
      </c>
      <c r="AS87" s="23"/>
      <c r="AT87" s="23"/>
      <c r="AU87" s="23"/>
      <c r="AV87" s="23">
        <f>2425155.74+3570+5662729</f>
        <v>8091454.7400000002</v>
      </c>
      <c r="AW87" s="28" t="s">
        <v>233</v>
      </c>
      <c r="AX87" s="28" t="s">
        <v>233</v>
      </c>
      <c r="AY87" s="28" t="s">
        <v>233</v>
      </c>
      <c r="AZ87" s="28" t="s">
        <v>233</v>
      </c>
      <c r="BA87" s="28" t="s">
        <v>233</v>
      </c>
      <c r="BB87" s="28" t="s">
        <v>233</v>
      </c>
      <c r="BC87" s="28" t="s">
        <v>233</v>
      </c>
      <c r="BD87" s="28" t="s">
        <v>233</v>
      </c>
      <c r="BE87" s="28" t="s">
        <v>233</v>
      </c>
      <c r="BF87" s="28" t="s">
        <v>233</v>
      </c>
      <c r="BG87" s="28" t="s">
        <v>233</v>
      </c>
      <c r="BH87" s="28" t="s">
        <v>233</v>
      </c>
      <c r="BI87" s="28" t="s">
        <v>233</v>
      </c>
      <c r="BJ87" s="28" t="s">
        <v>233</v>
      </c>
      <c r="BK87" s="28" t="s">
        <v>233</v>
      </c>
      <c r="BL87" s="28" t="s">
        <v>233</v>
      </c>
      <c r="BM87" s="28" t="s">
        <v>233</v>
      </c>
      <c r="BN87" s="28" t="s">
        <v>233</v>
      </c>
      <c r="BO87" s="28" t="s">
        <v>233</v>
      </c>
      <c r="BP87" s="28" t="s">
        <v>233</v>
      </c>
      <c r="BQ87" s="28" t="s">
        <v>233</v>
      </c>
      <c r="BR87" s="28" t="s">
        <v>233</v>
      </c>
      <c r="BS87" s="28" t="s">
        <v>233</v>
      </c>
      <c r="BT87" s="28" t="s">
        <v>233</v>
      </c>
      <c r="BU87" s="28" t="s">
        <v>233</v>
      </c>
      <c r="BV87" s="28" t="s">
        <v>233</v>
      </c>
      <c r="BW87" s="28" t="s">
        <v>233</v>
      </c>
      <c r="BX87" s="28" t="s">
        <v>233</v>
      </c>
      <c r="BY87" s="28" t="s">
        <v>233</v>
      </c>
      <c r="BZ87" s="28" t="s">
        <v>233</v>
      </c>
      <c r="CA87" s="28" t="s">
        <v>233</v>
      </c>
      <c r="CB87" s="28" t="s">
        <v>233</v>
      </c>
      <c r="CC87" s="28" t="s">
        <v>233</v>
      </c>
      <c r="CD87" s="28" t="s">
        <v>233</v>
      </c>
      <c r="CE87" s="31">
        <f t="shared" ref="CE87:CE94" si="14">SUM(C87:CD87)</f>
        <v>911243186.11000013</v>
      </c>
    </row>
    <row r="88" spans="1:84" x14ac:dyDescent="0.25">
      <c r="A88" s="25" t="s">
        <v>273</v>
      </c>
      <c r="B88" s="19"/>
      <c r="C88" s="23">
        <v>156297.60999999999</v>
      </c>
      <c r="D88" s="23">
        <v>1207736</v>
      </c>
      <c r="E88" s="23">
        <v>8357661.3300000001</v>
      </c>
      <c r="F88" s="23">
        <v>0</v>
      </c>
      <c r="G88" s="23">
        <v>5208</v>
      </c>
      <c r="H88" s="23">
        <v>0</v>
      </c>
      <c r="I88" s="23">
        <v>0</v>
      </c>
      <c r="J88" s="23">
        <v>0</v>
      </c>
      <c r="K88" s="23">
        <v>0</v>
      </c>
      <c r="L88" s="23">
        <v>0</v>
      </c>
      <c r="M88" s="23">
        <v>494116.01</v>
      </c>
      <c r="N88" s="23">
        <v>1767952.9300000002</v>
      </c>
      <c r="O88" s="23">
        <v>4899950.32</v>
      </c>
      <c r="P88" s="23">
        <v>218218802.87</v>
      </c>
      <c r="Q88" s="23">
        <v>23112974</v>
      </c>
      <c r="R88" s="23">
        <v>35544050</v>
      </c>
      <c r="S88" s="23">
        <v>0</v>
      </c>
      <c r="T88" s="23">
        <v>0</v>
      </c>
      <c r="U88" s="23">
        <v>68835567.390000001</v>
      </c>
      <c r="V88" s="23">
        <v>730745</v>
      </c>
      <c r="W88" s="23">
        <v>10276640.25</v>
      </c>
      <c r="X88" s="23">
        <v>55748649.25</v>
      </c>
      <c r="Y88" s="23">
        <v>141262771.62</v>
      </c>
      <c r="Z88" s="23">
        <v>40326086</v>
      </c>
      <c r="AA88" s="23">
        <v>4348326</v>
      </c>
      <c r="AB88" s="23">
        <v>76137095.980000004</v>
      </c>
      <c r="AC88" s="23">
        <v>979814</v>
      </c>
      <c r="AD88" s="23">
        <v>0</v>
      </c>
      <c r="AE88" s="23">
        <v>24284553.59</v>
      </c>
      <c r="AF88" s="23">
        <v>0</v>
      </c>
      <c r="AG88" s="23">
        <v>134302898.56999999</v>
      </c>
      <c r="AH88" s="23"/>
      <c r="AI88" s="23"/>
      <c r="AJ88" s="23">
        <v>169702766.30000001</v>
      </c>
      <c r="AK88" s="23"/>
      <c r="AL88" s="23"/>
      <c r="AM88" s="23"/>
      <c r="AN88" s="23"/>
      <c r="AO88" s="23"/>
      <c r="AP88" s="23">
        <v>135690965.63999999</v>
      </c>
      <c r="AQ88" s="23"/>
      <c r="AR88" s="23">
        <v>141858943.35999998</v>
      </c>
      <c r="AS88" s="23"/>
      <c r="AT88" s="23"/>
      <c r="AU88" s="23"/>
      <c r="AV88" s="23">
        <f>10798188.81+176737.01+11052028.72</f>
        <v>22026954.539999999</v>
      </c>
      <c r="AW88" s="28" t="s">
        <v>233</v>
      </c>
      <c r="AX88" s="28" t="s">
        <v>233</v>
      </c>
      <c r="AY88" s="28" t="s">
        <v>233</v>
      </c>
      <c r="AZ88" s="28" t="s">
        <v>233</v>
      </c>
      <c r="BA88" s="28" t="s">
        <v>233</v>
      </c>
      <c r="BB88" s="28" t="s">
        <v>233</v>
      </c>
      <c r="BC88" s="28" t="s">
        <v>233</v>
      </c>
      <c r="BD88" s="28" t="s">
        <v>233</v>
      </c>
      <c r="BE88" s="28" t="s">
        <v>233</v>
      </c>
      <c r="BF88" s="28" t="s">
        <v>233</v>
      </c>
      <c r="BG88" s="28" t="s">
        <v>233</v>
      </c>
      <c r="BH88" s="28" t="s">
        <v>233</v>
      </c>
      <c r="BI88" s="28" t="s">
        <v>233</v>
      </c>
      <c r="BJ88" s="28" t="s">
        <v>233</v>
      </c>
      <c r="BK88" s="28" t="s">
        <v>233</v>
      </c>
      <c r="BL88" s="28" t="s">
        <v>233</v>
      </c>
      <c r="BM88" s="28" t="s">
        <v>233</v>
      </c>
      <c r="BN88" s="28" t="s">
        <v>233</v>
      </c>
      <c r="BO88" s="28" t="s">
        <v>233</v>
      </c>
      <c r="BP88" s="28" t="s">
        <v>233</v>
      </c>
      <c r="BQ88" s="28" t="s">
        <v>233</v>
      </c>
      <c r="BR88" s="28" t="s">
        <v>233</v>
      </c>
      <c r="BS88" s="28" t="s">
        <v>233</v>
      </c>
      <c r="BT88" s="28" t="s">
        <v>233</v>
      </c>
      <c r="BU88" s="28" t="s">
        <v>233</v>
      </c>
      <c r="BV88" s="28" t="s">
        <v>233</v>
      </c>
      <c r="BW88" s="28" t="s">
        <v>233</v>
      </c>
      <c r="BX88" s="28" t="s">
        <v>233</v>
      </c>
      <c r="BY88" s="28" t="s">
        <v>233</v>
      </c>
      <c r="BZ88" s="28" t="s">
        <v>233</v>
      </c>
      <c r="CA88" s="28" t="s">
        <v>233</v>
      </c>
      <c r="CB88" s="28" t="s">
        <v>233</v>
      </c>
      <c r="CC88" s="28" t="s">
        <v>233</v>
      </c>
      <c r="CD88" s="28" t="s">
        <v>233</v>
      </c>
      <c r="CE88" s="31">
        <f t="shared" si="14"/>
        <v>1320277526.5599997</v>
      </c>
    </row>
    <row r="89" spans="1:84" x14ac:dyDescent="0.25">
      <c r="A89" s="25" t="s">
        <v>274</v>
      </c>
      <c r="B89" s="19"/>
      <c r="C89" s="31">
        <f>C87+C88</f>
        <v>79262546.829999998</v>
      </c>
      <c r="D89" s="31">
        <f t="shared" ref="D89:AV89" si="15">D87+D88</f>
        <v>56210558.32</v>
      </c>
      <c r="E89" s="31">
        <f t="shared" si="15"/>
        <v>171025104.74000001</v>
      </c>
      <c r="F89" s="31">
        <f t="shared" si="15"/>
        <v>0</v>
      </c>
      <c r="G89" s="31">
        <f t="shared" si="15"/>
        <v>16216271.970000001</v>
      </c>
      <c r="H89" s="31">
        <f t="shared" si="15"/>
        <v>0</v>
      </c>
      <c r="I89" s="31">
        <f t="shared" si="15"/>
        <v>0</v>
      </c>
      <c r="J89" s="31">
        <f t="shared" si="15"/>
        <v>0</v>
      </c>
      <c r="K89" s="31">
        <f t="shared" si="15"/>
        <v>0</v>
      </c>
      <c r="L89" s="31">
        <f t="shared" si="15"/>
        <v>0</v>
      </c>
      <c r="M89" s="31">
        <f t="shared" si="15"/>
        <v>4746161.54</v>
      </c>
      <c r="N89" s="31">
        <f t="shared" si="15"/>
        <v>21471170.68</v>
      </c>
      <c r="O89" s="31">
        <f t="shared" si="15"/>
        <v>105446083.5</v>
      </c>
      <c r="P89" s="31">
        <f t="shared" si="15"/>
        <v>298446563.5</v>
      </c>
      <c r="Q89" s="31">
        <f t="shared" si="15"/>
        <v>28631288</v>
      </c>
      <c r="R89" s="31">
        <f t="shared" si="15"/>
        <v>47411930</v>
      </c>
      <c r="S89" s="31">
        <f t="shared" si="15"/>
        <v>0</v>
      </c>
      <c r="T89" s="31">
        <f t="shared" si="15"/>
        <v>0</v>
      </c>
      <c r="U89" s="31">
        <f t="shared" si="15"/>
        <v>152999093.41</v>
      </c>
      <c r="V89" s="31">
        <f t="shared" si="15"/>
        <v>2768111</v>
      </c>
      <c r="W89" s="31">
        <f t="shared" si="15"/>
        <v>16991081</v>
      </c>
      <c r="X89" s="31">
        <f t="shared" si="15"/>
        <v>84162004.969999999</v>
      </c>
      <c r="Y89" s="31">
        <f t="shared" si="15"/>
        <v>191029362.39000002</v>
      </c>
      <c r="Z89" s="31">
        <f t="shared" si="15"/>
        <v>41411490</v>
      </c>
      <c r="AA89" s="31">
        <f t="shared" si="15"/>
        <v>5266721.75</v>
      </c>
      <c r="AB89" s="31">
        <f t="shared" si="15"/>
        <v>160737847.44999999</v>
      </c>
      <c r="AC89" s="31">
        <f t="shared" si="15"/>
        <v>22238281</v>
      </c>
      <c r="AD89" s="31">
        <f t="shared" si="15"/>
        <v>0</v>
      </c>
      <c r="AE89" s="31">
        <f t="shared" si="15"/>
        <v>39025021.920000002</v>
      </c>
      <c r="AF89" s="31">
        <f t="shared" si="15"/>
        <v>0</v>
      </c>
      <c r="AG89" s="31">
        <f t="shared" si="15"/>
        <v>176910047.31</v>
      </c>
      <c r="AH89" s="31">
        <f t="shared" si="15"/>
        <v>0</v>
      </c>
      <c r="AI89" s="31">
        <f t="shared" si="15"/>
        <v>0</v>
      </c>
      <c r="AJ89" s="31">
        <f t="shared" si="15"/>
        <v>197843262.71000001</v>
      </c>
      <c r="AK89" s="31">
        <f t="shared" si="15"/>
        <v>0</v>
      </c>
      <c r="AL89" s="31">
        <f t="shared" si="15"/>
        <v>0</v>
      </c>
      <c r="AM89" s="31">
        <f t="shared" si="15"/>
        <v>0</v>
      </c>
      <c r="AN89" s="31">
        <f t="shared" si="15"/>
        <v>0</v>
      </c>
      <c r="AO89" s="31">
        <f t="shared" si="15"/>
        <v>0</v>
      </c>
      <c r="AP89" s="31">
        <f t="shared" si="15"/>
        <v>139291364.09999999</v>
      </c>
      <c r="AQ89" s="31">
        <f t="shared" si="15"/>
        <v>0</v>
      </c>
      <c r="AR89" s="31">
        <f t="shared" si="15"/>
        <v>141860935.29999998</v>
      </c>
      <c r="AS89" s="31">
        <f t="shared" si="15"/>
        <v>0</v>
      </c>
      <c r="AT89" s="31">
        <f t="shared" si="15"/>
        <v>0</v>
      </c>
      <c r="AU89" s="31">
        <f t="shared" si="15"/>
        <v>0</v>
      </c>
      <c r="AV89" s="31">
        <f t="shared" si="15"/>
        <v>30118409.280000001</v>
      </c>
      <c r="AW89" s="28" t="s">
        <v>233</v>
      </c>
      <c r="AX89" s="28" t="s">
        <v>233</v>
      </c>
      <c r="AY89" s="28" t="s">
        <v>233</v>
      </c>
      <c r="AZ89" s="28" t="s">
        <v>233</v>
      </c>
      <c r="BA89" s="28" t="s">
        <v>233</v>
      </c>
      <c r="BB89" s="28" t="s">
        <v>233</v>
      </c>
      <c r="BC89" s="28" t="s">
        <v>233</v>
      </c>
      <c r="BD89" s="28" t="s">
        <v>233</v>
      </c>
      <c r="BE89" s="28" t="s">
        <v>233</v>
      </c>
      <c r="BF89" s="28" t="s">
        <v>233</v>
      </c>
      <c r="BG89" s="28" t="s">
        <v>233</v>
      </c>
      <c r="BH89" s="28" t="s">
        <v>233</v>
      </c>
      <c r="BI89" s="28" t="s">
        <v>233</v>
      </c>
      <c r="BJ89" s="28" t="s">
        <v>233</v>
      </c>
      <c r="BK89" s="28" t="s">
        <v>233</v>
      </c>
      <c r="BL89" s="28" t="s">
        <v>233</v>
      </c>
      <c r="BM89" s="28" t="s">
        <v>233</v>
      </c>
      <c r="BN89" s="28" t="s">
        <v>233</v>
      </c>
      <c r="BO89" s="28" t="s">
        <v>233</v>
      </c>
      <c r="BP89" s="28" t="s">
        <v>233</v>
      </c>
      <c r="BQ89" s="28" t="s">
        <v>233</v>
      </c>
      <c r="BR89" s="28" t="s">
        <v>233</v>
      </c>
      <c r="BS89" s="28" t="s">
        <v>233</v>
      </c>
      <c r="BT89" s="28" t="s">
        <v>233</v>
      </c>
      <c r="BU89" s="28" t="s">
        <v>233</v>
      </c>
      <c r="BV89" s="28" t="s">
        <v>233</v>
      </c>
      <c r="BW89" s="28" t="s">
        <v>233</v>
      </c>
      <c r="BX89" s="28" t="s">
        <v>233</v>
      </c>
      <c r="BY89" s="28" t="s">
        <v>233</v>
      </c>
      <c r="BZ89" s="28" t="s">
        <v>233</v>
      </c>
      <c r="CA89" s="28" t="s">
        <v>233</v>
      </c>
      <c r="CB89" s="28" t="s">
        <v>233</v>
      </c>
      <c r="CC89" s="28" t="s">
        <v>233</v>
      </c>
      <c r="CD89" s="28" t="s">
        <v>233</v>
      </c>
      <c r="CE89" s="31">
        <f t="shared" si="14"/>
        <v>2231520712.6700006</v>
      </c>
    </row>
    <row r="90" spans="1:84" x14ac:dyDescent="0.25">
      <c r="A90" s="38" t="s">
        <v>275</v>
      </c>
      <c r="B90" s="31"/>
      <c r="C90" s="23">
        <v>31983</v>
      </c>
      <c r="D90" s="23">
        <v>24368</v>
      </c>
      <c r="E90" s="23">
        <v>112482</v>
      </c>
      <c r="F90" s="23"/>
      <c r="G90" s="23">
        <v>9095</v>
      </c>
      <c r="H90" s="23"/>
      <c r="I90" s="23"/>
      <c r="J90" s="23"/>
      <c r="K90" s="23"/>
      <c r="L90" s="23"/>
      <c r="M90" s="23">
        <v>20520</v>
      </c>
      <c r="N90" s="23">
        <v>5055</v>
      </c>
      <c r="O90" s="23">
        <v>54397</v>
      </c>
      <c r="P90" s="23">
        <v>71966</v>
      </c>
      <c r="Q90" s="23">
        <v>5119</v>
      </c>
      <c r="R90" s="23">
        <v>651</v>
      </c>
      <c r="S90" s="23">
        <v>10270</v>
      </c>
      <c r="T90" s="23"/>
      <c r="U90" s="23">
        <v>15470</v>
      </c>
      <c r="V90" s="23">
        <v>298</v>
      </c>
      <c r="W90" s="23">
        <v>3104</v>
      </c>
      <c r="X90" s="23">
        <v>3166</v>
      </c>
      <c r="Y90" s="23">
        <v>50628</v>
      </c>
      <c r="Z90" s="23">
        <v>16493</v>
      </c>
      <c r="AA90" s="23">
        <v>1139</v>
      </c>
      <c r="AB90" s="23">
        <v>7695</v>
      </c>
      <c r="AC90" s="23">
        <v>2635</v>
      </c>
      <c r="AD90" s="23"/>
      <c r="AE90" s="23">
        <v>17259</v>
      </c>
      <c r="AF90" s="23"/>
      <c r="AG90" s="23">
        <v>55060</v>
      </c>
      <c r="AH90" s="23"/>
      <c r="AI90" s="23"/>
      <c r="AJ90" s="23">
        <v>144637</v>
      </c>
      <c r="AK90" s="23"/>
      <c r="AL90" s="23"/>
      <c r="AM90" s="23"/>
      <c r="AN90" s="23"/>
      <c r="AO90" s="23"/>
      <c r="AP90" s="23">
        <v>45968</v>
      </c>
      <c r="AQ90" s="23"/>
      <c r="AR90" s="23"/>
      <c r="AS90" s="23"/>
      <c r="AT90" s="23"/>
      <c r="AU90" s="23"/>
      <c r="AV90" s="23">
        <v>13135</v>
      </c>
      <c r="AW90" s="23">
        <v>3911</v>
      </c>
      <c r="AX90" s="23"/>
      <c r="AY90" s="23"/>
      <c r="AZ90" s="23">
        <v>23579</v>
      </c>
      <c r="BA90" s="23">
        <v>3589</v>
      </c>
      <c r="BB90" s="23"/>
      <c r="BC90" s="23"/>
      <c r="BD90" s="23">
        <v>9077</v>
      </c>
      <c r="BE90" s="23">
        <v>679195</v>
      </c>
      <c r="BF90" s="23">
        <v>9629</v>
      </c>
      <c r="BG90" s="23">
        <v>5077</v>
      </c>
      <c r="BH90" s="23">
        <v>24834</v>
      </c>
      <c r="BI90" s="23">
        <v>26210</v>
      </c>
      <c r="BJ90" s="23">
        <v>4555</v>
      </c>
      <c r="BK90" s="23">
        <v>11014</v>
      </c>
      <c r="BL90" s="23">
        <v>5010</v>
      </c>
      <c r="BM90" s="23">
        <v>4678</v>
      </c>
      <c r="BN90" s="23">
        <v>14258</v>
      </c>
      <c r="BO90" s="23">
        <v>2082</v>
      </c>
      <c r="BP90" s="23">
        <v>1894</v>
      </c>
      <c r="BQ90" s="23">
        <v>1677</v>
      </c>
      <c r="BR90" s="23">
        <v>3400</v>
      </c>
      <c r="BS90" s="23">
        <v>5109</v>
      </c>
      <c r="BT90" s="23">
        <v>947</v>
      </c>
      <c r="BU90" s="23"/>
      <c r="BV90" s="23">
        <v>17194</v>
      </c>
      <c r="BW90" s="23">
        <v>3446</v>
      </c>
      <c r="BX90" s="23">
        <v>3549</v>
      </c>
      <c r="BY90" s="23">
        <v>1319</v>
      </c>
      <c r="BZ90" s="23"/>
      <c r="CA90" s="23">
        <v>5571</v>
      </c>
      <c r="CB90" s="23">
        <v>4031</v>
      </c>
      <c r="CC90" s="23">
        <v>7876</v>
      </c>
      <c r="CD90" s="262" t="s">
        <v>233</v>
      </c>
      <c r="CE90" s="31">
        <f t="shared" si="14"/>
        <v>1605304</v>
      </c>
      <c r="CF90" s="31">
        <f>BE59-CE90</f>
        <v>-926109</v>
      </c>
    </row>
    <row r="91" spans="1:84" x14ac:dyDescent="0.25">
      <c r="A91" s="25" t="s">
        <v>276</v>
      </c>
      <c r="B91" s="19"/>
      <c r="C91" s="23">
        <v>11070</v>
      </c>
      <c r="D91" s="23">
        <v>30276</v>
      </c>
      <c r="E91" s="23">
        <v>139044</v>
      </c>
      <c r="F91" s="23"/>
      <c r="G91" s="23">
        <v>11213</v>
      </c>
      <c r="H91" s="23"/>
      <c r="I91" s="23"/>
      <c r="J91" s="23"/>
      <c r="K91" s="23"/>
      <c r="L91" s="23"/>
      <c r="M91" s="23">
        <v>4444</v>
      </c>
      <c r="N91" s="23"/>
      <c r="O91" s="23">
        <v>36856</v>
      </c>
      <c r="P91" s="23"/>
      <c r="Q91" s="23"/>
      <c r="R91" s="23"/>
      <c r="S91" s="23"/>
      <c r="T91" s="23"/>
      <c r="U91" s="23"/>
      <c r="V91" s="23"/>
      <c r="W91" s="23"/>
      <c r="X91" s="23"/>
      <c r="Y91" s="23">
        <v>36</v>
      </c>
      <c r="Z91" s="23"/>
      <c r="AA91" s="23"/>
      <c r="AB91" s="23"/>
      <c r="AC91" s="23"/>
      <c r="AD91" s="23"/>
      <c r="AE91" s="23"/>
      <c r="AF91" s="23"/>
      <c r="AG91" s="23">
        <v>5923</v>
      </c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  <c r="AX91" s="319" t="s">
        <v>233</v>
      </c>
      <c r="AY91" s="319" t="s">
        <v>233</v>
      </c>
      <c r="AZ91" s="23"/>
      <c r="BA91" s="23"/>
      <c r="BB91" s="23"/>
      <c r="BC91" s="23"/>
      <c r="BD91" s="28" t="s">
        <v>233</v>
      </c>
      <c r="BE91" s="28" t="s">
        <v>233</v>
      </c>
      <c r="BF91" s="23"/>
      <c r="BG91" s="28" t="s">
        <v>233</v>
      </c>
      <c r="BH91" s="23"/>
      <c r="BI91" s="23"/>
      <c r="BJ91" s="28" t="s">
        <v>233</v>
      </c>
      <c r="BK91" s="23"/>
      <c r="BL91" s="23"/>
      <c r="BM91" s="23"/>
      <c r="BN91" s="28" t="s">
        <v>233</v>
      </c>
      <c r="BO91" s="28" t="s">
        <v>233</v>
      </c>
      <c r="BP91" s="28" t="s">
        <v>233</v>
      </c>
      <c r="BQ91" s="28" t="s">
        <v>233</v>
      </c>
      <c r="BR91" s="23"/>
      <c r="BS91" s="23"/>
      <c r="BT91" s="23"/>
      <c r="BU91" s="23"/>
      <c r="BV91" s="23"/>
      <c r="BW91" s="23"/>
      <c r="BX91" s="23"/>
      <c r="BY91" s="23"/>
      <c r="BZ91" s="23"/>
      <c r="CA91" s="23"/>
      <c r="CB91" s="23"/>
      <c r="CC91" s="28" t="s">
        <v>233</v>
      </c>
      <c r="CD91" s="28" t="s">
        <v>233</v>
      </c>
      <c r="CE91" s="31">
        <f t="shared" si="14"/>
        <v>238862</v>
      </c>
      <c r="CF91" s="31">
        <f>AY59-CE91</f>
        <v>-238862</v>
      </c>
    </row>
    <row r="92" spans="1:84" x14ac:dyDescent="0.25">
      <c r="A92" s="25" t="s">
        <v>277</v>
      </c>
      <c r="B92" s="19"/>
      <c r="C92" s="23">
        <v>4079.2</v>
      </c>
      <c r="D92" s="23">
        <v>3107.89</v>
      </c>
      <c r="E92" s="23">
        <v>14346.1</v>
      </c>
      <c r="F92" s="23"/>
      <c r="G92" s="23">
        <v>1160.04</v>
      </c>
      <c r="H92" s="23"/>
      <c r="I92" s="23"/>
      <c r="J92" s="23"/>
      <c r="K92" s="23"/>
      <c r="L92" s="23"/>
      <c r="M92" s="23">
        <v>2617.16</v>
      </c>
      <c r="N92" s="23">
        <v>644.78</v>
      </c>
      <c r="O92" s="23">
        <v>6937.82</v>
      </c>
      <c r="P92" s="23">
        <v>9181.25</v>
      </c>
      <c r="Q92" s="23">
        <v>652.83000000000004</v>
      </c>
      <c r="R92" s="23">
        <v>83.03</v>
      </c>
      <c r="S92" s="23">
        <v>1309.8900000000001</v>
      </c>
      <c r="T92" s="23"/>
      <c r="U92" s="23">
        <v>1973.08</v>
      </c>
      <c r="V92" s="23">
        <v>38.03</v>
      </c>
      <c r="W92" s="23">
        <v>395.93</v>
      </c>
      <c r="X92" s="23">
        <v>403.84</v>
      </c>
      <c r="Y92" s="23">
        <v>6457.22</v>
      </c>
      <c r="Z92" s="23">
        <v>2103.5300000000002</v>
      </c>
      <c r="AA92" s="23">
        <v>145.25</v>
      </c>
      <c r="AB92" s="23">
        <v>981.42</v>
      </c>
      <c r="AC92" s="23">
        <v>336.09</v>
      </c>
      <c r="AD92" s="23"/>
      <c r="AE92" s="23">
        <v>2235.6999999999998</v>
      </c>
      <c r="AF92" s="23"/>
      <c r="AG92" s="23">
        <v>7022.44</v>
      </c>
      <c r="AH92" s="23"/>
      <c r="AI92" s="23"/>
      <c r="AJ92" s="23">
        <v>18447.22</v>
      </c>
      <c r="AK92" s="23"/>
      <c r="AL92" s="23"/>
      <c r="AM92" s="23"/>
      <c r="AN92" s="23"/>
      <c r="AO92" s="23"/>
      <c r="AP92" s="23">
        <v>5862.8</v>
      </c>
      <c r="AQ92" s="23"/>
      <c r="AR92" s="23"/>
      <c r="AS92" s="23"/>
      <c r="AT92" s="23"/>
      <c r="AU92" s="23"/>
      <c r="AV92" s="23">
        <v>1675.22</v>
      </c>
      <c r="AW92" s="23">
        <v>498.81</v>
      </c>
      <c r="AX92" s="319" t="s">
        <v>233</v>
      </c>
      <c r="AY92" s="319" t="s">
        <v>233</v>
      </c>
      <c r="AZ92" s="28" t="s">
        <v>233</v>
      </c>
      <c r="BA92" s="23">
        <v>457.78</v>
      </c>
      <c r="BB92" s="23"/>
      <c r="BC92" s="23"/>
      <c r="BD92" s="28" t="s">
        <v>233</v>
      </c>
      <c r="BE92" s="28" t="s">
        <v>233</v>
      </c>
      <c r="BF92" s="28" t="s">
        <v>233</v>
      </c>
      <c r="BG92" s="28" t="s">
        <v>233</v>
      </c>
      <c r="BH92" s="23">
        <v>3167.34</v>
      </c>
      <c r="BI92" s="23">
        <v>3342.9</v>
      </c>
      <c r="BJ92" s="28" t="s">
        <v>233</v>
      </c>
      <c r="BK92" s="23">
        <v>1404.68</v>
      </c>
      <c r="BL92" s="23">
        <v>639.03</v>
      </c>
      <c r="BM92" s="23">
        <v>596.62</v>
      </c>
      <c r="BN92" s="28" t="s">
        <v>233</v>
      </c>
      <c r="BO92" s="28" t="s">
        <v>233</v>
      </c>
      <c r="BP92" s="28" t="s">
        <v>233</v>
      </c>
      <c r="BQ92" s="28" t="s">
        <v>233</v>
      </c>
      <c r="BR92" s="28" t="s">
        <v>233</v>
      </c>
      <c r="BS92" s="23">
        <v>651.66999999999996</v>
      </c>
      <c r="BT92" s="23">
        <v>120.79</v>
      </c>
      <c r="BU92" s="23"/>
      <c r="BV92" s="23">
        <v>2192.9699999999998</v>
      </c>
      <c r="BW92" s="23">
        <v>439.56</v>
      </c>
      <c r="BX92" s="23">
        <v>452.96699999999998</v>
      </c>
      <c r="BY92" s="23">
        <v>168.28</v>
      </c>
      <c r="BZ92" s="23"/>
      <c r="CA92" s="23">
        <v>710.51</v>
      </c>
      <c r="CB92" s="23">
        <v>514.15</v>
      </c>
      <c r="CC92" s="28" t="s">
        <v>233</v>
      </c>
      <c r="CD92" s="28" t="s">
        <v>233</v>
      </c>
      <c r="CE92" s="31">
        <f t="shared" si="14"/>
        <v>107555.81699999995</v>
      </c>
      <c r="CF92" s="19"/>
    </row>
    <row r="93" spans="1:84" x14ac:dyDescent="0.25">
      <c r="A93" s="25" t="s">
        <v>278</v>
      </c>
      <c r="B93" s="19"/>
      <c r="C93" s="23">
        <v>165856.98000000001</v>
      </c>
      <c r="D93" s="23">
        <v>253863.42</v>
      </c>
      <c r="E93" s="23">
        <v>490559.89</v>
      </c>
      <c r="F93" s="23">
        <v>0</v>
      </c>
      <c r="G93" s="23">
        <v>32647.53</v>
      </c>
      <c r="H93" s="23">
        <v>0</v>
      </c>
      <c r="I93" s="23">
        <v>0</v>
      </c>
      <c r="J93" s="23"/>
      <c r="K93" s="23"/>
      <c r="L93" s="23"/>
      <c r="M93" s="23">
        <v>29900.16</v>
      </c>
      <c r="N93" s="23">
        <v>0</v>
      </c>
      <c r="O93" s="23">
        <v>348651.94</v>
      </c>
      <c r="P93" s="23">
        <v>152755.24</v>
      </c>
      <c r="Q93" s="23">
        <v>0</v>
      </c>
      <c r="R93" s="23">
        <v>0</v>
      </c>
      <c r="S93" s="23">
        <v>14840.58</v>
      </c>
      <c r="T93" s="23">
        <v>0</v>
      </c>
      <c r="U93" s="23">
        <v>1787.82</v>
      </c>
      <c r="V93" s="23">
        <v>-0.31</v>
      </c>
      <c r="W93" s="23">
        <v>21312.69</v>
      </c>
      <c r="X93" s="23">
        <v>0</v>
      </c>
      <c r="Y93" s="23">
        <v>265936.78999999998</v>
      </c>
      <c r="Z93" s="23">
        <v>43779.7</v>
      </c>
      <c r="AA93" s="23">
        <v>0</v>
      </c>
      <c r="AB93" s="23">
        <v>0</v>
      </c>
      <c r="AC93" s="23">
        <v>0</v>
      </c>
      <c r="AD93" s="23">
        <v>0</v>
      </c>
      <c r="AE93" s="23">
        <v>0</v>
      </c>
      <c r="AF93" s="23"/>
      <c r="AG93" s="23">
        <v>348593.04</v>
      </c>
      <c r="AH93" s="23">
        <v>0</v>
      </c>
      <c r="AI93" s="23">
        <v>0</v>
      </c>
      <c r="AJ93" s="23">
        <v>60462.58</v>
      </c>
      <c r="AK93" s="23">
        <v>0</v>
      </c>
      <c r="AL93" s="23"/>
      <c r="AM93" s="23"/>
      <c r="AN93" s="23"/>
      <c r="AO93" s="23"/>
      <c r="AP93" s="23">
        <v>0</v>
      </c>
      <c r="AQ93" s="23"/>
      <c r="AR93" s="23">
        <v>0</v>
      </c>
      <c r="AS93" s="23">
        <v>0</v>
      </c>
      <c r="AT93" s="23"/>
      <c r="AU93" s="23"/>
      <c r="AV93" s="23">
        <v>29157.05</v>
      </c>
      <c r="AW93" s="23"/>
      <c r="AX93" s="319" t="s">
        <v>233</v>
      </c>
      <c r="AY93" s="319" t="s">
        <v>233</v>
      </c>
      <c r="AZ93" s="28" t="s">
        <v>233</v>
      </c>
      <c r="BA93" s="28" t="s">
        <v>233</v>
      </c>
      <c r="BB93" s="23"/>
      <c r="BC93" s="23"/>
      <c r="BD93" s="28" t="s">
        <v>233</v>
      </c>
      <c r="BE93" s="28" t="s">
        <v>233</v>
      </c>
      <c r="BF93" s="28" t="s">
        <v>233</v>
      </c>
      <c r="BG93" s="28" t="s">
        <v>233</v>
      </c>
      <c r="BH93" s="23"/>
      <c r="BI93" s="23">
        <v>17457.18</v>
      </c>
      <c r="BJ93" s="28" t="s">
        <v>233</v>
      </c>
      <c r="BK93" s="23"/>
      <c r="BL93" s="23"/>
      <c r="BM93" s="23"/>
      <c r="BN93" s="28" t="s">
        <v>233</v>
      </c>
      <c r="BO93" s="28" t="s">
        <v>233</v>
      </c>
      <c r="BP93" s="28" t="s">
        <v>233</v>
      </c>
      <c r="BQ93" s="28" t="s">
        <v>233</v>
      </c>
      <c r="BR93" s="28" t="s">
        <v>233</v>
      </c>
      <c r="BS93" s="23"/>
      <c r="BT93" s="23"/>
      <c r="BU93" s="23"/>
      <c r="BV93" s="23"/>
      <c r="BW93" s="23"/>
      <c r="BX93" s="23"/>
      <c r="BY93" s="23"/>
      <c r="BZ93" s="23"/>
      <c r="CA93" s="23"/>
      <c r="CB93" s="23"/>
      <c r="CC93" s="28" t="s">
        <v>233</v>
      </c>
      <c r="CD93" s="28" t="s">
        <v>233</v>
      </c>
      <c r="CE93" s="31">
        <f t="shared" si="14"/>
        <v>2277562.2800000003</v>
      </c>
      <c r="CF93" s="31">
        <f>BA59</f>
        <v>0</v>
      </c>
    </row>
    <row r="94" spans="1:84" x14ac:dyDescent="0.25">
      <c r="A94" s="25" t="s">
        <v>279</v>
      </c>
      <c r="B94" s="19"/>
      <c r="C94" s="313">
        <v>97.189937499999999</v>
      </c>
      <c r="D94" s="313">
        <v>49.781673076923077</v>
      </c>
      <c r="E94" s="313">
        <v>221.21140384615384</v>
      </c>
      <c r="F94" s="313">
        <v>1.003091346153846</v>
      </c>
      <c r="G94" s="313">
        <v>12.353634615384616</v>
      </c>
      <c r="H94" s="313">
        <v>0</v>
      </c>
      <c r="I94" s="313">
        <v>0</v>
      </c>
      <c r="J94" s="313">
        <v>0</v>
      </c>
      <c r="K94" s="313">
        <v>0</v>
      </c>
      <c r="L94" s="313">
        <v>0</v>
      </c>
      <c r="M94" s="313">
        <f>15.41+3.18</f>
        <v>18.59</v>
      </c>
      <c r="N94" s="313">
        <v>2.0052307692307694</v>
      </c>
      <c r="O94" s="313">
        <v>126.52666346153848</v>
      </c>
      <c r="P94" s="314">
        <v>50.253514423076922</v>
      </c>
      <c r="Q94" s="314">
        <v>45.309740384615381</v>
      </c>
      <c r="R94" s="314">
        <v>0</v>
      </c>
      <c r="S94" s="315">
        <v>0</v>
      </c>
      <c r="T94" s="315">
        <v>0</v>
      </c>
      <c r="U94" s="316">
        <v>0.54390384615384613</v>
      </c>
      <c r="V94" s="314">
        <v>0</v>
      </c>
      <c r="W94" s="314">
        <v>0</v>
      </c>
      <c r="X94" s="314">
        <v>0</v>
      </c>
      <c r="Y94" s="314">
        <v>30.47431730769231</v>
      </c>
      <c r="Z94" s="314">
        <v>4.5550865384615387</v>
      </c>
      <c r="AA94" s="314">
        <v>9.6153846153846159E-4</v>
      </c>
      <c r="AB94" s="315">
        <v>0</v>
      </c>
      <c r="AC94" s="314">
        <v>4.6153846153846156E-2</v>
      </c>
      <c r="AD94" s="314">
        <v>0</v>
      </c>
      <c r="AE94" s="314">
        <v>0</v>
      </c>
      <c r="AF94" s="314">
        <v>0</v>
      </c>
      <c r="AG94" s="314">
        <v>68.222889423076921</v>
      </c>
      <c r="AH94" s="314">
        <v>0</v>
      </c>
      <c r="AI94" s="314">
        <v>0</v>
      </c>
      <c r="AJ94" s="314">
        <v>56.683245192307687</v>
      </c>
      <c r="AK94" s="314">
        <v>0</v>
      </c>
      <c r="AL94" s="314">
        <v>0</v>
      </c>
      <c r="AM94" s="314">
        <v>0</v>
      </c>
      <c r="AN94" s="314">
        <v>0</v>
      </c>
      <c r="AO94" s="314">
        <v>0</v>
      </c>
      <c r="AP94" s="314">
        <v>16.23483173076923</v>
      </c>
      <c r="AQ94" s="314">
        <v>0</v>
      </c>
      <c r="AR94" s="314">
        <f>146.44+28.63</f>
        <v>175.07</v>
      </c>
      <c r="AS94" s="314">
        <v>0</v>
      </c>
      <c r="AT94" s="314">
        <v>0</v>
      </c>
      <c r="AU94" s="314">
        <v>0</v>
      </c>
      <c r="AV94" s="315">
        <v>7.7082259615384618</v>
      </c>
      <c r="AW94" s="319" t="s">
        <v>233</v>
      </c>
      <c r="AX94" s="319" t="s">
        <v>233</v>
      </c>
      <c r="AY94" s="319" t="s">
        <v>233</v>
      </c>
      <c r="AZ94" s="28" t="s">
        <v>233</v>
      </c>
      <c r="BA94" s="28" t="s">
        <v>233</v>
      </c>
      <c r="BB94" s="28" t="s">
        <v>233</v>
      </c>
      <c r="BC94" s="28" t="s">
        <v>233</v>
      </c>
      <c r="BD94" s="28" t="s">
        <v>233</v>
      </c>
      <c r="BE94" s="28" t="s">
        <v>233</v>
      </c>
      <c r="BF94" s="28" t="s">
        <v>233</v>
      </c>
      <c r="BG94" s="28" t="s">
        <v>233</v>
      </c>
      <c r="BH94" s="28" t="s">
        <v>233</v>
      </c>
      <c r="BI94" s="28" t="s">
        <v>233</v>
      </c>
      <c r="BJ94" s="28" t="s">
        <v>233</v>
      </c>
      <c r="BK94" s="28" t="s">
        <v>233</v>
      </c>
      <c r="BL94" s="28" t="s">
        <v>233</v>
      </c>
      <c r="BM94" s="28" t="s">
        <v>233</v>
      </c>
      <c r="BN94" s="28" t="s">
        <v>233</v>
      </c>
      <c r="BO94" s="28" t="s">
        <v>233</v>
      </c>
      <c r="BP94" s="28" t="s">
        <v>233</v>
      </c>
      <c r="BQ94" s="28" t="s">
        <v>233</v>
      </c>
      <c r="BR94" s="28" t="s">
        <v>233</v>
      </c>
      <c r="BS94" s="28" t="s">
        <v>233</v>
      </c>
      <c r="BT94" s="28" t="s">
        <v>233</v>
      </c>
      <c r="BU94" s="320"/>
      <c r="BV94" s="320"/>
      <c r="BW94" s="320"/>
      <c r="BX94" s="320"/>
      <c r="BY94" s="320"/>
      <c r="BZ94" s="320"/>
      <c r="CA94" s="320"/>
      <c r="CB94" s="320"/>
      <c r="CC94" s="28" t="s">
        <v>233</v>
      </c>
      <c r="CD94" s="28" t="s">
        <v>233</v>
      </c>
      <c r="CE94" s="265">
        <f t="shared" si="14"/>
        <v>983.76450480769233</v>
      </c>
      <c r="CF94" s="36"/>
    </row>
    <row r="95" spans="1:84" x14ac:dyDescent="0.25">
      <c r="A95" s="37" t="s">
        <v>280</v>
      </c>
      <c r="B95" s="37"/>
      <c r="C95" s="37"/>
      <c r="D95" s="37"/>
      <c r="E95" s="37"/>
    </row>
    <row r="96" spans="1:84" x14ac:dyDescent="0.25">
      <c r="A96" s="38" t="s">
        <v>281</v>
      </c>
      <c r="B96" s="39"/>
      <c r="C96" s="321" t="s">
        <v>1373</v>
      </c>
      <c r="D96" s="41"/>
      <c r="E96" s="42"/>
      <c r="F96" s="15"/>
    </row>
    <row r="97" spans="1:6" x14ac:dyDescent="0.25">
      <c r="A97" s="31" t="s">
        <v>283</v>
      </c>
      <c r="B97" s="39" t="s">
        <v>284</v>
      </c>
      <c r="C97" s="322" t="s">
        <v>1361</v>
      </c>
      <c r="D97" s="41"/>
      <c r="E97" s="42"/>
      <c r="F97" s="15"/>
    </row>
    <row r="98" spans="1:6" x14ac:dyDescent="0.25">
      <c r="A98" s="31" t="s">
        <v>285</v>
      </c>
      <c r="B98" s="39" t="s">
        <v>284</v>
      </c>
      <c r="C98" s="40" t="s">
        <v>1362</v>
      </c>
      <c r="D98" s="41"/>
      <c r="E98" s="42"/>
      <c r="F98" s="15"/>
    </row>
    <row r="99" spans="1:6" x14ac:dyDescent="0.25">
      <c r="A99" s="31" t="s">
        <v>286</v>
      </c>
      <c r="B99" s="39" t="s">
        <v>284</v>
      </c>
      <c r="C99" s="40" t="s">
        <v>1363</v>
      </c>
      <c r="D99" s="41"/>
      <c r="E99" s="42"/>
      <c r="F99" s="15"/>
    </row>
    <row r="100" spans="1:6" x14ac:dyDescent="0.25">
      <c r="A100" s="31" t="s">
        <v>287</v>
      </c>
      <c r="B100" s="39" t="s">
        <v>284</v>
      </c>
      <c r="C100" s="40" t="s">
        <v>1364</v>
      </c>
      <c r="D100" s="41"/>
      <c r="E100" s="42"/>
      <c r="F100" s="15"/>
    </row>
    <row r="101" spans="1:6" x14ac:dyDescent="0.25">
      <c r="A101" s="31" t="s">
        <v>288</v>
      </c>
      <c r="B101" s="39" t="s">
        <v>284</v>
      </c>
      <c r="C101" s="40" t="s">
        <v>1377</v>
      </c>
      <c r="D101" s="41"/>
      <c r="E101" s="42"/>
      <c r="F101" s="15"/>
    </row>
    <row r="102" spans="1:6" x14ac:dyDescent="0.25">
      <c r="A102" s="31" t="s">
        <v>289</v>
      </c>
      <c r="B102" s="39" t="s">
        <v>284</v>
      </c>
      <c r="C102" s="323">
        <v>98034</v>
      </c>
      <c r="D102" s="41"/>
      <c r="E102" s="42"/>
      <c r="F102" s="15"/>
    </row>
    <row r="103" spans="1:6" x14ac:dyDescent="0.25">
      <c r="A103" s="31" t="s">
        <v>290</v>
      </c>
      <c r="B103" s="39" t="s">
        <v>284</v>
      </c>
      <c r="C103" s="323" t="s">
        <v>1366</v>
      </c>
      <c r="D103" s="41"/>
      <c r="E103" s="42"/>
      <c r="F103" s="15"/>
    </row>
    <row r="104" spans="1:6" x14ac:dyDescent="0.25">
      <c r="A104" s="31" t="s">
        <v>291</v>
      </c>
      <c r="B104" s="39" t="s">
        <v>284</v>
      </c>
      <c r="C104" s="324" t="s">
        <v>1367</v>
      </c>
      <c r="D104" s="41"/>
      <c r="E104" s="42"/>
      <c r="F104" s="15"/>
    </row>
    <row r="105" spans="1:6" x14ac:dyDescent="0.25">
      <c r="A105" s="31" t="s">
        <v>292</v>
      </c>
      <c r="B105" s="39" t="s">
        <v>284</v>
      </c>
      <c r="C105" s="324" t="s">
        <v>1368</v>
      </c>
      <c r="D105" s="41"/>
      <c r="E105" s="42"/>
      <c r="F105" s="15"/>
    </row>
    <row r="106" spans="1:6" x14ac:dyDescent="0.25">
      <c r="A106" s="31" t="s">
        <v>293</v>
      </c>
      <c r="B106" s="39" t="s">
        <v>284</v>
      </c>
      <c r="C106" s="40" t="s">
        <v>1380</v>
      </c>
      <c r="D106" s="41"/>
      <c r="E106" s="42"/>
      <c r="F106" s="15"/>
    </row>
    <row r="107" spans="1:6" x14ac:dyDescent="0.25">
      <c r="A107" s="31" t="s">
        <v>294</v>
      </c>
      <c r="B107" s="39" t="s">
        <v>284</v>
      </c>
      <c r="C107" s="341" t="s">
        <v>1370</v>
      </c>
      <c r="D107" s="41"/>
      <c r="E107" s="42"/>
      <c r="F107" s="15"/>
    </row>
    <row r="108" spans="1:6" x14ac:dyDescent="0.25">
      <c r="A108" s="31" t="s">
        <v>295</v>
      </c>
      <c r="B108" s="39" t="s">
        <v>284</v>
      </c>
      <c r="C108" s="341" t="s">
        <v>1371</v>
      </c>
      <c r="D108" s="41"/>
      <c r="E108" s="42"/>
      <c r="F108" s="15"/>
    </row>
    <row r="109" spans="1:6" x14ac:dyDescent="0.25">
      <c r="A109" s="43" t="s">
        <v>296</v>
      </c>
      <c r="B109" s="39" t="s">
        <v>284</v>
      </c>
      <c r="C109" s="40" t="s">
        <v>1378</v>
      </c>
      <c r="D109" s="41"/>
      <c r="E109" s="42"/>
      <c r="F109" s="15"/>
    </row>
    <row r="110" spans="1:6" x14ac:dyDescent="0.25">
      <c r="A110" s="43" t="s">
        <v>297</v>
      </c>
      <c r="B110" s="39" t="s">
        <v>284</v>
      </c>
      <c r="C110" s="345" t="s">
        <v>1379</v>
      </c>
      <c r="D110" s="41"/>
      <c r="E110" s="42"/>
      <c r="F110" s="15"/>
    </row>
    <row r="111" spans="1:6" x14ac:dyDescent="0.25">
      <c r="A111" s="37" t="s">
        <v>298</v>
      </c>
      <c r="B111" s="37"/>
      <c r="C111" s="37"/>
      <c r="D111" s="37"/>
      <c r="E111" s="37"/>
    </row>
    <row r="112" spans="1:6" x14ac:dyDescent="0.25">
      <c r="A112" s="44" t="s">
        <v>299</v>
      </c>
      <c r="B112" s="44"/>
      <c r="C112" s="44"/>
      <c r="D112" s="44"/>
      <c r="E112" s="44"/>
    </row>
    <row r="113" spans="1:5" x14ac:dyDescent="0.25">
      <c r="A113" s="19" t="s">
        <v>288</v>
      </c>
      <c r="B113" s="45" t="s">
        <v>284</v>
      </c>
      <c r="C113" s="46"/>
      <c r="D113" s="19"/>
      <c r="E113" s="19"/>
    </row>
    <row r="114" spans="1:5" x14ac:dyDescent="0.25">
      <c r="A114" s="19" t="s">
        <v>290</v>
      </c>
      <c r="B114" s="45" t="s">
        <v>284</v>
      </c>
      <c r="C114" s="46"/>
      <c r="D114" s="19"/>
      <c r="E114" s="19"/>
    </row>
    <row r="115" spans="1:5" x14ac:dyDescent="0.25">
      <c r="A115" s="19" t="s">
        <v>300</v>
      </c>
      <c r="B115" s="45" t="s">
        <v>284</v>
      </c>
      <c r="C115" s="46" t="s">
        <v>1372</v>
      </c>
      <c r="D115" s="19"/>
      <c r="E115" s="19"/>
    </row>
    <row r="116" spans="1:5" x14ac:dyDescent="0.25">
      <c r="A116" s="44" t="s">
        <v>301</v>
      </c>
      <c r="B116" s="44"/>
      <c r="C116" s="44"/>
      <c r="D116" s="44"/>
      <c r="E116" s="44"/>
    </row>
    <row r="117" spans="1:5" x14ac:dyDescent="0.25">
      <c r="A117" s="19" t="s">
        <v>302</v>
      </c>
      <c r="B117" s="45" t="s">
        <v>284</v>
      </c>
      <c r="C117" s="46"/>
      <c r="D117" s="19"/>
      <c r="E117" s="19"/>
    </row>
    <row r="118" spans="1:5" x14ac:dyDescent="0.25">
      <c r="A118" s="19" t="s">
        <v>144</v>
      </c>
      <c r="B118" s="45" t="s">
        <v>284</v>
      </c>
      <c r="C118" s="233"/>
      <c r="D118" s="19"/>
      <c r="E118" s="19"/>
    </row>
    <row r="119" spans="1:5" x14ac:dyDescent="0.25">
      <c r="A119" s="44" t="s">
        <v>303</v>
      </c>
      <c r="B119" s="44"/>
      <c r="C119" s="44"/>
      <c r="D119" s="44"/>
      <c r="E119" s="44"/>
    </row>
    <row r="120" spans="1:5" x14ac:dyDescent="0.25">
      <c r="A120" s="19" t="s">
        <v>304</v>
      </c>
      <c r="B120" s="45" t="s">
        <v>284</v>
      </c>
      <c r="C120" s="46"/>
      <c r="D120" s="19"/>
      <c r="E120" s="19"/>
    </row>
    <row r="121" spans="1:5" x14ac:dyDescent="0.25">
      <c r="A121" s="19" t="s">
        <v>305</v>
      </c>
      <c r="B121" s="45" t="s">
        <v>284</v>
      </c>
      <c r="C121" s="46"/>
      <c r="D121" s="19"/>
      <c r="E121" s="19"/>
    </row>
    <row r="122" spans="1:5" x14ac:dyDescent="0.25">
      <c r="A122" s="19" t="s">
        <v>306</v>
      </c>
      <c r="B122" s="45" t="s">
        <v>284</v>
      </c>
      <c r="C122" s="46"/>
      <c r="D122" s="19"/>
      <c r="E122" s="19"/>
    </row>
    <row r="123" spans="1:5" x14ac:dyDescent="0.25">
      <c r="A123" s="19"/>
      <c r="B123" s="45"/>
      <c r="C123" s="47"/>
      <c r="D123" s="19"/>
      <c r="E123" s="19"/>
    </row>
    <row r="124" spans="1:5" x14ac:dyDescent="0.25">
      <c r="A124" s="48" t="s">
        <v>307</v>
      </c>
      <c r="B124" s="37"/>
      <c r="C124" s="37"/>
      <c r="D124" s="37"/>
      <c r="E124" s="37"/>
    </row>
    <row r="125" spans="1:5" x14ac:dyDescent="0.25">
      <c r="A125" s="19"/>
      <c r="B125" s="45"/>
      <c r="C125" s="47"/>
      <c r="D125" s="19"/>
      <c r="E125" s="19"/>
    </row>
    <row r="126" spans="1:5" x14ac:dyDescent="0.25">
      <c r="A126" s="25" t="s">
        <v>308</v>
      </c>
      <c r="B126" s="19"/>
      <c r="C126" s="20" t="s">
        <v>309</v>
      </c>
      <c r="D126" s="21" t="s">
        <v>227</v>
      </c>
      <c r="E126" s="19"/>
    </row>
    <row r="127" spans="1:5" x14ac:dyDescent="0.25">
      <c r="A127" s="19" t="s">
        <v>310</v>
      </c>
      <c r="B127" s="45" t="s">
        <v>284</v>
      </c>
      <c r="C127" s="46">
        <v>15400</v>
      </c>
      <c r="D127" s="49">
        <v>73661</v>
      </c>
      <c r="E127" s="19"/>
    </row>
    <row r="128" spans="1:5" x14ac:dyDescent="0.25">
      <c r="A128" s="19" t="s">
        <v>311</v>
      </c>
      <c r="B128" s="45" t="s">
        <v>284</v>
      </c>
      <c r="C128" s="46"/>
      <c r="D128" s="49"/>
      <c r="E128" s="19"/>
    </row>
    <row r="129" spans="1:5" x14ac:dyDescent="0.25">
      <c r="A129" s="19" t="s">
        <v>312</v>
      </c>
      <c r="B129" s="45" t="s">
        <v>284</v>
      </c>
      <c r="C129" s="46"/>
      <c r="D129" s="49"/>
      <c r="E129" s="19"/>
    </row>
    <row r="130" spans="1:5" x14ac:dyDescent="0.25">
      <c r="A130" s="19" t="s">
        <v>313</v>
      </c>
      <c r="B130" s="45" t="s">
        <v>284</v>
      </c>
      <c r="C130" s="46">
        <v>4583</v>
      </c>
      <c r="D130" s="49">
        <v>6362</v>
      </c>
      <c r="E130" s="19"/>
    </row>
    <row r="131" spans="1:5" x14ac:dyDescent="0.25">
      <c r="A131" s="25" t="s">
        <v>314</v>
      </c>
      <c r="B131" s="19"/>
      <c r="C131" s="20" t="s">
        <v>179</v>
      </c>
      <c r="D131" s="19"/>
      <c r="E131" s="19"/>
    </row>
    <row r="132" spans="1:5" x14ac:dyDescent="0.25">
      <c r="A132" s="19" t="s">
        <v>315</v>
      </c>
      <c r="B132" s="45" t="s">
        <v>284</v>
      </c>
      <c r="C132" s="46">
        <v>20</v>
      </c>
      <c r="D132" s="19"/>
      <c r="E132" s="19"/>
    </row>
    <row r="133" spans="1:5" x14ac:dyDescent="0.25">
      <c r="A133" s="19" t="s">
        <v>316</v>
      </c>
      <c r="B133" s="45" t="s">
        <v>284</v>
      </c>
      <c r="C133" s="46">
        <v>31</v>
      </c>
      <c r="D133" s="19"/>
      <c r="E133" s="19"/>
    </row>
    <row r="134" spans="1:5" x14ac:dyDescent="0.25">
      <c r="A134" s="19" t="s">
        <v>317</v>
      </c>
      <c r="B134" s="45" t="s">
        <v>284</v>
      </c>
      <c r="C134" s="46">
        <v>209</v>
      </c>
      <c r="D134" s="19"/>
      <c r="E134" s="19"/>
    </row>
    <row r="135" spans="1:5" x14ac:dyDescent="0.25">
      <c r="A135" s="19" t="s">
        <v>318</v>
      </c>
      <c r="B135" s="45" t="s">
        <v>284</v>
      </c>
      <c r="C135" s="46">
        <v>1</v>
      </c>
      <c r="D135" s="19"/>
      <c r="E135" s="19"/>
    </row>
    <row r="136" spans="1:5" x14ac:dyDescent="0.25">
      <c r="A136" s="19" t="s">
        <v>319</v>
      </c>
      <c r="B136" s="45" t="s">
        <v>284</v>
      </c>
      <c r="C136" s="46">
        <v>36</v>
      </c>
      <c r="D136" s="19"/>
      <c r="E136" s="19"/>
    </row>
    <row r="137" spans="1:5" x14ac:dyDescent="0.25">
      <c r="A137" s="19" t="s">
        <v>320</v>
      </c>
      <c r="B137" s="45" t="s">
        <v>284</v>
      </c>
      <c r="C137" s="46">
        <v>14</v>
      </c>
      <c r="D137" s="19"/>
      <c r="E137" s="19"/>
    </row>
    <row r="138" spans="1:5" x14ac:dyDescent="0.25">
      <c r="A138" s="19" t="s">
        <v>108</v>
      </c>
      <c r="B138" s="45" t="s">
        <v>284</v>
      </c>
      <c r="C138" s="46"/>
      <c r="D138" s="19"/>
      <c r="E138" s="19"/>
    </row>
    <row r="139" spans="1:5" x14ac:dyDescent="0.25">
      <c r="A139" s="19" t="s">
        <v>321</v>
      </c>
      <c r="B139" s="45" t="s">
        <v>284</v>
      </c>
      <c r="C139" s="46"/>
      <c r="D139" s="19"/>
      <c r="E139" s="19"/>
    </row>
    <row r="140" spans="1:5" x14ac:dyDescent="0.25">
      <c r="A140" s="19" t="s">
        <v>322</v>
      </c>
      <c r="B140" s="45"/>
      <c r="C140" s="46"/>
      <c r="D140" s="19"/>
      <c r="E140" s="19"/>
    </row>
    <row r="141" spans="1:5" x14ac:dyDescent="0.25">
      <c r="A141" s="19" t="s">
        <v>312</v>
      </c>
      <c r="B141" s="45" t="s">
        <v>284</v>
      </c>
      <c r="C141" s="46"/>
      <c r="D141" s="19"/>
      <c r="E141" s="19"/>
    </row>
    <row r="142" spans="1:5" x14ac:dyDescent="0.25">
      <c r="A142" s="19" t="s">
        <v>323</v>
      </c>
      <c r="B142" s="45" t="s">
        <v>284</v>
      </c>
      <c r="C142" s="46">
        <v>43</v>
      </c>
      <c r="D142" s="19"/>
      <c r="E142" s="19"/>
    </row>
    <row r="143" spans="1:5" x14ac:dyDescent="0.25">
      <c r="A143" s="19" t="s">
        <v>324</v>
      </c>
      <c r="B143" s="19"/>
      <c r="C143" s="26"/>
      <c r="D143" s="19"/>
      <c r="E143" s="31">
        <f>SUM(C132:C142)</f>
        <v>354</v>
      </c>
    </row>
    <row r="144" spans="1:5" x14ac:dyDescent="0.25">
      <c r="A144" s="19" t="s">
        <v>325</v>
      </c>
      <c r="B144" s="45" t="s">
        <v>284</v>
      </c>
      <c r="C144" s="46">
        <v>318</v>
      </c>
      <c r="D144" s="19"/>
      <c r="E144" s="19"/>
    </row>
    <row r="145" spans="1:6" x14ac:dyDescent="0.25">
      <c r="A145" s="19" t="s">
        <v>326</v>
      </c>
      <c r="B145" s="45" t="s">
        <v>284</v>
      </c>
      <c r="C145" s="46"/>
      <c r="D145" s="19"/>
      <c r="E145" s="19"/>
    </row>
    <row r="146" spans="1:6" x14ac:dyDescent="0.25">
      <c r="A146" s="19"/>
      <c r="B146" s="19"/>
      <c r="C146" s="26"/>
      <c r="D146" s="19"/>
      <c r="E146" s="19"/>
    </row>
    <row r="147" spans="1:6" x14ac:dyDescent="0.25">
      <c r="A147" s="19" t="s">
        <v>327</v>
      </c>
      <c r="B147" s="45" t="s">
        <v>284</v>
      </c>
      <c r="C147" s="46"/>
      <c r="D147" s="19"/>
      <c r="E147" s="19"/>
    </row>
    <row r="148" spans="1:6" x14ac:dyDescent="0.25">
      <c r="A148" s="19"/>
      <c r="B148" s="19"/>
      <c r="C148" s="26"/>
      <c r="D148" s="19"/>
      <c r="E148" s="19"/>
    </row>
    <row r="149" spans="1:6" x14ac:dyDescent="0.25">
      <c r="A149" s="19"/>
      <c r="B149" s="19"/>
      <c r="C149" s="26"/>
      <c r="D149" s="19"/>
      <c r="E149" s="19"/>
    </row>
    <row r="150" spans="1:6" x14ac:dyDescent="0.25">
      <c r="A150" s="19"/>
      <c r="B150" s="19"/>
      <c r="C150" s="26"/>
      <c r="D150" s="19"/>
      <c r="E150" s="19"/>
    </row>
    <row r="151" spans="1:6" x14ac:dyDescent="0.25">
      <c r="A151" s="19"/>
      <c r="B151" s="19"/>
      <c r="C151" s="26"/>
      <c r="D151" s="19"/>
      <c r="E151" s="19"/>
    </row>
    <row r="152" spans="1:6" x14ac:dyDescent="0.25">
      <c r="A152" s="37" t="s">
        <v>328</v>
      </c>
      <c r="B152" s="48"/>
      <c r="C152" s="48"/>
      <c r="D152" s="48"/>
      <c r="E152" s="48"/>
    </row>
    <row r="153" spans="1:6" x14ac:dyDescent="0.25">
      <c r="A153" s="50" t="s">
        <v>329</v>
      </c>
      <c r="B153" s="51" t="s">
        <v>330</v>
      </c>
      <c r="C153" s="52" t="s">
        <v>331</v>
      </c>
      <c r="D153" s="51" t="s">
        <v>144</v>
      </c>
      <c r="E153" s="51" t="s">
        <v>215</v>
      </c>
    </row>
    <row r="154" spans="1:6" x14ac:dyDescent="0.25">
      <c r="A154" s="19" t="s">
        <v>309</v>
      </c>
      <c r="B154" s="49">
        <v>5870</v>
      </c>
      <c r="C154" s="49">
        <v>2235</v>
      </c>
      <c r="D154" s="49">
        <v>7295</v>
      </c>
      <c r="E154" s="31">
        <f>SUM(B154:D154)</f>
        <v>15400</v>
      </c>
    </row>
    <row r="155" spans="1:6" x14ac:dyDescent="0.25">
      <c r="A155" s="19" t="s">
        <v>227</v>
      </c>
      <c r="B155" s="49">
        <v>42239</v>
      </c>
      <c r="C155" s="49">
        <v>11220</v>
      </c>
      <c r="D155" s="49">
        <v>20202</v>
      </c>
      <c r="E155" s="31">
        <f>SUM(B155:D155)</f>
        <v>73661</v>
      </c>
    </row>
    <row r="156" spans="1:6" x14ac:dyDescent="0.25">
      <c r="A156" s="19" t="s">
        <v>332</v>
      </c>
      <c r="B156" s="49"/>
      <c r="C156" s="49"/>
      <c r="D156" s="49"/>
      <c r="E156" s="31">
        <f>SUM(B156:D156)</f>
        <v>0</v>
      </c>
    </row>
    <row r="157" spans="1:6" x14ac:dyDescent="0.25">
      <c r="A157" s="19" t="s">
        <v>272</v>
      </c>
      <c r="B157" s="49">
        <v>465234431</v>
      </c>
      <c r="C157" s="49">
        <v>114671148</v>
      </c>
      <c r="D157" s="49">
        <v>331337608</v>
      </c>
      <c r="E157" s="31">
        <f>SUM(B157:D157)</f>
        <v>911243187</v>
      </c>
      <c r="F157" s="17"/>
    </row>
    <row r="158" spans="1:6" x14ac:dyDescent="0.25">
      <c r="A158" s="19" t="s">
        <v>273</v>
      </c>
      <c r="B158" s="49">
        <v>509720552</v>
      </c>
      <c r="C158" s="49">
        <v>109263614</v>
      </c>
      <c r="D158" s="49">
        <v>701293360</v>
      </c>
      <c r="E158" s="31">
        <f>SUM(B158:D158)</f>
        <v>1320277526</v>
      </c>
      <c r="F158" s="17"/>
    </row>
    <row r="159" spans="1:6" x14ac:dyDescent="0.25">
      <c r="A159" s="50" t="s">
        <v>333</v>
      </c>
      <c r="B159" s="51" t="s">
        <v>330</v>
      </c>
      <c r="C159" s="52" t="s">
        <v>331</v>
      </c>
      <c r="D159" s="51" t="s">
        <v>144</v>
      </c>
      <c r="E159" s="51" t="s">
        <v>215</v>
      </c>
    </row>
    <row r="160" spans="1:6" x14ac:dyDescent="0.25">
      <c r="A160" s="19" t="s">
        <v>309</v>
      </c>
      <c r="B160" s="49"/>
      <c r="C160" s="49"/>
      <c r="D160" s="49"/>
      <c r="E160" s="31">
        <f>SUM(B160:D160)</f>
        <v>0</v>
      </c>
    </row>
    <row r="161" spans="1:5" x14ac:dyDescent="0.25">
      <c r="A161" s="19" t="s">
        <v>227</v>
      </c>
      <c r="B161" s="49"/>
      <c r="C161" s="49"/>
      <c r="D161" s="49"/>
      <c r="E161" s="31">
        <f>SUM(B161:D161)</f>
        <v>0</v>
      </c>
    </row>
    <row r="162" spans="1:5" x14ac:dyDescent="0.25">
      <c r="A162" s="19" t="s">
        <v>332</v>
      </c>
      <c r="B162" s="49"/>
      <c r="C162" s="49"/>
      <c r="D162" s="49"/>
      <c r="E162" s="31">
        <f>SUM(B162:D162)</f>
        <v>0</v>
      </c>
    </row>
    <row r="163" spans="1:5" x14ac:dyDescent="0.25">
      <c r="A163" s="19" t="s">
        <v>272</v>
      </c>
      <c r="B163" s="49"/>
      <c r="C163" s="49"/>
      <c r="D163" s="49"/>
      <c r="E163" s="31">
        <f>SUM(B163:D163)</f>
        <v>0</v>
      </c>
    </row>
    <row r="164" spans="1:5" x14ac:dyDescent="0.25">
      <c r="A164" s="19" t="s">
        <v>273</v>
      </c>
      <c r="B164" s="49"/>
      <c r="C164" s="49"/>
      <c r="D164" s="49"/>
      <c r="E164" s="31">
        <f>SUM(B164:D164)</f>
        <v>0</v>
      </c>
    </row>
    <row r="165" spans="1:5" x14ac:dyDescent="0.25">
      <c r="A165" s="50" t="s">
        <v>334</v>
      </c>
      <c r="B165" s="51" t="s">
        <v>330</v>
      </c>
      <c r="C165" s="52" t="s">
        <v>331</v>
      </c>
      <c r="D165" s="51" t="s">
        <v>144</v>
      </c>
      <c r="E165" s="51" t="s">
        <v>215</v>
      </c>
    </row>
    <row r="166" spans="1:5" x14ac:dyDescent="0.25">
      <c r="A166" s="19" t="s">
        <v>309</v>
      </c>
      <c r="B166" s="49"/>
      <c r="C166" s="49"/>
      <c r="D166" s="49"/>
      <c r="E166" s="31">
        <f>SUM(B166:D166)</f>
        <v>0</v>
      </c>
    </row>
    <row r="167" spans="1:5" x14ac:dyDescent="0.25">
      <c r="A167" s="19" t="s">
        <v>227</v>
      </c>
      <c r="B167" s="49"/>
      <c r="C167" s="49"/>
      <c r="D167" s="49"/>
      <c r="E167" s="31">
        <f>SUM(B167:D167)</f>
        <v>0</v>
      </c>
    </row>
    <row r="168" spans="1:5" x14ac:dyDescent="0.25">
      <c r="A168" s="19" t="s">
        <v>332</v>
      </c>
      <c r="B168" s="49"/>
      <c r="C168" s="49"/>
      <c r="D168" s="49"/>
      <c r="E168" s="31">
        <f>SUM(B168:D168)</f>
        <v>0</v>
      </c>
    </row>
    <row r="169" spans="1:5" x14ac:dyDescent="0.25">
      <c r="A169" s="19" t="s">
        <v>272</v>
      </c>
      <c r="B169" s="49"/>
      <c r="C169" s="49"/>
      <c r="D169" s="49"/>
      <c r="E169" s="31">
        <f>SUM(B169:D169)</f>
        <v>0</v>
      </c>
    </row>
    <row r="170" spans="1:5" x14ac:dyDescent="0.25">
      <c r="A170" s="19" t="s">
        <v>273</v>
      </c>
      <c r="B170" s="49"/>
      <c r="C170" s="49"/>
      <c r="D170" s="49"/>
      <c r="E170" s="31">
        <f>SUM(B170:D170)</f>
        <v>0</v>
      </c>
    </row>
    <row r="171" spans="1:5" x14ac:dyDescent="0.25">
      <c r="A171" s="24"/>
      <c r="B171" s="24"/>
      <c r="C171" s="53"/>
      <c r="D171" s="54"/>
      <c r="E171" s="19"/>
    </row>
    <row r="172" spans="1:5" x14ac:dyDescent="0.25">
      <c r="A172" s="50" t="s">
        <v>335</v>
      </c>
      <c r="B172" s="51" t="s">
        <v>336</v>
      </c>
      <c r="C172" s="52" t="s">
        <v>337</v>
      </c>
      <c r="D172" s="19"/>
      <c r="E172" s="19"/>
    </row>
    <row r="173" spans="1:5" x14ac:dyDescent="0.25">
      <c r="A173" s="24" t="s">
        <v>338</v>
      </c>
      <c r="B173" s="49">
        <v>8244324</v>
      </c>
      <c r="C173" s="49">
        <v>19111557</v>
      </c>
      <c r="D173" s="19"/>
      <c r="E173" s="19"/>
    </row>
    <row r="174" spans="1:5" x14ac:dyDescent="0.25">
      <c r="A174" s="24"/>
      <c r="B174" s="54"/>
      <c r="C174" s="53"/>
      <c r="D174" s="19"/>
      <c r="E174" s="19"/>
    </row>
    <row r="175" spans="1:5" x14ac:dyDescent="0.25">
      <c r="A175" s="24"/>
      <c r="B175" s="24"/>
      <c r="C175" s="53"/>
      <c r="D175" s="54"/>
      <c r="E175" s="19"/>
    </row>
    <row r="176" spans="1:5" x14ac:dyDescent="0.25">
      <c r="A176" s="24"/>
      <c r="B176" s="24"/>
      <c r="C176" s="53"/>
      <c r="D176" s="54"/>
      <c r="E176" s="19"/>
    </row>
    <row r="177" spans="1:5" x14ac:dyDescent="0.25">
      <c r="A177" s="24"/>
      <c r="B177" s="24"/>
      <c r="C177" s="53"/>
      <c r="D177" s="54"/>
      <c r="E177" s="19"/>
    </row>
    <row r="178" spans="1:5" x14ac:dyDescent="0.25">
      <c r="A178" s="24"/>
      <c r="B178" s="24"/>
      <c r="C178" s="53"/>
      <c r="D178" s="54"/>
      <c r="E178" s="19"/>
    </row>
    <row r="179" spans="1:5" x14ac:dyDescent="0.25">
      <c r="A179" s="48" t="s">
        <v>339</v>
      </c>
      <c r="B179" s="37"/>
      <c r="C179" s="37"/>
      <c r="D179" s="37"/>
      <c r="E179" s="37"/>
    </row>
    <row r="180" spans="1:5" x14ac:dyDescent="0.25">
      <c r="A180" s="44" t="s">
        <v>340</v>
      </c>
      <c r="B180" s="44"/>
      <c r="C180" s="44"/>
      <c r="D180" s="44"/>
      <c r="E180" s="44"/>
    </row>
    <row r="181" spans="1:5" x14ac:dyDescent="0.25">
      <c r="A181" s="19" t="s">
        <v>341</v>
      </c>
      <c r="B181" s="45" t="s">
        <v>284</v>
      </c>
      <c r="C181" s="46">
        <v>30570782</v>
      </c>
      <c r="D181" s="19"/>
      <c r="E181" s="19"/>
    </row>
    <row r="182" spans="1:5" x14ac:dyDescent="0.25">
      <c r="A182" s="19" t="s">
        <v>342</v>
      </c>
      <c r="B182" s="45" t="s">
        <v>284</v>
      </c>
      <c r="C182" s="46">
        <v>275693</v>
      </c>
      <c r="D182" s="19"/>
      <c r="E182" s="19"/>
    </row>
    <row r="183" spans="1:5" x14ac:dyDescent="0.25">
      <c r="A183" s="24" t="s">
        <v>343</v>
      </c>
      <c r="B183" s="45" t="s">
        <v>284</v>
      </c>
      <c r="C183" s="46">
        <v>3756315</v>
      </c>
      <c r="D183" s="19"/>
      <c r="E183" s="19"/>
    </row>
    <row r="184" spans="1:5" x14ac:dyDescent="0.25">
      <c r="A184" s="19" t="s">
        <v>344</v>
      </c>
      <c r="B184" s="45" t="s">
        <v>284</v>
      </c>
      <c r="C184" s="46">
        <v>49357293</v>
      </c>
      <c r="D184" s="19"/>
      <c r="E184" s="19"/>
    </row>
    <row r="185" spans="1:5" x14ac:dyDescent="0.25">
      <c r="A185" s="19" t="s">
        <v>345</v>
      </c>
      <c r="B185" s="45" t="s">
        <v>284</v>
      </c>
      <c r="C185" s="46">
        <v>238608</v>
      </c>
      <c r="D185" s="19"/>
      <c r="E185" s="19"/>
    </row>
    <row r="186" spans="1:5" x14ac:dyDescent="0.25">
      <c r="A186" s="19" t="s">
        <v>346</v>
      </c>
      <c r="B186" s="45" t="s">
        <v>284</v>
      </c>
      <c r="C186" s="46">
        <v>22327180</v>
      </c>
      <c r="D186" s="19"/>
      <c r="E186" s="19"/>
    </row>
    <row r="187" spans="1:5" x14ac:dyDescent="0.25">
      <c r="A187" s="19" t="s">
        <v>347</v>
      </c>
      <c r="B187" s="45" t="s">
        <v>284</v>
      </c>
      <c r="C187" s="46">
        <v>505481</v>
      </c>
      <c r="D187" s="19"/>
      <c r="E187" s="19"/>
    </row>
    <row r="188" spans="1:5" x14ac:dyDescent="0.25">
      <c r="A188" s="19" t="s">
        <v>347</v>
      </c>
      <c r="B188" s="45" t="s">
        <v>284</v>
      </c>
      <c r="C188" s="46"/>
      <c r="D188" s="19"/>
      <c r="E188" s="19"/>
    </row>
    <row r="189" spans="1:5" x14ac:dyDescent="0.25">
      <c r="A189" s="19" t="s">
        <v>215</v>
      </c>
      <c r="B189" s="19"/>
      <c r="C189" s="26"/>
      <c r="D189" s="31">
        <f>SUM(C181:C188)</f>
        <v>107031352</v>
      </c>
      <c r="E189" s="19"/>
    </row>
    <row r="190" spans="1:5" x14ac:dyDescent="0.25">
      <c r="A190" s="44" t="s">
        <v>348</v>
      </c>
      <c r="B190" s="44"/>
      <c r="C190" s="44"/>
      <c r="D190" s="44"/>
      <c r="E190" s="44"/>
    </row>
    <row r="191" spans="1:5" x14ac:dyDescent="0.25">
      <c r="A191" s="19" t="s">
        <v>349</v>
      </c>
      <c r="B191" s="45" t="s">
        <v>284</v>
      </c>
      <c r="C191" s="46">
        <f>4132918+1986</f>
        <v>4134904</v>
      </c>
      <c r="D191" s="19"/>
      <c r="E191" s="19"/>
    </row>
    <row r="192" spans="1:5" x14ac:dyDescent="0.25">
      <c r="A192" s="19" t="s">
        <v>350</v>
      </c>
      <c r="B192" s="45" t="s">
        <v>284</v>
      </c>
      <c r="C192" s="46">
        <f>1287300+759257+20535</f>
        <v>2067092</v>
      </c>
      <c r="D192" s="19"/>
      <c r="E192" s="19"/>
    </row>
    <row r="193" spans="1:5" x14ac:dyDescent="0.25">
      <c r="A193" s="19" t="s">
        <v>215</v>
      </c>
      <c r="B193" s="19"/>
      <c r="C193" s="26"/>
      <c r="D193" s="31">
        <f>SUM(C191:C192)</f>
        <v>6201996</v>
      </c>
      <c r="E193" s="19"/>
    </row>
    <row r="194" spans="1:5" x14ac:dyDescent="0.25">
      <c r="A194" s="44" t="s">
        <v>351</v>
      </c>
      <c r="B194" s="44"/>
      <c r="C194" s="44"/>
      <c r="D194" s="44"/>
      <c r="E194" s="44"/>
    </row>
    <row r="195" spans="1:5" x14ac:dyDescent="0.25">
      <c r="A195" s="19" t="s">
        <v>352</v>
      </c>
      <c r="B195" s="45" t="s">
        <v>284</v>
      </c>
      <c r="C195" s="46">
        <v>1326450</v>
      </c>
      <c r="D195" s="19"/>
      <c r="E195" s="19"/>
    </row>
    <row r="196" spans="1:5" x14ac:dyDescent="0.25">
      <c r="A196" s="19" t="s">
        <v>353</v>
      </c>
      <c r="B196" s="45" t="s">
        <v>284</v>
      </c>
      <c r="C196" s="46">
        <v>2128942</v>
      </c>
      <c r="D196" s="19"/>
      <c r="E196" s="19"/>
    </row>
    <row r="197" spans="1:5" x14ac:dyDescent="0.25">
      <c r="A197" s="19" t="s">
        <v>215</v>
      </c>
      <c r="B197" s="19"/>
      <c r="C197" s="26"/>
      <c r="D197" s="31">
        <f>SUM(C195:C196)</f>
        <v>3455392</v>
      </c>
      <c r="E197" s="19"/>
    </row>
    <row r="198" spans="1:5" x14ac:dyDescent="0.25">
      <c r="A198" s="44" t="s">
        <v>354</v>
      </c>
      <c r="B198" s="44"/>
      <c r="C198" s="44"/>
      <c r="D198" s="44"/>
      <c r="E198" s="44"/>
    </row>
    <row r="199" spans="1:5" x14ac:dyDescent="0.25">
      <c r="A199" s="19" t="s">
        <v>355</v>
      </c>
      <c r="B199" s="45" t="s">
        <v>284</v>
      </c>
      <c r="C199" s="46">
        <v>486226</v>
      </c>
      <c r="D199" s="19"/>
      <c r="E199" s="19"/>
    </row>
    <row r="200" spans="1:5" x14ac:dyDescent="0.25">
      <c r="A200" s="19" t="s">
        <v>356</v>
      </c>
      <c r="B200" s="45" t="s">
        <v>284</v>
      </c>
      <c r="C200" s="46">
        <v>8615470</v>
      </c>
      <c r="D200" s="19"/>
      <c r="E200" s="19"/>
    </row>
    <row r="201" spans="1:5" x14ac:dyDescent="0.25">
      <c r="A201" s="19" t="s">
        <v>144</v>
      </c>
      <c r="B201" s="45" t="s">
        <v>284</v>
      </c>
      <c r="C201" s="46"/>
      <c r="D201" s="19"/>
      <c r="E201" s="19"/>
    </row>
    <row r="202" spans="1:5" x14ac:dyDescent="0.25">
      <c r="A202" s="19" t="s">
        <v>215</v>
      </c>
      <c r="B202" s="19"/>
      <c r="C202" s="26"/>
      <c r="D202" s="31">
        <f>SUM(C199:C201)</f>
        <v>9101696</v>
      </c>
      <c r="E202" s="19"/>
    </row>
    <row r="203" spans="1:5" x14ac:dyDescent="0.25">
      <c r="A203" s="44" t="s">
        <v>357</v>
      </c>
      <c r="B203" s="44"/>
      <c r="C203" s="44"/>
      <c r="D203" s="44"/>
      <c r="E203" s="44"/>
    </row>
    <row r="204" spans="1:5" x14ac:dyDescent="0.25">
      <c r="A204" s="19" t="s">
        <v>358</v>
      </c>
      <c r="B204" s="45" t="s">
        <v>284</v>
      </c>
      <c r="C204" s="46">
        <v>15301422</v>
      </c>
      <c r="D204" s="19"/>
      <c r="E204" s="19"/>
    </row>
    <row r="205" spans="1:5" x14ac:dyDescent="0.25">
      <c r="A205" s="19" t="s">
        <v>359</v>
      </c>
      <c r="B205" s="45" t="s">
        <v>284</v>
      </c>
      <c r="C205" s="46"/>
      <c r="D205" s="19"/>
      <c r="E205" s="19"/>
    </row>
    <row r="206" spans="1:5" x14ac:dyDescent="0.25">
      <c r="A206" s="19" t="s">
        <v>215</v>
      </c>
      <c r="B206" s="19"/>
      <c r="C206" s="26"/>
      <c r="D206" s="31">
        <f>SUM(C204:C205)</f>
        <v>15301422</v>
      </c>
      <c r="E206" s="19"/>
    </row>
    <row r="207" spans="1:5" x14ac:dyDescent="0.25">
      <c r="A207" s="19"/>
      <c r="B207" s="19"/>
      <c r="C207" s="26"/>
      <c r="D207" s="19"/>
      <c r="E207" s="19"/>
    </row>
    <row r="208" spans="1:5" x14ac:dyDescent="0.25">
      <c r="A208" s="37" t="s">
        <v>360</v>
      </c>
      <c r="B208" s="37"/>
      <c r="C208" s="37"/>
      <c r="D208" s="37"/>
      <c r="E208" s="37"/>
    </row>
    <row r="209" spans="1:5" x14ac:dyDescent="0.25">
      <c r="A209" s="48" t="s">
        <v>361</v>
      </c>
      <c r="B209" s="37"/>
      <c r="C209" s="37"/>
      <c r="D209" s="37"/>
      <c r="E209" s="37"/>
    </row>
    <row r="210" spans="1:5" x14ac:dyDescent="0.25">
      <c r="A210" s="25"/>
      <c r="B210" s="21" t="s">
        <v>362</v>
      </c>
      <c r="C210" s="20" t="s">
        <v>363</v>
      </c>
      <c r="D210" s="21" t="s">
        <v>364</v>
      </c>
      <c r="E210" s="21" t="s">
        <v>365</v>
      </c>
    </row>
    <row r="211" spans="1:5" x14ac:dyDescent="0.25">
      <c r="A211" s="19" t="s">
        <v>366</v>
      </c>
      <c r="B211" s="49">
        <v>4913659.68</v>
      </c>
      <c r="C211" s="46"/>
      <c r="D211" s="49"/>
      <c r="E211" s="31">
        <f t="shared" ref="E211:E219" si="16">SUM(B211:C211)-D211</f>
        <v>4913659.68</v>
      </c>
    </row>
    <row r="212" spans="1:5" x14ac:dyDescent="0.25">
      <c r="A212" s="19" t="s">
        <v>367</v>
      </c>
      <c r="B212" s="49">
        <v>13121106</v>
      </c>
      <c r="C212" s="46">
        <v>-29508</v>
      </c>
      <c r="D212" s="49"/>
      <c r="E212" s="31">
        <f t="shared" si="16"/>
        <v>13091598</v>
      </c>
    </row>
    <row r="213" spans="1:5" x14ac:dyDescent="0.25">
      <c r="A213" s="19" t="s">
        <v>368</v>
      </c>
      <c r="B213" s="49">
        <v>358326297</v>
      </c>
      <c r="C213" s="46">
        <v>14550192.65</v>
      </c>
      <c r="D213" s="49">
        <v>-13742.95</v>
      </c>
      <c r="E213" s="31">
        <f t="shared" si="16"/>
        <v>372890232.59999996</v>
      </c>
    </row>
    <row r="214" spans="1:5" x14ac:dyDescent="0.25">
      <c r="A214" s="19" t="s">
        <v>369</v>
      </c>
      <c r="B214" s="49">
        <v>133768501</v>
      </c>
      <c r="C214" s="46">
        <v>4709430</v>
      </c>
      <c r="D214" s="49"/>
      <c r="E214" s="31">
        <f t="shared" si="16"/>
        <v>138477931</v>
      </c>
    </row>
    <row r="215" spans="1:5" x14ac:dyDescent="0.25">
      <c r="A215" s="19" t="s">
        <v>370</v>
      </c>
      <c r="B215" s="49">
        <v>10601</v>
      </c>
      <c r="C215" s="46">
        <v>-10601</v>
      </c>
      <c r="D215" s="49"/>
      <c r="E215" s="31">
        <f t="shared" si="16"/>
        <v>0</v>
      </c>
    </row>
    <row r="216" spans="1:5" x14ac:dyDescent="0.25">
      <c r="A216" s="19" t="s">
        <v>371</v>
      </c>
      <c r="B216" s="49">
        <v>289158126</v>
      </c>
      <c r="C216" s="46">
        <v>62355095.07</v>
      </c>
      <c r="D216" s="49">
        <v>8233705</v>
      </c>
      <c r="E216" s="31">
        <f t="shared" si="16"/>
        <v>343279516.06999999</v>
      </c>
    </row>
    <row r="217" spans="1:5" x14ac:dyDescent="0.25">
      <c r="A217" s="19" t="s">
        <v>372</v>
      </c>
      <c r="B217" s="49">
        <v>0</v>
      </c>
      <c r="C217" s="46"/>
      <c r="D217" s="49"/>
      <c r="E217" s="31">
        <f t="shared" si="16"/>
        <v>0</v>
      </c>
    </row>
    <row r="218" spans="1:5" x14ac:dyDescent="0.25">
      <c r="A218" s="19" t="s">
        <v>373</v>
      </c>
      <c r="B218" s="49">
        <v>39855644</v>
      </c>
      <c r="C218" s="46">
        <v>1362467.64</v>
      </c>
      <c r="D218" s="49"/>
      <c r="E218" s="31">
        <f t="shared" si="16"/>
        <v>41218111.640000001</v>
      </c>
    </row>
    <row r="219" spans="1:5" x14ac:dyDescent="0.25">
      <c r="A219" s="19" t="s">
        <v>374</v>
      </c>
      <c r="B219" s="49">
        <v>33286256</v>
      </c>
      <c r="C219" s="46">
        <v>71492833</v>
      </c>
      <c r="D219" s="49">
        <v>94905895</v>
      </c>
      <c r="E219" s="31">
        <f t="shared" si="16"/>
        <v>9873194</v>
      </c>
    </row>
    <row r="220" spans="1:5" x14ac:dyDescent="0.25">
      <c r="A220" s="19" t="s">
        <v>215</v>
      </c>
      <c r="B220" s="31">
        <f>SUM(B211:B219)</f>
        <v>872440190.68000007</v>
      </c>
      <c r="C220" s="264">
        <f>SUM(C211:C219)</f>
        <v>154429909.36000001</v>
      </c>
      <c r="D220" s="31">
        <f>SUM(D211:D219)</f>
        <v>103125857.05</v>
      </c>
      <c r="E220" s="31">
        <f>SUM(E211:E219)</f>
        <v>923744242.98999989</v>
      </c>
    </row>
    <row r="221" spans="1:5" x14ac:dyDescent="0.25">
      <c r="A221" s="19"/>
      <c r="B221" s="19"/>
      <c r="C221" s="26"/>
      <c r="D221" s="19"/>
      <c r="E221" s="19"/>
    </row>
    <row r="222" spans="1:5" x14ac:dyDescent="0.25">
      <c r="A222" s="48" t="s">
        <v>375</v>
      </c>
      <c r="B222" s="48"/>
      <c r="C222" s="48"/>
      <c r="D222" s="48"/>
      <c r="E222" s="48"/>
    </row>
    <row r="223" spans="1:5" x14ac:dyDescent="0.25">
      <c r="A223" s="25"/>
      <c r="B223" s="21" t="s">
        <v>362</v>
      </c>
      <c r="C223" s="20" t="s">
        <v>363</v>
      </c>
      <c r="D223" s="21" t="s">
        <v>364</v>
      </c>
      <c r="E223" s="21" t="s">
        <v>365</v>
      </c>
    </row>
    <row r="224" spans="1:5" x14ac:dyDescent="0.25">
      <c r="A224" s="19" t="s">
        <v>366</v>
      </c>
      <c r="B224" s="54"/>
      <c r="C224" s="53"/>
      <c r="D224" s="54"/>
      <c r="E224" s="19"/>
    </row>
    <row r="225" spans="1:5" x14ac:dyDescent="0.25">
      <c r="A225" s="19" t="s">
        <v>367</v>
      </c>
      <c r="B225" s="49">
        <v>11661059</v>
      </c>
      <c r="C225" s="46">
        <v>307772</v>
      </c>
      <c r="D225" s="49"/>
      <c r="E225" s="31">
        <f t="shared" ref="E225:E232" si="17">SUM(B225:C225)-D225</f>
        <v>11968831</v>
      </c>
    </row>
    <row r="226" spans="1:5" x14ac:dyDescent="0.25">
      <c r="A226" s="19" t="s">
        <v>368</v>
      </c>
      <c r="B226" s="49">
        <v>193751009</v>
      </c>
      <c r="C226" s="46">
        <v>4923261</v>
      </c>
      <c r="D226" s="49">
        <v>-12435</v>
      </c>
      <c r="E226" s="31">
        <f t="shared" si="17"/>
        <v>198686705</v>
      </c>
    </row>
    <row r="227" spans="1:5" x14ac:dyDescent="0.25">
      <c r="A227" s="19" t="s">
        <v>369</v>
      </c>
      <c r="B227" s="49">
        <v>100317998</v>
      </c>
      <c r="C227" s="46">
        <v>3398738</v>
      </c>
      <c r="D227" s="49"/>
      <c r="E227" s="31">
        <f t="shared" si="17"/>
        <v>103716736</v>
      </c>
    </row>
    <row r="228" spans="1:5" x14ac:dyDescent="0.25">
      <c r="A228" s="19" t="s">
        <v>370</v>
      </c>
      <c r="B228" s="49">
        <v>9276</v>
      </c>
      <c r="C228" s="46">
        <v>88</v>
      </c>
      <c r="D228" s="49">
        <v>9364</v>
      </c>
      <c r="E228" s="31">
        <f t="shared" si="17"/>
        <v>0</v>
      </c>
    </row>
    <row r="229" spans="1:5" x14ac:dyDescent="0.25">
      <c r="A229" s="19" t="s">
        <v>371</v>
      </c>
      <c r="B229" s="49">
        <v>217975145</v>
      </c>
      <c r="C229" s="46">
        <v>20305940</v>
      </c>
      <c r="D229" s="49">
        <v>8177862</v>
      </c>
      <c r="E229" s="31">
        <f t="shared" si="17"/>
        <v>230103223</v>
      </c>
    </row>
    <row r="230" spans="1:5" x14ac:dyDescent="0.25">
      <c r="A230" s="19" t="s">
        <v>372</v>
      </c>
      <c r="B230" s="49">
        <v>0</v>
      </c>
      <c r="C230" s="46"/>
      <c r="D230" s="49"/>
      <c r="E230" s="31">
        <f t="shared" si="17"/>
        <v>0</v>
      </c>
    </row>
    <row r="231" spans="1:5" x14ac:dyDescent="0.25">
      <c r="A231" s="19" t="s">
        <v>373</v>
      </c>
      <c r="B231" s="49">
        <v>26283556</v>
      </c>
      <c r="C231" s="46">
        <v>2407939</v>
      </c>
      <c r="D231" s="49"/>
      <c r="E231" s="31">
        <f t="shared" si="17"/>
        <v>28691495</v>
      </c>
    </row>
    <row r="232" spans="1:5" x14ac:dyDescent="0.25">
      <c r="A232" s="19" t="s">
        <v>374</v>
      </c>
      <c r="B232" s="49">
        <v>0</v>
      </c>
      <c r="C232" s="46"/>
      <c r="D232" s="49"/>
      <c r="E232" s="31">
        <f t="shared" si="17"/>
        <v>0</v>
      </c>
    </row>
    <row r="233" spans="1:5" x14ac:dyDescent="0.25">
      <c r="A233" s="19" t="s">
        <v>215</v>
      </c>
      <c r="B233" s="31">
        <f>SUM(B224:B232)</f>
        <v>549998043</v>
      </c>
      <c r="C233" s="264">
        <f>SUM(C224:C232)</f>
        <v>31343738</v>
      </c>
      <c r="D233" s="31">
        <f>SUM(D224:D232)</f>
        <v>8174791</v>
      </c>
      <c r="E233" s="31">
        <f>SUM(E224:E232)</f>
        <v>573166990</v>
      </c>
    </row>
    <row r="234" spans="1:5" x14ac:dyDescent="0.25">
      <c r="A234" s="19"/>
      <c r="B234" s="19"/>
      <c r="C234" s="26"/>
      <c r="D234" s="19"/>
      <c r="E234" s="19"/>
    </row>
    <row r="235" spans="1:5" x14ac:dyDescent="0.25">
      <c r="A235" s="37" t="s">
        <v>376</v>
      </c>
      <c r="B235" s="37"/>
      <c r="C235" s="37"/>
      <c r="D235" s="37"/>
      <c r="E235" s="37"/>
    </row>
    <row r="236" spans="1:5" x14ac:dyDescent="0.25">
      <c r="A236" s="37"/>
      <c r="B236" s="354" t="s">
        <v>377</v>
      </c>
      <c r="C236" s="354"/>
      <c r="D236" s="37"/>
      <c r="E236" s="37"/>
    </row>
    <row r="237" spans="1:5" x14ac:dyDescent="0.25">
      <c r="A237" s="55" t="s">
        <v>377</v>
      </c>
      <c r="B237" s="37"/>
      <c r="C237" s="46">
        <v>27655075</v>
      </c>
      <c r="D237" s="39">
        <f>C237</f>
        <v>27655075</v>
      </c>
      <c r="E237" s="37"/>
    </row>
    <row r="238" spans="1:5" x14ac:dyDescent="0.25">
      <c r="A238" s="44" t="s">
        <v>378</v>
      </c>
      <c r="B238" s="44"/>
      <c r="C238" s="44"/>
      <c r="D238" s="44"/>
      <c r="E238" s="44"/>
    </row>
    <row r="239" spans="1:5" x14ac:dyDescent="0.25">
      <c r="A239" s="19" t="s">
        <v>379</v>
      </c>
      <c r="B239" s="45" t="s">
        <v>284</v>
      </c>
      <c r="C239" s="46">
        <v>701166906</v>
      </c>
      <c r="D239" s="19"/>
      <c r="E239" s="19"/>
    </row>
    <row r="240" spans="1:5" x14ac:dyDescent="0.25">
      <c r="A240" s="19" t="s">
        <v>380</v>
      </c>
      <c r="B240" s="45" t="s">
        <v>284</v>
      </c>
      <c r="C240" s="46">
        <v>146233985</v>
      </c>
      <c r="D240" s="19"/>
      <c r="E240" s="19"/>
    </row>
    <row r="241" spans="1:5" x14ac:dyDescent="0.25">
      <c r="A241" s="19" t="s">
        <v>381</v>
      </c>
      <c r="B241" s="45" t="s">
        <v>284</v>
      </c>
      <c r="C241" s="46">
        <v>10384128</v>
      </c>
      <c r="D241" s="19"/>
      <c r="E241" s="19"/>
    </row>
    <row r="242" spans="1:5" x14ac:dyDescent="0.25">
      <c r="A242" s="19" t="s">
        <v>382</v>
      </c>
      <c r="B242" s="45" t="s">
        <v>284</v>
      </c>
      <c r="C242" s="46">
        <v>13560161</v>
      </c>
      <c r="D242" s="19"/>
      <c r="E242" s="19"/>
    </row>
    <row r="243" spans="1:5" x14ac:dyDescent="0.25">
      <c r="A243" s="19" t="s">
        <v>383</v>
      </c>
      <c r="B243" s="45" t="s">
        <v>284</v>
      </c>
      <c r="C243" s="46">
        <v>529162487</v>
      </c>
      <c r="D243" s="19"/>
      <c r="E243" s="19"/>
    </row>
    <row r="244" spans="1:5" x14ac:dyDescent="0.25">
      <c r="A244" s="19" t="s">
        <v>384</v>
      </c>
      <c r="B244" s="45" t="s">
        <v>284</v>
      </c>
      <c r="C244" s="46">
        <v>-326607</v>
      </c>
      <c r="D244" s="19"/>
      <c r="E244" s="19"/>
    </row>
    <row r="245" spans="1:5" x14ac:dyDescent="0.25">
      <c r="A245" s="19" t="s">
        <v>385</v>
      </c>
      <c r="B245" s="19"/>
      <c r="C245" s="26"/>
      <c r="D245" s="31">
        <f>SUM(C239:C244)</f>
        <v>1400181060</v>
      </c>
      <c r="E245" s="19"/>
    </row>
    <row r="246" spans="1:5" x14ac:dyDescent="0.25">
      <c r="A246" s="44" t="s">
        <v>386</v>
      </c>
      <c r="B246" s="44"/>
      <c r="C246" s="44"/>
      <c r="D246" s="44"/>
      <c r="E246" s="44"/>
    </row>
    <row r="247" spans="1:5" x14ac:dyDescent="0.25">
      <c r="A247" s="25" t="s">
        <v>387</v>
      </c>
      <c r="B247" s="45" t="s">
        <v>284</v>
      </c>
      <c r="C247" s="46">
        <v>3117</v>
      </c>
      <c r="D247" s="19"/>
      <c r="E247" s="19"/>
    </row>
    <row r="248" spans="1:5" x14ac:dyDescent="0.25">
      <c r="A248" s="25"/>
      <c r="B248" s="45"/>
      <c r="C248" s="26"/>
      <c r="D248" s="19"/>
      <c r="E248" s="19"/>
    </row>
    <row r="249" spans="1:5" x14ac:dyDescent="0.25">
      <c r="A249" s="25" t="s">
        <v>388</v>
      </c>
      <c r="B249" s="45" t="s">
        <v>284</v>
      </c>
      <c r="C249" s="46">
        <v>3198411</v>
      </c>
      <c r="D249" s="19"/>
      <c r="E249" s="19"/>
    </row>
    <row r="250" spans="1:5" x14ac:dyDescent="0.25">
      <c r="A250" s="25" t="s">
        <v>389</v>
      </c>
      <c r="B250" s="45" t="s">
        <v>284</v>
      </c>
      <c r="C250" s="46">
        <v>4634098</v>
      </c>
      <c r="D250" s="19"/>
      <c r="E250" s="19"/>
    </row>
    <row r="251" spans="1:5" x14ac:dyDescent="0.25">
      <c r="A251" s="19"/>
      <c r="B251" s="19"/>
      <c r="C251" s="26"/>
      <c r="D251" s="19"/>
      <c r="E251" s="19"/>
    </row>
    <row r="252" spans="1:5" x14ac:dyDescent="0.25">
      <c r="A252" s="25" t="s">
        <v>390</v>
      </c>
      <c r="B252" s="19"/>
      <c r="C252" s="26"/>
      <c r="D252" s="31">
        <f>SUM(C249:C251)</f>
        <v>7832509</v>
      </c>
      <c r="E252" s="19"/>
    </row>
    <row r="253" spans="1:5" x14ac:dyDescent="0.25">
      <c r="A253" s="44" t="s">
        <v>391</v>
      </c>
      <c r="B253" s="44"/>
      <c r="C253" s="44"/>
      <c r="D253" s="44"/>
      <c r="E253" s="44"/>
    </row>
    <row r="254" spans="1:5" x14ac:dyDescent="0.25">
      <c r="A254" s="19" t="s">
        <v>392</v>
      </c>
      <c r="B254" s="45" t="s">
        <v>284</v>
      </c>
      <c r="C254" s="46">
        <v>6546869</v>
      </c>
      <c r="D254" s="19"/>
      <c r="E254" s="19"/>
    </row>
    <row r="255" spans="1:5" x14ac:dyDescent="0.25">
      <c r="A255" s="19" t="s">
        <v>391</v>
      </c>
      <c r="B255" s="45" t="s">
        <v>284</v>
      </c>
      <c r="C255" s="46"/>
      <c r="D255" s="19"/>
      <c r="E255" s="19"/>
    </row>
    <row r="256" spans="1:5" x14ac:dyDescent="0.25">
      <c r="A256" s="19" t="s">
        <v>393</v>
      </c>
      <c r="B256" s="19"/>
      <c r="C256" s="26"/>
      <c r="D256" s="31">
        <f>SUM(C254:C255)</f>
        <v>6546869</v>
      </c>
      <c r="E256" s="19"/>
    </row>
    <row r="257" spans="1:5" x14ac:dyDescent="0.25">
      <c r="A257" s="19"/>
      <c r="B257" s="19"/>
      <c r="C257" s="26"/>
      <c r="D257" s="19"/>
      <c r="E257" s="19"/>
    </row>
    <row r="258" spans="1:5" x14ac:dyDescent="0.25">
      <c r="A258" s="19" t="s">
        <v>394</v>
      </c>
      <c r="B258" s="19"/>
      <c r="C258" s="26"/>
      <c r="D258" s="31">
        <f>D237+D245+D252+D256</f>
        <v>1442215513</v>
      </c>
      <c r="E258" s="19"/>
    </row>
    <row r="259" spans="1:5" x14ac:dyDescent="0.25">
      <c r="A259" s="19"/>
      <c r="B259" s="19"/>
      <c r="C259" s="26"/>
      <c r="D259" s="19"/>
      <c r="E259" s="19"/>
    </row>
    <row r="260" spans="1:5" x14ac:dyDescent="0.25">
      <c r="A260" s="19"/>
      <c r="B260" s="19"/>
      <c r="C260" s="26"/>
      <c r="D260" s="19"/>
      <c r="E260" s="19"/>
    </row>
    <row r="261" spans="1:5" x14ac:dyDescent="0.25">
      <c r="A261" s="19"/>
      <c r="B261" s="19"/>
      <c r="C261" s="26"/>
      <c r="D261" s="19"/>
      <c r="E261" s="19"/>
    </row>
    <row r="262" spans="1:5" x14ac:dyDescent="0.25">
      <c r="A262" s="19"/>
      <c r="B262" s="19"/>
      <c r="C262" s="26"/>
      <c r="D262" s="19"/>
      <c r="E262" s="19"/>
    </row>
    <row r="263" spans="1:5" x14ac:dyDescent="0.25">
      <c r="A263" s="19"/>
      <c r="B263" s="19"/>
      <c r="C263" s="26"/>
      <c r="D263" s="19"/>
      <c r="E263" s="19"/>
    </row>
    <row r="264" spans="1:5" x14ac:dyDescent="0.25">
      <c r="A264" s="37" t="s">
        <v>395</v>
      </c>
      <c r="B264" s="37"/>
      <c r="C264" s="37"/>
      <c r="D264" s="37"/>
      <c r="E264" s="37"/>
    </row>
    <row r="265" spans="1:5" x14ac:dyDescent="0.25">
      <c r="A265" s="44" t="s">
        <v>396</v>
      </c>
      <c r="B265" s="44"/>
      <c r="C265" s="44"/>
      <c r="D265" s="44"/>
      <c r="E265" s="44"/>
    </row>
    <row r="266" spans="1:5" x14ac:dyDescent="0.25">
      <c r="A266" s="19" t="s">
        <v>397</v>
      </c>
      <c r="B266" s="45" t="s">
        <v>284</v>
      </c>
      <c r="C266" s="46">
        <v>59659988</v>
      </c>
      <c r="D266" s="19"/>
      <c r="E266" s="19"/>
    </row>
    <row r="267" spans="1:5" x14ac:dyDescent="0.25">
      <c r="A267" s="19" t="s">
        <v>398</v>
      </c>
      <c r="B267" s="45" t="s">
        <v>284</v>
      </c>
      <c r="C267" s="46"/>
      <c r="D267" s="19"/>
      <c r="E267" s="19"/>
    </row>
    <row r="268" spans="1:5" x14ac:dyDescent="0.25">
      <c r="A268" s="19" t="s">
        <v>399</v>
      </c>
      <c r="B268" s="45" t="s">
        <v>284</v>
      </c>
      <c r="C268" s="46">
        <v>475450756</v>
      </c>
      <c r="D268" s="19"/>
      <c r="E268" s="19"/>
    </row>
    <row r="269" spans="1:5" x14ac:dyDescent="0.25">
      <c r="A269" s="19" t="s">
        <v>400</v>
      </c>
      <c r="B269" s="45" t="s">
        <v>284</v>
      </c>
      <c r="C269" s="46">
        <v>325352180</v>
      </c>
      <c r="D269" s="19"/>
      <c r="E269" s="19"/>
    </row>
    <row r="270" spans="1:5" x14ac:dyDescent="0.25">
      <c r="A270" s="19" t="s">
        <v>401</v>
      </c>
      <c r="B270" s="45" t="s">
        <v>284</v>
      </c>
      <c r="C270" s="46">
        <v>5353269</v>
      </c>
      <c r="D270" s="19"/>
      <c r="E270" s="19"/>
    </row>
    <row r="271" spans="1:5" x14ac:dyDescent="0.25">
      <c r="A271" s="19" t="s">
        <v>402</v>
      </c>
      <c r="B271" s="45" t="s">
        <v>284</v>
      </c>
      <c r="C271" s="46">
        <v>17091770</v>
      </c>
      <c r="D271" s="19"/>
      <c r="E271" s="19"/>
    </row>
    <row r="272" spans="1:5" x14ac:dyDescent="0.25">
      <c r="A272" s="19" t="s">
        <v>403</v>
      </c>
      <c r="B272" s="45" t="s">
        <v>284</v>
      </c>
      <c r="C272" s="46">
        <v>723678</v>
      </c>
      <c r="D272" s="19"/>
      <c r="E272" s="19"/>
    </row>
    <row r="273" spans="1:5" x14ac:dyDescent="0.25">
      <c r="A273" s="19" t="s">
        <v>404</v>
      </c>
      <c r="B273" s="45" t="s">
        <v>284</v>
      </c>
      <c r="C273" s="46">
        <v>7804552</v>
      </c>
      <c r="D273" s="19"/>
      <c r="E273" s="19"/>
    </row>
    <row r="274" spans="1:5" x14ac:dyDescent="0.25">
      <c r="A274" s="19" t="s">
        <v>405</v>
      </c>
      <c r="B274" s="45" t="s">
        <v>284</v>
      </c>
      <c r="C274" s="46">
        <v>13050291</v>
      </c>
      <c r="D274" s="19"/>
      <c r="E274" s="19"/>
    </row>
    <row r="275" spans="1:5" x14ac:dyDescent="0.25">
      <c r="A275" s="19" t="s">
        <v>406</v>
      </c>
      <c r="B275" s="45" t="s">
        <v>284</v>
      </c>
      <c r="C275" s="46"/>
      <c r="D275" s="19"/>
      <c r="E275" s="19"/>
    </row>
    <row r="276" spans="1:5" x14ac:dyDescent="0.25">
      <c r="A276" s="19" t="s">
        <v>407</v>
      </c>
      <c r="B276" s="19"/>
      <c r="C276" s="26"/>
      <c r="D276" s="31">
        <f>SUM(C266:C268)-C269+SUM(C270:C275)</f>
        <v>253782124</v>
      </c>
      <c r="E276" s="19"/>
    </row>
    <row r="277" spans="1:5" x14ac:dyDescent="0.25">
      <c r="A277" s="44" t="s">
        <v>408</v>
      </c>
      <c r="B277" s="44"/>
      <c r="C277" s="44"/>
      <c r="D277" s="44"/>
      <c r="E277" s="44"/>
    </row>
    <row r="278" spans="1:5" x14ac:dyDescent="0.25">
      <c r="A278" s="19" t="s">
        <v>397</v>
      </c>
      <c r="B278" s="45" t="s">
        <v>284</v>
      </c>
      <c r="C278" s="46">
        <v>136340703</v>
      </c>
      <c r="D278" s="19"/>
      <c r="E278" s="19"/>
    </row>
    <row r="279" spans="1:5" x14ac:dyDescent="0.25">
      <c r="A279" s="19" t="s">
        <v>398</v>
      </c>
      <c r="B279" s="45" t="s">
        <v>284</v>
      </c>
      <c r="C279" s="46"/>
      <c r="D279" s="19"/>
      <c r="E279" s="19"/>
    </row>
    <row r="280" spans="1:5" x14ac:dyDescent="0.25">
      <c r="A280" s="19" t="s">
        <v>409</v>
      </c>
      <c r="B280" s="45" t="s">
        <v>284</v>
      </c>
      <c r="C280" s="46"/>
      <c r="D280" s="19"/>
      <c r="E280" s="19"/>
    </row>
    <row r="281" spans="1:5" x14ac:dyDescent="0.25">
      <c r="A281" s="19" t="s">
        <v>410</v>
      </c>
      <c r="B281" s="19"/>
      <c r="C281" s="26"/>
      <c r="D281" s="31">
        <f>SUM(C278:C280)</f>
        <v>136340703</v>
      </c>
      <c r="E281" s="19"/>
    </row>
    <row r="282" spans="1:5" x14ac:dyDescent="0.25">
      <c r="A282" s="44" t="s">
        <v>411</v>
      </c>
      <c r="B282" s="44"/>
      <c r="C282" s="44"/>
      <c r="D282" s="44"/>
      <c r="E282" s="44"/>
    </row>
    <row r="283" spans="1:5" x14ac:dyDescent="0.25">
      <c r="A283" s="19" t="s">
        <v>366</v>
      </c>
      <c r="B283" s="45" t="s">
        <v>284</v>
      </c>
      <c r="C283" s="46">
        <v>4913660</v>
      </c>
      <c r="D283" s="19"/>
      <c r="E283" s="19"/>
    </row>
    <row r="284" spans="1:5" x14ac:dyDescent="0.25">
      <c r="A284" s="19" t="s">
        <v>367</v>
      </c>
      <c r="B284" s="45" t="s">
        <v>284</v>
      </c>
      <c r="C284" s="46">
        <v>13091598</v>
      </c>
      <c r="D284" s="19"/>
      <c r="E284" s="19"/>
    </row>
    <row r="285" spans="1:5" x14ac:dyDescent="0.25">
      <c r="A285" s="19" t="s">
        <v>368</v>
      </c>
      <c r="B285" s="45" t="s">
        <v>284</v>
      </c>
      <c r="C285" s="46">
        <v>372890232</v>
      </c>
      <c r="D285" s="19"/>
      <c r="E285" s="19"/>
    </row>
    <row r="286" spans="1:5" x14ac:dyDescent="0.25">
      <c r="A286" s="19" t="s">
        <v>412</v>
      </c>
      <c r="B286" s="45" t="s">
        <v>284</v>
      </c>
      <c r="C286" s="46">
        <v>138477930</v>
      </c>
      <c r="D286" s="19"/>
      <c r="E286" s="19"/>
    </row>
    <row r="287" spans="1:5" x14ac:dyDescent="0.25">
      <c r="A287" s="19" t="s">
        <v>413</v>
      </c>
      <c r="B287" s="45" t="s">
        <v>284</v>
      </c>
      <c r="C287" s="46"/>
      <c r="D287" s="19"/>
      <c r="E287" s="19"/>
    </row>
    <row r="288" spans="1:5" x14ac:dyDescent="0.25">
      <c r="A288" s="19" t="s">
        <v>414</v>
      </c>
      <c r="B288" s="45" t="s">
        <v>284</v>
      </c>
      <c r="C288" s="46">
        <v>347157163</v>
      </c>
      <c r="D288" s="19"/>
      <c r="E288" s="19"/>
    </row>
    <row r="289" spans="1:5" x14ac:dyDescent="0.25">
      <c r="A289" s="19" t="s">
        <v>373</v>
      </c>
      <c r="B289" s="45" t="s">
        <v>284</v>
      </c>
      <c r="C289" s="46">
        <v>41218112</v>
      </c>
      <c r="D289" s="19"/>
      <c r="E289" s="19"/>
    </row>
    <row r="290" spans="1:5" x14ac:dyDescent="0.25">
      <c r="A290" s="19" t="s">
        <v>374</v>
      </c>
      <c r="B290" s="45" t="s">
        <v>284</v>
      </c>
      <c r="C290" s="46">
        <v>9873194</v>
      </c>
      <c r="D290" s="19"/>
      <c r="E290" s="19"/>
    </row>
    <row r="291" spans="1:5" x14ac:dyDescent="0.25">
      <c r="A291" s="19" t="s">
        <v>415</v>
      </c>
      <c r="B291" s="19"/>
      <c r="C291" s="26"/>
      <c r="D291" s="31">
        <f>SUM(C283:C290)</f>
        <v>927621889</v>
      </c>
      <c r="E291" s="19"/>
    </row>
    <row r="292" spans="1:5" x14ac:dyDescent="0.25">
      <c r="A292" s="19" t="s">
        <v>416</v>
      </c>
      <c r="B292" s="45" t="s">
        <v>284</v>
      </c>
      <c r="C292" s="46">
        <v>573166990</v>
      </c>
      <c r="D292" s="19"/>
      <c r="E292" s="19"/>
    </row>
    <row r="293" spans="1:5" x14ac:dyDescent="0.25">
      <c r="A293" s="19" t="s">
        <v>417</v>
      </c>
      <c r="B293" s="19"/>
      <c r="C293" s="26"/>
      <c r="D293" s="31">
        <f>D291-C292</f>
        <v>354454899</v>
      </c>
      <c r="E293" s="19"/>
    </row>
    <row r="294" spans="1:5" x14ac:dyDescent="0.25">
      <c r="A294" s="44" t="s">
        <v>418</v>
      </c>
      <c r="B294" s="44"/>
      <c r="C294" s="44"/>
      <c r="D294" s="44"/>
      <c r="E294" s="44"/>
    </row>
    <row r="295" spans="1:5" x14ac:dyDescent="0.25">
      <c r="A295" s="19" t="s">
        <v>419</v>
      </c>
      <c r="B295" s="45" t="s">
        <v>284</v>
      </c>
      <c r="C295" s="46"/>
      <c r="D295" s="19"/>
      <c r="E295" s="19"/>
    </row>
    <row r="296" spans="1:5" x14ac:dyDescent="0.25">
      <c r="A296" s="19" t="s">
        <v>420</v>
      </c>
      <c r="B296" s="45" t="s">
        <v>284</v>
      </c>
      <c r="C296" s="46"/>
      <c r="D296" s="19"/>
      <c r="E296" s="19"/>
    </row>
    <row r="297" spans="1:5" x14ac:dyDescent="0.25">
      <c r="A297" s="19" t="s">
        <v>421</v>
      </c>
      <c r="B297" s="45" t="s">
        <v>284</v>
      </c>
      <c r="C297" s="46">
        <v>6269808</v>
      </c>
      <c r="D297" s="19"/>
      <c r="E297" s="19"/>
    </row>
    <row r="298" spans="1:5" x14ac:dyDescent="0.25">
      <c r="A298" s="19" t="s">
        <v>409</v>
      </c>
      <c r="B298" s="45" t="s">
        <v>284</v>
      </c>
      <c r="C298" s="46">
        <v>281193756</v>
      </c>
      <c r="D298" s="19"/>
      <c r="E298" s="19"/>
    </row>
    <row r="299" spans="1:5" x14ac:dyDescent="0.25">
      <c r="A299" s="19" t="s">
        <v>422</v>
      </c>
      <c r="B299" s="19"/>
      <c r="C299" s="26"/>
      <c r="D299" s="31">
        <f>C295-C296+C297+C298</f>
        <v>287463564</v>
      </c>
      <c r="E299" s="19"/>
    </row>
    <row r="300" spans="1:5" x14ac:dyDescent="0.25">
      <c r="A300" s="19"/>
      <c r="B300" s="19"/>
      <c r="C300" s="26"/>
      <c r="D300" s="19"/>
      <c r="E300" s="19"/>
    </row>
    <row r="301" spans="1:5" x14ac:dyDescent="0.25">
      <c r="A301" s="44" t="s">
        <v>423</v>
      </c>
      <c r="B301" s="44"/>
      <c r="C301" s="44"/>
      <c r="D301" s="44"/>
      <c r="E301" s="44"/>
    </row>
    <row r="302" spans="1:5" x14ac:dyDescent="0.25">
      <c r="A302" s="19" t="s">
        <v>424</v>
      </c>
      <c r="B302" s="45" t="s">
        <v>284</v>
      </c>
      <c r="C302" s="46">
        <v>24815152</v>
      </c>
      <c r="D302" s="19"/>
      <c r="E302" s="19"/>
    </row>
    <row r="303" spans="1:5" x14ac:dyDescent="0.25">
      <c r="A303" s="19" t="s">
        <v>425</v>
      </c>
      <c r="B303" s="45" t="s">
        <v>284</v>
      </c>
      <c r="C303" s="46"/>
      <c r="D303" s="19"/>
      <c r="E303" s="19"/>
    </row>
    <row r="304" spans="1:5" x14ac:dyDescent="0.25">
      <c r="A304" s="19" t="s">
        <v>426</v>
      </c>
      <c r="B304" s="45" t="s">
        <v>284</v>
      </c>
      <c r="C304" s="46"/>
      <c r="D304" s="19"/>
      <c r="E304" s="19"/>
    </row>
    <row r="305" spans="1:7" x14ac:dyDescent="0.25">
      <c r="A305" s="19" t="s">
        <v>427</v>
      </c>
      <c r="B305" s="45" t="s">
        <v>284</v>
      </c>
      <c r="C305" s="46"/>
      <c r="D305" s="19"/>
      <c r="E305" s="19"/>
    </row>
    <row r="306" spans="1:7" x14ac:dyDescent="0.25">
      <c r="A306" s="19" t="s">
        <v>428</v>
      </c>
      <c r="B306" s="19"/>
      <c r="C306" s="26"/>
      <c r="D306" s="31">
        <f>SUM(C302:C305)</f>
        <v>24815152</v>
      </c>
      <c r="E306" s="19"/>
    </row>
    <row r="307" spans="1:7" x14ac:dyDescent="0.25">
      <c r="A307" s="19"/>
      <c r="B307" s="19"/>
      <c r="C307" s="26"/>
      <c r="D307" s="19"/>
      <c r="E307" s="19"/>
      <c r="G307" s="9" t="s">
        <v>1375</v>
      </c>
    </row>
    <row r="308" spans="1:7" x14ac:dyDescent="0.25">
      <c r="A308" s="19" t="s">
        <v>429</v>
      </c>
      <c r="B308" s="19"/>
      <c r="C308" s="26"/>
      <c r="D308" s="31">
        <f>D276+D281+D293+D299+D306</f>
        <v>1056856442</v>
      </c>
      <c r="E308" s="19"/>
      <c r="F308" s="11">
        <v>1056856442</v>
      </c>
      <c r="G308" s="343">
        <f>D308-F308</f>
        <v>0</v>
      </c>
    </row>
    <row r="309" spans="1:7" x14ac:dyDescent="0.25">
      <c r="A309" s="19"/>
      <c r="B309" s="19"/>
      <c r="C309" s="26"/>
      <c r="D309" s="19"/>
      <c r="E309" s="19"/>
    </row>
    <row r="310" spans="1:7" x14ac:dyDescent="0.25">
      <c r="A310" s="19"/>
      <c r="B310" s="19"/>
      <c r="C310" s="26"/>
      <c r="D310" s="19"/>
      <c r="E310" s="19"/>
    </row>
    <row r="311" spans="1:7" x14ac:dyDescent="0.25">
      <c r="A311" s="19"/>
      <c r="B311" s="19"/>
      <c r="C311" s="26"/>
      <c r="D311" s="19"/>
      <c r="E311" s="19"/>
    </row>
    <row r="312" spans="1:7" x14ac:dyDescent="0.25">
      <c r="A312" s="37" t="s">
        <v>430</v>
      </c>
      <c r="B312" s="37"/>
      <c r="C312" s="37"/>
      <c r="D312" s="37"/>
      <c r="E312" s="37"/>
    </row>
    <row r="313" spans="1:7" x14ac:dyDescent="0.25">
      <c r="A313" s="44" t="s">
        <v>431</v>
      </c>
      <c r="B313" s="44"/>
      <c r="C313" s="44"/>
      <c r="D313" s="44"/>
      <c r="E313" s="44"/>
    </row>
    <row r="314" spans="1:7" x14ac:dyDescent="0.25">
      <c r="A314" s="19" t="s">
        <v>432</v>
      </c>
      <c r="B314" s="45" t="s">
        <v>284</v>
      </c>
      <c r="C314" s="46"/>
      <c r="D314" s="19"/>
      <c r="E314" s="19"/>
    </row>
    <row r="315" spans="1:7" x14ac:dyDescent="0.25">
      <c r="A315" s="19" t="s">
        <v>433</v>
      </c>
      <c r="B315" s="45" t="s">
        <v>284</v>
      </c>
      <c r="C315" s="46">
        <v>62540470</v>
      </c>
      <c r="D315" s="19"/>
      <c r="E315" s="19"/>
    </row>
    <row r="316" spans="1:7" x14ac:dyDescent="0.25">
      <c r="A316" s="19" t="s">
        <v>434</v>
      </c>
      <c r="B316" s="45" t="s">
        <v>284</v>
      </c>
      <c r="C316" s="46">
        <v>48225041</v>
      </c>
      <c r="D316" s="19"/>
      <c r="E316" s="19"/>
    </row>
    <row r="317" spans="1:7" x14ac:dyDescent="0.25">
      <c r="A317" s="19" t="s">
        <v>435</v>
      </c>
      <c r="B317" s="45" t="s">
        <v>284</v>
      </c>
      <c r="C317" s="46">
        <v>651131</v>
      </c>
      <c r="D317" s="19"/>
      <c r="E317" s="19"/>
    </row>
    <row r="318" spans="1:7" x14ac:dyDescent="0.25">
      <c r="A318" s="19" t="s">
        <v>436</v>
      </c>
      <c r="B318" s="45" t="s">
        <v>284</v>
      </c>
      <c r="C318" s="46"/>
      <c r="D318" s="19"/>
      <c r="E318" s="19"/>
    </row>
    <row r="319" spans="1:7" x14ac:dyDescent="0.25">
      <c r="A319" s="19" t="s">
        <v>437</v>
      </c>
      <c r="B319" s="45" t="s">
        <v>284</v>
      </c>
      <c r="C319" s="46">
        <v>6060598</v>
      </c>
      <c r="D319" s="19"/>
      <c r="E319" s="19"/>
    </row>
    <row r="320" spans="1:7" x14ac:dyDescent="0.25">
      <c r="A320" s="19" t="s">
        <v>438</v>
      </c>
      <c r="B320" s="45" t="s">
        <v>284</v>
      </c>
      <c r="C320" s="46"/>
      <c r="D320" s="19"/>
      <c r="E320" s="19"/>
    </row>
    <row r="321" spans="1:5" x14ac:dyDescent="0.25">
      <c r="A321" s="19" t="s">
        <v>439</v>
      </c>
      <c r="B321" s="45" t="s">
        <v>284</v>
      </c>
      <c r="C321" s="46"/>
      <c r="D321" s="19"/>
      <c r="E321" s="19"/>
    </row>
    <row r="322" spans="1:5" x14ac:dyDescent="0.25">
      <c r="A322" s="19" t="s">
        <v>440</v>
      </c>
      <c r="B322" s="45" t="s">
        <v>284</v>
      </c>
      <c r="C322" s="46">
        <v>3464065</v>
      </c>
      <c r="D322" s="19"/>
      <c r="E322" s="19"/>
    </row>
    <row r="323" spans="1:5" x14ac:dyDescent="0.25">
      <c r="A323" s="19" t="s">
        <v>441</v>
      </c>
      <c r="B323" s="45" t="s">
        <v>284</v>
      </c>
      <c r="C323" s="46">
        <v>20449335</v>
      </c>
      <c r="D323" s="19"/>
      <c r="E323" s="19"/>
    </row>
    <row r="324" spans="1:5" x14ac:dyDescent="0.25">
      <c r="A324" s="19" t="s">
        <v>442</v>
      </c>
      <c r="B324" s="19"/>
      <c r="C324" s="26"/>
      <c r="D324" s="31">
        <f>SUM(C314:C323)</f>
        <v>141390640</v>
      </c>
      <c r="E324" s="19"/>
    </row>
    <row r="325" spans="1:5" x14ac:dyDescent="0.25">
      <c r="A325" s="44" t="s">
        <v>443</v>
      </c>
      <c r="B325" s="44"/>
      <c r="C325" s="44"/>
      <c r="D325" s="44"/>
      <c r="E325" s="44"/>
    </row>
    <row r="326" spans="1:5" x14ac:dyDescent="0.25">
      <c r="A326" s="19" t="s">
        <v>444</v>
      </c>
      <c r="B326" s="45" t="s">
        <v>284</v>
      </c>
      <c r="C326" s="46"/>
      <c r="D326" s="19"/>
      <c r="E326" s="19"/>
    </row>
    <row r="327" spans="1:5" x14ac:dyDescent="0.25">
      <c r="A327" s="19" t="s">
        <v>445</v>
      </c>
      <c r="B327" s="45" t="s">
        <v>284</v>
      </c>
      <c r="C327" s="46">
        <v>42759758</v>
      </c>
      <c r="D327" s="19"/>
      <c r="E327" s="19"/>
    </row>
    <row r="328" spans="1:5" x14ac:dyDescent="0.25">
      <c r="A328" s="19" t="s">
        <v>446</v>
      </c>
      <c r="B328" s="45" t="s">
        <v>284</v>
      </c>
      <c r="C328" s="46">
        <v>48371</v>
      </c>
      <c r="D328" s="19"/>
      <c r="E328" s="19"/>
    </row>
    <row r="329" spans="1:5" x14ac:dyDescent="0.25">
      <c r="A329" s="19" t="s">
        <v>447</v>
      </c>
      <c r="B329" s="19"/>
      <c r="C329" s="26"/>
      <c r="D329" s="31">
        <f>SUM(C326:C328)</f>
        <v>42808129</v>
      </c>
      <c r="E329" s="19"/>
    </row>
    <row r="330" spans="1:5" x14ac:dyDescent="0.25">
      <c r="A330" s="44" t="s">
        <v>448</v>
      </c>
      <c r="B330" s="44"/>
      <c r="C330" s="44"/>
      <c r="D330" s="44"/>
      <c r="E330" s="44"/>
    </row>
    <row r="331" spans="1:5" x14ac:dyDescent="0.25">
      <c r="A331" s="19" t="s">
        <v>449</v>
      </c>
      <c r="B331" s="45" t="s">
        <v>284</v>
      </c>
      <c r="C331" s="46"/>
      <c r="D331" s="19"/>
      <c r="E331" s="19"/>
    </row>
    <row r="332" spans="1:5" x14ac:dyDescent="0.25">
      <c r="A332" s="19" t="s">
        <v>450</v>
      </c>
      <c r="B332" s="45" t="s">
        <v>284</v>
      </c>
      <c r="C332" s="46"/>
      <c r="D332" s="19"/>
      <c r="E332" s="19"/>
    </row>
    <row r="333" spans="1:5" x14ac:dyDescent="0.25">
      <c r="A333" s="19" t="s">
        <v>451</v>
      </c>
      <c r="B333" s="45" t="s">
        <v>284</v>
      </c>
      <c r="C333" s="46"/>
      <c r="D333" s="19"/>
      <c r="E333" s="19"/>
    </row>
    <row r="334" spans="1:5" x14ac:dyDescent="0.25">
      <c r="A334" s="25" t="s">
        <v>452</v>
      </c>
      <c r="B334" s="45" t="s">
        <v>284</v>
      </c>
      <c r="C334" s="46">
        <v>254728033</v>
      </c>
      <c r="D334" s="19"/>
      <c r="E334" s="19"/>
    </row>
    <row r="335" spans="1:5" x14ac:dyDescent="0.25">
      <c r="A335" s="19" t="s">
        <v>453</v>
      </c>
      <c r="B335" s="45" t="s">
        <v>284</v>
      </c>
      <c r="C335" s="46">
        <v>263490730</v>
      </c>
      <c r="D335" s="19"/>
      <c r="E335" s="19"/>
    </row>
    <row r="336" spans="1:5" x14ac:dyDescent="0.25">
      <c r="A336" s="25" t="s">
        <v>454</v>
      </c>
      <c r="B336" s="45" t="s">
        <v>284</v>
      </c>
      <c r="C336" s="46"/>
      <c r="D336" s="19"/>
      <c r="E336" s="19"/>
    </row>
    <row r="337" spans="1:7" x14ac:dyDescent="0.25">
      <c r="A337" s="25" t="s">
        <v>455</v>
      </c>
      <c r="B337" s="45" t="s">
        <v>284</v>
      </c>
      <c r="C337" s="270"/>
      <c r="D337" s="19"/>
      <c r="E337" s="19"/>
    </row>
    <row r="338" spans="1:7" x14ac:dyDescent="0.25">
      <c r="A338" s="19" t="s">
        <v>456</v>
      </c>
      <c r="B338" s="45" t="s">
        <v>284</v>
      </c>
      <c r="C338" s="46">
        <v>12664729</v>
      </c>
      <c r="D338" s="19"/>
      <c r="E338" s="19"/>
    </row>
    <row r="339" spans="1:7" x14ac:dyDescent="0.25">
      <c r="A339" s="19" t="s">
        <v>215</v>
      </c>
      <c r="B339" s="19"/>
      <c r="C339" s="26"/>
      <c r="D339" s="31">
        <f>SUM(C331:C338)</f>
        <v>530883492</v>
      </c>
      <c r="E339" s="19"/>
    </row>
    <row r="340" spans="1:7" x14ac:dyDescent="0.25">
      <c r="A340" s="19" t="s">
        <v>457</v>
      </c>
      <c r="B340" s="19"/>
      <c r="C340" s="26"/>
      <c r="D340" s="31">
        <f>C323</f>
        <v>20449335</v>
      </c>
      <c r="E340" s="19"/>
    </row>
    <row r="341" spans="1:7" x14ac:dyDescent="0.25">
      <c r="A341" s="19" t="s">
        <v>458</v>
      </c>
      <c r="B341" s="19"/>
      <c r="C341" s="26"/>
      <c r="D341" s="31">
        <f>D339-D340</f>
        <v>510434157</v>
      </c>
      <c r="E341" s="19"/>
    </row>
    <row r="342" spans="1:7" x14ac:dyDescent="0.25">
      <c r="A342" s="19"/>
      <c r="B342" s="19"/>
      <c r="C342" s="26"/>
      <c r="D342" s="19"/>
      <c r="E342" s="19"/>
    </row>
    <row r="343" spans="1:7" x14ac:dyDescent="0.25">
      <c r="A343" s="19" t="s">
        <v>459</v>
      </c>
      <c r="B343" s="45" t="s">
        <v>284</v>
      </c>
      <c r="C343" s="325">
        <v>362223516</v>
      </c>
      <c r="D343" s="19"/>
      <c r="E343" s="19"/>
    </row>
    <row r="344" spans="1:7" x14ac:dyDescent="0.25">
      <c r="A344" s="19"/>
      <c r="B344" s="45"/>
      <c r="C344" s="56"/>
      <c r="D344" s="19"/>
      <c r="E344" s="19"/>
    </row>
    <row r="345" spans="1:7" x14ac:dyDescent="0.25">
      <c r="A345" s="19" t="s">
        <v>460</v>
      </c>
      <c r="B345" s="45" t="s">
        <v>284</v>
      </c>
      <c r="C345" s="233"/>
      <c r="D345" s="19"/>
      <c r="E345" s="19"/>
    </row>
    <row r="346" spans="1:7" x14ac:dyDescent="0.25">
      <c r="A346" s="19" t="s">
        <v>461</v>
      </c>
      <c r="B346" s="45" t="s">
        <v>284</v>
      </c>
      <c r="C346" s="233"/>
      <c r="D346" s="19"/>
      <c r="E346" s="19"/>
    </row>
    <row r="347" spans="1:7" x14ac:dyDescent="0.25">
      <c r="A347" s="19" t="s">
        <v>462</v>
      </c>
      <c r="B347" s="45" t="s">
        <v>284</v>
      </c>
      <c r="C347" s="233"/>
      <c r="D347" s="19"/>
      <c r="E347" s="19"/>
    </row>
    <row r="348" spans="1:7" x14ac:dyDescent="0.25">
      <c r="A348" s="19" t="s">
        <v>463</v>
      </c>
      <c r="B348" s="45" t="s">
        <v>284</v>
      </c>
      <c r="C348" s="233"/>
      <c r="D348" s="19"/>
      <c r="E348" s="19"/>
    </row>
    <row r="349" spans="1:7" x14ac:dyDescent="0.25">
      <c r="A349" s="19" t="s">
        <v>464</v>
      </c>
      <c r="B349" s="45" t="s">
        <v>284</v>
      </c>
      <c r="C349" s="233"/>
      <c r="D349" s="19"/>
      <c r="E349" s="19"/>
    </row>
    <row r="350" spans="1:7" x14ac:dyDescent="0.25">
      <c r="A350" s="19" t="s">
        <v>465</v>
      </c>
      <c r="B350" s="19"/>
      <c r="C350" s="26"/>
      <c r="D350" s="31">
        <f>D324+D329+D341+C343+C347+C348</f>
        <v>1056856442</v>
      </c>
      <c r="E350" s="19"/>
    </row>
    <row r="351" spans="1:7" x14ac:dyDescent="0.25">
      <c r="A351" s="19"/>
      <c r="B351" s="19"/>
      <c r="C351" s="26"/>
      <c r="D351" s="19"/>
      <c r="E351" s="19"/>
      <c r="G351" s="9" t="s">
        <v>1375</v>
      </c>
    </row>
    <row r="352" spans="1:7" x14ac:dyDescent="0.25">
      <c r="A352" s="19" t="s">
        <v>466</v>
      </c>
      <c r="B352" s="19"/>
      <c r="C352" s="26"/>
      <c r="D352" s="31">
        <f>D308</f>
        <v>1056856442</v>
      </c>
      <c r="E352" s="19"/>
      <c r="G352" s="343">
        <f>D352-D350</f>
        <v>0</v>
      </c>
    </row>
    <row r="353" spans="1:5" x14ac:dyDescent="0.25">
      <c r="A353" s="19"/>
      <c r="B353" s="19"/>
      <c r="C353" s="26"/>
      <c r="D353" s="19"/>
      <c r="E353" s="19"/>
    </row>
    <row r="354" spans="1:5" x14ac:dyDescent="0.25">
      <c r="A354" s="19"/>
      <c r="B354" s="19"/>
      <c r="C354" s="26"/>
      <c r="D354" s="19"/>
      <c r="E354" s="19"/>
    </row>
    <row r="355" spans="1:5" x14ac:dyDescent="0.25">
      <c r="A355" s="19"/>
      <c r="B355" s="19"/>
      <c r="C355" s="26"/>
      <c r="D355" s="19"/>
      <c r="E355" s="19"/>
    </row>
    <row r="356" spans="1:5" x14ac:dyDescent="0.25">
      <c r="A356" s="37" t="s">
        <v>467</v>
      </c>
      <c r="B356" s="37"/>
      <c r="C356" s="37"/>
      <c r="D356" s="37"/>
      <c r="E356" s="37"/>
    </row>
    <row r="357" spans="1:5" x14ac:dyDescent="0.25">
      <c r="A357" s="44" t="s">
        <v>468</v>
      </c>
      <c r="B357" s="44"/>
      <c r="C357" s="44"/>
      <c r="D357" s="44"/>
      <c r="E357" s="44"/>
    </row>
    <row r="358" spans="1:5" x14ac:dyDescent="0.25">
      <c r="A358" s="19" t="s">
        <v>469</v>
      </c>
      <c r="B358" s="45" t="s">
        <v>284</v>
      </c>
      <c r="C358" s="233">
        <v>911243186</v>
      </c>
      <c r="D358" s="19"/>
      <c r="E358" s="19"/>
    </row>
    <row r="359" spans="1:5" x14ac:dyDescent="0.25">
      <c r="A359" s="19" t="s">
        <v>470</v>
      </c>
      <c r="B359" s="45" t="s">
        <v>284</v>
      </c>
      <c r="C359" s="233">
        <v>1320277527</v>
      </c>
      <c r="D359" s="19"/>
      <c r="E359" s="19"/>
    </row>
    <row r="360" spans="1:5" x14ac:dyDescent="0.25">
      <c r="A360" s="19" t="s">
        <v>471</v>
      </c>
      <c r="B360" s="19"/>
      <c r="C360" s="26"/>
      <c r="D360" s="31">
        <f>SUM(C358:C359)</f>
        <v>2231520713</v>
      </c>
      <c r="E360" s="19"/>
    </row>
    <row r="361" spans="1:5" x14ac:dyDescent="0.25">
      <c r="A361" s="44" t="s">
        <v>472</v>
      </c>
      <c r="B361" s="44"/>
      <c r="C361" s="44"/>
      <c r="D361" s="44"/>
      <c r="E361" s="44"/>
    </row>
    <row r="362" spans="1:5" x14ac:dyDescent="0.25">
      <c r="A362" s="19" t="s">
        <v>377</v>
      </c>
      <c r="B362" s="44"/>
      <c r="C362" s="46">
        <v>27655075</v>
      </c>
      <c r="D362" s="19"/>
      <c r="E362" s="44"/>
    </row>
    <row r="363" spans="1:5" x14ac:dyDescent="0.25">
      <c r="A363" s="19" t="s">
        <v>473</v>
      </c>
      <c r="B363" s="45" t="s">
        <v>284</v>
      </c>
      <c r="C363" s="46">
        <v>1400181059</v>
      </c>
      <c r="D363" s="19"/>
      <c r="E363" s="19"/>
    </row>
    <row r="364" spans="1:5" x14ac:dyDescent="0.25">
      <c r="A364" s="19" t="s">
        <v>474</v>
      </c>
      <c r="B364" s="45" t="s">
        <v>284</v>
      </c>
      <c r="C364" s="46">
        <v>7832509</v>
      </c>
      <c r="D364" s="19"/>
      <c r="E364" s="19"/>
    </row>
    <row r="365" spans="1:5" x14ac:dyDescent="0.25">
      <c r="A365" s="19" t="s">
        <v>475</v>
      </c>
      <c r="B365" s="45" t="s">
        <v>284</v>
      </c>
      <c r="C365" s="46">
        <v>6546869</v>
      </c>
      <c r="D365" s="19"/>
      <c r="E365" s="19"/>
    </row>
    <row r="366" spans="1:5" x14ac:dyDescent="0.25">
      <c r="A366" s="19" t="s">
        <v>394</v>
      </c>
      <c r="B366" s="19"/>
      <c r="C366" s="26"/>
      <c r="D366" s="31">
        <f>SUM(C362:C365)</f>
        <v>1442215512</v>
      </c>
      <c r="E366" s="19"/>
    </row>
    <row r="367" spans="1:5" x14ac:dyDescent="0.25">
      <c r="A367" s="19" t="s">
        <v>476</v>
      </c>
      <c r="B367" s="19"/>
      <c r="C367" s="26"/>
      <c r="D367" s="31">
        <f>D360-D366</f>
        <v>789305201</v>
      </c>
      <c r="E367" s="19"/>
    </row>
    <row r="368" spans="1:5" x14ac:dyDescent="0.25">
      <c r="A368" s="57" t="s">
        <v>477</v>
      </c>
      <c r="B368" s="44"/>
      <c r="C368" s="44"/>
      <c r="D368" s="44"/>
      <c r="E368" s="44"/>
    </row>
    <row r="369" spans="1:6" x14ac:dyDescent="0.25">
      <c r="A369" s="31" t="s">
        <v>478</v>
      </c>
      <c r="B369" s="19"/>
      <c r="C369" s="19"/>
      <c r="D369" s="19"/>
      <c r="E369" s="19"/>
    </row>
    <row r="370" spans="1:6" x14ac:dyDescent="0.25">
      <c r="A370" s="58" t="s">
        <v>479</v>
      </c>
      <c r="B370" s="39" t="s">
        <v>284</v>
      </c>
      <c r="C370" s="271"/>
      <c r="D370" s="31"/>
      <c r="E370" s="31"/>
    </row>
    <row r="371" spans="1:6" x14ac:dyDescent="0.25">
      <c r="A371" s="58" t="s">
        <v>480</v>
      </c>
      <c r="B371" s="39" t="s">
        <v>284</v>
      </c>
      <c r="C371" s="271"/>
      <c r="D371" s="31"/>
      <c r="E371" s="31"/>
    </row>
    <row r="372" spans="1:6" x14ac:dyDescent="0.25">
      <c r="A372" s="58" t="s">
        <v>481</v>
      </c>
      <c r="B372" s="39" t="s">
        <v>284</v>
      </c>
      <c r="C372" s="271"/>
      <c r="D372" s="31"/>
      <c r="E372" s="31"/>
    </row>
    <row r="373" spans="1:6" x14ac:dyDescent="0.25">
      <c r="A373" s="58" t="s">
        <v>482</v>
      </c>
      <c r="B373" s="39" t="s">
        <v>284</v>
      </c>
      <c r="C373" s="271"/>
      <c r="D373" s="31"/>
      <c r="E373" s="31"/>
    </row>
    <row r="374" spans="1:6" x14ac:dyDescent="0.25">
      <c r="A374" s="58" t="s">
        <v>483</v>
      </c>
      <c r="B374" s="39" t="s">
        <v>284</v>
      </c>
      <c r="C374" s="271"/>
      <c r="D374" s="31"/>
      <c r="E374" s="31"/>
    </row>
    <row r="375" spans="1:6" x14ac:dyDescent="0.25">
      <c r="A375" s="58" t="s">
        <v>484</v>
      </c>
      <c r="B375" s="39" t="s">
        <v>284</v>
      </c>
      <c r="C375" s="271"/>
      <c r="D375" s="31"/>
      <c r="E375" s="31"/>
    </row>
    <row r="376" spans="1:6" x14ac:dyDescent="0.25">
      <c r="A376" s="58" t="s">
        <v>485</v>
      </c>
      <c r="B376" s="39" t="s">
        <v>284</v>
      </c>
      <c r="C376" s="271"/>
      <c r="D376" s="31"/>
      <c r="E376" s="31"/>
    </row>
    <row r="377" spans="1:6" x14ac:dyDescent="0.25">
      <c r="A377" s="58" t="s">
        <v>486</v>
      </c>
      <c r="B377" s="39" t="s">
        <v>284</v>
      </c>
      <c r="C377" s="271"/>
      <c r="D377" s="31"/>
      <c r="E377" s="31"/>
    </row>
    <row r="378" spans="1:6" x14ac:dyDescent="0.25">
      <c r="A378" s="58" t="s">
        <v>487</v>
      </c>
      <c r="B378" s="39" t="s">
        <v>284</v>
      </c>
      <c r="C378" s="271"/>
      <c r="D378" s="31"/>
      <c r="E378" s="31"/>
    </row>
    <row r="379" spans="1:6" x14ac:dyDescent="0.25">
      <c r="A379" s="58" t="s">
        <v>488</v>
      </c>
      <c r="B379" s="39" t="s">
        <v>284</v>
      </c>
      <c r="C379" s="271"/>
      <c r="D379" s="31"/>
      <c r="E379" s="31"/>
    </row>
    <row r="380" spans="1:6" x14ac:dyDescent="0.25">
      <c r="A380" s="58" t="s">
        <v>489</v>
      </c>
      <c r="B380" s="39" t="s">
        <v>284</v>
      </c>
      <c r="C380" s="235">
        <v>46215888</v>
      </c>
      <c r="D380" s="31"/>
      <c r="E380" s="236" t="str">
        <f>IF(OR(C380&gt;999999,C380/(D360+D383)&gt;0.01),"Additional Classification Necessary - See Responses-2 Tab","")</f>
        <v>Additional Classification Necessary - See Responses-2 Tab</v>
      </c>
      <c r="F380" s="59"/>
    </row>
    <row r="381" spans="1:6" x14ac:dyDescent="0.25">
      <c r="A381" s="60" t="s">
        <v>490</v>
      </c>
      <c r="B381" s="45"/>
      <c r="C381" s="45"/>
      <c r="D381" s="31">
        <f>SUM(C370:C380)</f>
        <v>46215888</v>
      </c>
      <c r="E381" s="31"/>
      <c r="F381" s="59"/>
    </row>
    <row r="382" spans="1:6" x14ac:dyDescent="0.25">
      <c r="A382" s="55" t="s">
        <v>491</v>
      </c>
      <c r="B382" s="45" t="s">
        <v>284</v>
      </c>
      <c r="C382" s="46">
        <v>28608941</v>
      </c>
      <c r="D382" s="31"/>
      <c r="E382" s="19"/>
    </row>
    <row r="383" spans="1:6" x14ac:dyDescent="0.25">
      <c r="A383" s="19" t="s">
        <v>492</v>
      </c>
      <c r="B383" s="19"/>
      <c r="C383" s="26"/>
      <c r="D383" s="31">
        <f>D381+C382</f>
        <v>74824829</v>
      </c>
      <c r="E383" s="19"/>
    </row>
    <row r="384" spans="1:6" x14ac:dyDescent="0.25">
      <c r="A384" s="19" t="s">
        <v>493</v>
      </c>
      <c r="B384" s="19"/>
      <c r="C384" s="26"/>
      <c r="D384" s="31">
        <f>D367+D383</f>
        <v>864130030</v>
      </c>
      <c r="E384" s="19"/>
    </row>
    <row r="385" spans="1:5" x14ac:dyDescent="0.25">
      <c r="A385" s="19"/>
      <c r="B385" s="19"/>
      <c r="C385" s="26"/>
      <c r="D385" s="19"/>
      <c r="E385" s="19"/>
    </row>
    <row r="386" spans="1:5" x14ac:dyDescent="0.25">
      <c r="A386" s="19"/>
      <c r="B386" s="19"/>
      <c r="C386" s="26"/>
      <c r="D386" s="19"/>
      <c r="E386" s="19"/>
    </row>
    <row r="387" spans="1:5" x14ac:dyDescent="0.25">
      <c r="A387" s="19"/>
      <c r="B387" s="19"/>
      <c r="C387" s="26"/>
      <c r="D387" s="19"/>
      <c r="E387" s="19"/>
    </row>
    <row r="388" spans="1:5" x14ac:dyDescent="0.25">
      <c r="A388" s="44" t="s">
        <v>494</v>
      </c>
      <c r="B388" s="44"/>
      <c r="C388" s="44"/>
      <c r="D388" s="44"/>
      <c r="E388" s="44"/>
    </row>
    <row r="389" spans="1:5" x14ac:dyDescent="0.25">
      <c r="A389" s="19" t="s">
        <v>495</v>
      </c>
      <c r="B389" s="45" t="s">
        <v>284</v>
      </c>
      <c r="C389" s="46">
        <v>517937102</v>
      </c>
      <c r="D389" s="19"/>
      <c r="E389" s="19"/>
    </row>
    <row r="390" spans="1:5" x14ac:dyDescent="0.25">
      <c r="A390" s="19" t="s">
        <v>9</v>
      </c>
      <c r="B390" s="45" t="s">
        <v>284</v>
      </c>
      <c r="C390" s="46">
        <v>107031352</v>
      </c>
      <c r="D390" s="19"/>
      <c r="E390" s="19"/>
    </row>
    <row r="391" spans="1:5" x14ac:dyDescent="0.25">
      <c r="A391" s="19" t="s">
        <v>249</v>
      </c>
      <c r="B391" s="45" t="s">
        <v>284</v>
      </c>
      <c r="C391" s="46">
        <v>23869375</v>
      </c>
      <c r="D391" s="19"/>
      <c r="E391" s="19"/>
    </row>
    <row r="392" spans="1:5" x14ac:dyDescent="0.25">
      <c r="A392" s="19" t="s">
        <v>496</v>
      </c>
      <c r="B392" s="45" t="s">
        <v>284</v>
      </c>
      <c r="C392" s="46">
        <v>118690906</v>
      </c>
      <c r="D392" s="19"/>
      <c r="E392" s="19"/>
    </row>
    <row r="393" spans="1:5" x14ac:dyDescent="0.25">
      <c r="A393" s="19" t="s">
        <v>497</v>
      </c>
      <c r="B393" s="45" t="s">
        <v>284</v>
      </c>
      <c r="C393" s="46">
        <v>7177897</v>
      </c>
      <c r="D393" s="19"/>
      <c r="E393" s="19"/>
    </row>
    <row r="394" spans="1:5" x14ac:dyDescent="0.25">
      <c r="A394" s="19" t="s">
        <v>498</v>
      </c>
      <c r="B394" s="45" t="s">
        <v>284</v>
      </c>
      <c r="C394" s="46">
        <v>84399251</v>
      </c>
      <c r="D394" s="19"/>
      <c r="E394" s="19"/>
    </row>
    <row r="395" spans="1:5" x14ac:dyDescent="0.25">
      <c r="A395" s="19" t="s">
        <v>11</v>
      </c>
      <c r="B395" s="45" t="s">
        <v>284</v>
      </c>
      <c r="C395" s="46">
        <v>50519269</v>
      </c>
      <c r="D395" s="19"/>
      <c r="E395" s="19"/>
    </row>
    <row r="396" spans="1:5" x14ac:dyDescent="0.25">
      <c r="A396" s="19" t="s">
        <v>499</v>
      </c>
      <c r="B396" s="45" t="s">
        <v>284</v>
      </c>
      <c r="C396" s="46">
        <v>6201997</v>
      </c>
      <c r="D396" s="19"/>
      <c r="E396" s="19"/>
    </row>
    <row r="397" spans="1:5" x14ac:dyDescent="0.25">
      <c r="A397" s="19" t="s">
        <v>500</v>
      </c>
      <c r="B397" s="45" t="s">
        <v>284</v>
      </c>
      <c r="C397" s="46">
        <v>3455391</v>
      </c>
      <c r="D397" s="19"/>
      <c r="E397" s="19"/>
    </row>
    <row r="398" spans="1:5" x14ac:dyDescent="0.25">
      <c r="A398" s="19" t="s">
        <v>501</v>
      </c>
      <c r="B398" s="45" t="s">
        <v>284</v>
      </c>
      <c r="C398" s="46">
        <v>9101696</v>
      </c>
      <c r="D398" s="19"/>
      <c r="E398" s="19"/>
    </row>
    <row r="399" spans="1:5" x14ac:dyDescent="0.25">
      <c r="A399" s="19" t="s">
        <v>502</v>
      </c>
      <c r="B399" s="45" t="s">
        <v>284</v>
      </c>
      <c r="C399" s="46">
        <v>15301422</v>
      </c>
      <c r="D399" s="19"/>
      <c r="E399" s="19"/>
    </row>
    <row r="400" spans="1:5" x14ac:dyDescent="0.25">
      <c r="A400" s="31" t="s">
        <v>503</v>
      </c>
      <c r="B400" s="19"/>
      <c r="C400" s="19"/>
      <c r="D400" s="19"/>
      <c r="E400" s="19"/>
    </row>
    <row r="401" spans="1:9" x14ac:dyDescent="0.25">
      <c r="A401" s="32" t="s">
        <v>255</v>
      </c>
      <c r="B401" s="39" t="s">
        <v>284</v>
      </c>
      <c r="C401" s="271"/>
      <c r="D401" s="31"/>
      <c r="E401" s="31"/>
    </row>
    <row r="402" spans="1:9" x14ac:dyDescent="0.25">
      <c r="A402" s="32" t="s">
        <v>256</v>
      </c>
      <c r="B402" s="39" t="s">
        <v>284</v>
      </c>
      <c r="C402" s="271"/>
      <c r="D402" s="31"/>
      <c r="E402" s="31"/>
    </row>
    <row r="403" spans="1:9" x14ac:dyDescent="0.25">
      <c r="A403" s="32" t="s">
        <v>504</v>
      </c>
      <c r="B403" s="39" t="s">
        <v>284</v>
      </c>
      <c r="C403" s="271"/>
      <c r="D403" s="31"/>
      <c r="E403" s="31"/>
    </row>
    <row r="404" spans="1:9" x14ac:dyDescent="0.25">
      <c r="A404" s="32" t="s">
        <v>258</v>
      </c>
      <c r="B404" s="39" t="s">
        <v>284</v>
      </c>
      <c r="C404" s="271"/>
      <c r="D404" s="31"/>
      <c r="E404" s="31"/>
    </row>
    <row r="405" spans="1:9" x14ac:dyDescent="0.25">
      <c r="A405" s="32" t="s">
        <v>259</v>
      </c>
      <c r="B405" s="39" t="s">
        <v>284</v>
      </c>
      <c r="C405" s="271"/>
      <c r="D405" s="31"/>
      <c r="E405" s="31"/>
    </row>
    <row r="406" spans="1:9" x14ac:dyDescent="0.25">
      <c r="A406" s="32" t="s">
        <v>260</v>
      </c>
      <c r="B406" s="39" t="s">
        <v>284</v>
      </c>
      <c r="C406" s="271"/>
      <c r="D406" s="31"/>
      <c r="E406" s="31"/>
    </row>
    <row r="407" spans="1:9" x14ac:dyDescent="0.25">
      <c r="A407" s="32" t="s">
        <v>261</v>
      </c>
      <c r="B407" s="39" t="s">
        <v>284</v>
      </c>
      <c r="C407" s="271"/>
      <c r="D407" s="31"/>
      <c r="E407" s="31"/>
    </row>
    <row r="408" spans="1:9" x14ac:dyDescent="0.25">
      <c r="A408" s="32" t="s">
        <v>262</v>
      </c>
      <c r="B408" s="39" t="s">
        <v>284</v>
      </c>
      <c r="C408" s="271"/>
      <c r="D408" s="31"/>
      <c r="E408" s="31"/>
    </row>
    <row r="409" spans="1:9" x14ac:dyDescent="0.25">
      <c r="A409" s="32" t="s">
        <v>263</v>
      </c>
      <c r="B409" s="39" t="s">
        <v>284</v>
      </c>
      <c r="C409" s="271"/>
      <c r="D409" s="31"/>
      <c r="E409" s="31"/>
    </row>
    <row r="410" spans="1:9" x14ac:dyDescent="0.25">
      <c r="A410" s="32" t="s">
        <v>264</v>
      </c>
      <c r="B410" s="39" t="s">
        <v>284</v>
      </c>
      <c r="C410" s="271"/>
      <c r="D410" s="31"/>
      <c r="E410" s="31"/>
    </row>
    <row r="411" spans="1:9" x14ac:dyDescent="0.25">
      <c r="A411" s="32" t="s">
        <v>265</v>
      </c>
      <c r="B411" s="39" t="s">
        <v>284</v>
      </c>
      <c r="C411" s="271"/>
      <c r="D411" s="31"/>
      <c r="E411" s="31"/>
    </row>
    <row r="412" spans="1:9" x14ac:dyDescent="0.25">
      <c r="A412" s="32" t="s">
        <v>266</v>
      </c>
      <c r="B412" s="39" t="s">
        <v>284</v>
      </c>
      <c r="C412" s="271"/>
      <c r="D412" s="31"/>
      <c r="E412" s="31"/>
    </row>
    <row r="413" spans="1:9" x14ac:dyDescent="0.25">
      <c r="A413" s="32" t="s">
        <v>267</v>
      </c>
      <c r="B413" s="39" t="s">
        <v>284</v>
      </c>
      <c r="C413" s="271"/>
      <c r="D413" s="31"/>
      <c r="E413" s="31"/>
    </row>
    <row r="414" spans="1:9" x14ac:dyDescent="0.25">
      <c r="A414" s="32" t="s">
        <v>268</v>
      </c>
      <c r="B414" s="39" t="s">
        <v>284</v>
      </c>
      <c r="C414" s="235">
        <v>9926497</v>
      </c>
      <c r="D414" s="31"/>
      <c r="E414" s="236" t="str">
        <f>IF(OR(C414&gt;999999,C414/(D416)&gt;0.01),"Additional Classification Necessary - See Responses-2 Tab","")</f>
        <v>Additional Classification Necessary - See Responses-2 Tab</v>
      </c>
      <c r="F414" s="59"/>
      <c r="G414" s="59"/>
      <c r="H414" s="59"/>
      <c r="I414" s="59"/>
    </row>
    <row r="415" spans="1:9" x14ac:dyDescent="0.25">
      <c r="A415" s="61" t="s">
        <v>505</v>
      </c>
      <c r="B415" s="45"/>
      <c r="C415" s="45"/>
      <c r="D415" s="31">
        <f>SUM(C401:C414)</f>
        <v>9926497</v>
      </c>
      <c r="E415" s="31"/>
      <c r="F415" s="59"/>
      <c r="G415" s="59"/>
      <c r="H415" s="59"/>
      <c r="I415" s="59"/>
    </row>
    <row r="416" spans="1:9" x14ac:dyDescent="0.25">
      <c r="A416" s="31" t="s">
        <v>506</v>
      </c>
      <c r="B416" s="19"/>
      <c r="C416" s="26"/>
      <c r="D416" s="31">
        <f>SUM(C389:C399,D415)</f>
        <v>953612155</v>
      </c>
      <c r="E416" s="31"/>
    </row>
    <row r="417" spans="1:13" x14ac:dyDescent="0.25">
      <c r="A417" s="31" t="s">
        <v>507</v>
      </c>
      <c r="B417" s="19"/>
      <c r="C417" s="26"/>
      <c r="D417" s="31">
        <f>D384-D416</f>
        <v>-89482125</v>
      </c>
      <c r="E417" s="31"/>
    </row>
    <row r="418" spans="1:13" x14ac:dyDescent="0.25">
      <c r="A418" s="31" t="s">
        <v>508</v>
      </c>
      <c r="B418" s="19"/>
      <c r="C418" s="235">
        <f>-5570758+3453390-2</f>
        <v>-2117370</v>
      </c>
      <c r="D418" s="31"/>
      <c r="E418" s="31"/>
    </row>
    <row r="419" spans="1:13" x14ac:dyDescent="0.25">
      <c r="A419" s="58" t="s">
        <v>509</v>
      </c>
      <c r="B419" s="45" t="s">
        <v>284</v>
      </c>
      <c r="C419" s="271"/>
      <c r="D419" s="31"/>
      <c r="E419" s="31"/>
    </row>
    <row r="420" spans="1:13" x14ac:dyDescent="0.25">
      <c r="A420" s="60" t="s">
        <v>510</v>
      </c>
      <c r="B420" s="19"/>
      <c r="C420" s="19"/>
      <c r="D420" s="31">
        <f>SUM(C418:C419)</f>
        <v>-2117370</v>
      </c>
      <c r="E420" s="31"/>
    </row>
    <row r="421" spans="1:13" x14ac:dyDescent="0.25">
      <c r="A421" s="31" t="s">
        <v>511</v>
      </c>
      <c r="B421" s="19"/>
      <c r="C421" s="26"/>
      <c r="D421" s="31">
        <f>D417+D420</f>
        <v>-91599495</v>
      </c>
      <c r="E421" s="31"/>
      <c r="F421" s="62"/>
    </row>
    <row r="422" spans="1:13" x14ac:dyDescent="0.25">
      <c r="A422" s="31" t="s">
        <v>512</v>
      </c>
      <c r="B422" s="45" t="s">
        <v>284</v>
      </c>
      <c r="C422" s="46"/>
      <c r="D422" s="31"/>
      <c r="E422" s="19"/>
    </row>
    <row r="423" spans="1:13" x14ac:dyDescent="0.25">
      <c r="A423" s="19" t="s">
        <v>513</v>
      </c>
      <c r="B423" s="45" t="s">
        <v>284</v>
      </c>
      <c r="C423" s="46"/>
      <c r="D423" s="31"/>
      <c r="E423" s="19"/>
      <c r="H423" s="11" t="s">
        <v>1376</v>
      </c>
    </row>
    <row r="424" spans="1:13" x14ac:dyDescent="0.25">
      <c r="A424" s="19" t="s">
        <v>514</v>
      </c>
      <c r="B424" s="19"/>
      <c r="C424" s="26"/>
      <c r="D424" s="31">
        <f>D421+C422-C423</f>
        <v>-91599495</v>
      </c>
      <c r="E424" s="19"/>
      <c r="G424" s="11">
        <v>-91599495</v>
      </c>
      <c r="H424" s="344">
        <f>G424-D424</f>
        <v>0</v>
      </c>
    </row>
    <row r="427" spans="1:13" x14ac:dyDescent="0.25">
      <c r="M427" s="63"/>
    </row>
    <row r="428" spans="1:13" x14ac:dyDescent="0.25">
      <c r="M428" s="63"/>
    </row>
    <row r="429" spans="1:13" x14ac:dyDescent="0.25">
      <c r="M429" s="63"/>
    </row>
    <row r="433" spans="2:7" x14ac:dyDescent="0.25">
      <c r="B433" s="64"/>
      <c r="C433" s="64"/>
      <c r="D433" s="64"/>
      <c r="E433" s="64"/>
      <c r="F433" s="64"/>
      <c r="G433" s="64"/>
    </row>
    <row r="574" spans="2:83" x14ac:dyDescent="0.25">
      <c r="B574" s="65"/>
      <c r="C574" s="65"/>
      <c r="D574" s="65"/>
      <c r="E574" s="65"/>
      <c r="F574" s="65"/>
      <c r="G574" s="65"/>
      <c r="H574" s="65"/>
      <c r="I574" s="65"/>
      <c r="J574" s="65"/>
      <c r="K574" s="65"/>
      <c r="L574" s="65"/>
      <c r="M574" s="65"/>
      <c r="N574" s="65"/>
      <c r="O574" s="65"/>
      <c r="P574" s="65"/>
      <c r="Q574" s="65"/>
      <c r="R574" s="65"/>
      <c r="S574" s="65"/>
      <c r="T574" s="65"/>
      <c r="U574" s="65"/>
      <c r="V574" s="65"/>
      <c r="W574" s="65"/>
      <c r="X574" s="65"/>
      <c r="Y574" s="65"/>
      <c r="Z574" s="65"/>
      <c r="AA574" s="65"/>
      <c r="AB574" s="65"/>
      <c r="AC574" s="65"/>
      <c r="AD574" s="65"/>
      <c r="AE574" s="65"/>
      <c r="AF574" s="65"/>
      <c r="AG574" s="65"/>
      <c r="AH574" s="65"/>
      <c r="AI574" s="65"/>
      <c r="AJ574" s="65"/>
      <c r="AK574" s="65"/>
      <c r="AL574" s="65"/>
      <c r="AM574" s="65"/>
      <c r="AN574" s="65"/>
      <c r="AO574" s="65"/>
      <c r="AP574" s="65"/>
      <c r="AQ574" s="65"/>
      <c r="AR574" s="65"/>
      <c r="AS574" s="65"/>
      <c r="AT574" s="65"/>
      <c r="AU574" s="65"/>
      <c r="AV574" s="65"/>
      <c r="AW574" s="65"/>
      <c r="AX574" s="65"/>
      <c r="AY574" s="65"/>
      <c r="AZ574" s="65"/>
      <c r="BA574" s="65"/>
      <c r="BB574" s="65"/>
      <c r="BC574" s="65"/>
      <c r="BD574" s="65"/>
      <c r="BE574" s="65"/>
      <c r="BF574" s="65"/>
      <c r="BG574" s="65"/>
      <c r="BH574" s="65"/>
      <c r="BI574" s="65"/>
      <c r="BJ574" s="65"/>
      <c r="BK574" s="65"/>
      <c r="BL574" s="65"/>
      <c r="BM574" s="65"/>
      <c r="BN574" s="65"/>
      <c r="BO574" s="65"/>
      <c r="BP574" s="65"/>
      <c r="BQ574" s="65"/>
      <c r="BR574" s="65"/>
      <c r="BS574" s="65"/>
      <c r="BT574" s="65"/>
      <c r="BU574" s="65"/>
      <c r="BV574" s="65"/>
      <c r="BW574" s="65"/>
      <c r="BX574" s="65"/>
      <c r="BY574" s="65"/>
      <c r="BZ574" s="65"/>
      <c r="CA574" s="65"/>
      <c r="CB574" s="65"/>
      <c r="CC574" s="65"/>
      <c r="CD574" s="65"/>
      <c r="CE574" s="65"/>
    </row>
    <row r="578" spans="2:83" x14ac:dyDescent="0.25">
      <c r="B578" s="65"/>
      <c r="C578" s="65"/>
      <c r="D578" s="65"/>
      <c r="E578" s="65"/>
      <c r="F578" s="65"/>
      <c r="G578" s="65"/>
      <c r="H578" s="65"/>
      <c r="I578" s="65"/>
      <c r="J578" s="65"/>
      <c r="K578" s="65"/>
      <c r="L578" s="65"/>
      <c r="M578" s="65"/>
      <c r="N578" s="65"/>
      <c r="O578" s="65"/>
      <c r="P578" s="65"/>
      <c r="Q578" s="65"/>
      <c r="R578" s="65"/>
      <c r="S578" s="65"/>
      <c r="T578" s="65"/>
      <c r="U578" s="65"/>
      <c r="V578" s="65"/>
      <c r="W578" s="65"/>
      <c r="X578" s="65"/>
      <c r="Y578" s="65"/>
      <c r="Z578" s="65"/>
      <c r="AA578" s="65"/>
      <c r="AB578" s="65"/>
      <c r="AC578" s="65"/>
      <c r="AD578" s="65"/>
      <c r="AE578" s="65"/>
      <c r="AF578" s="65"/>
      <c r="AG578" s="65"/>
      <c r="AH578" s="65"/>
      <c r="AI578" s="65"/>
      <c r="AJ578" s="65"/>
      <c r="AK578" s="65"/>
      <c r="AL578" s="65"/>
      <c r="AM578" s="65"/>
      <c r="AN578" s="65"/>
      <c r="AO578" s="65"/>
      <c r="AP578" s="65"/>
      <c r="AQ578" s="65"/>
      <c r="AR578" s="65"/>
      <c r="AS578" s="65"/>
      <c r="AT578" s="65"/>
      <c r="AU578" s="65"/>
      <c r="AV578" s="65"/>
      <c r="AW578" s="65"/>
      <c r="AX578" s="65"/>
      <c r="AY578" s="65"/>
      <c r="AZ578" s="65"/>
      <c r="BA578" s="65"/>
      <c r="BB578" s="65"/>
      <c r="BC578" s="65"/>
      <c r="BD578" s="65"/>
      <c r="BE578" s="65"/>
      <c r="BF578" s="65"/>
      <c r="BG578" s="65"/>
      <c r="BH578" s="65"/>
      <c r="BI578" s="65"/>
      <c r="BJ578" s="65"/>
      <c r="BK578" s="65"/>
      <c r="BL578" s="65"/>
      <c r="BM578" s="65"/>
      <c r="BN578" s="65"/>
      <c r="BO578" s="65"/>
      <c r="BP578" s="65"/>
      <c r="BQ578" s="65"/>
      <c r="BR578" s="65"/>
      <c r="BS578" s="65"/>
      <c r="BT578" s="65"/>
      <c r="BU578" s="65"/>
      <c r="BV578" s="65"/>
      <c r="BW578" s="65"/>
      <c r="BX578" s="65"/>
      <c r="BY578" s="65"/>
      <c r="BZ578" s="65"/>
      <c r="CA578" s="65"/>
      <c r="CB578" s="65"/>
      <c r="CC578" s="65"/>
      <c r="CD578" s="65"/>
      <c r="CE578" s="65"/>
    </row>
    <row r="582" spans="2:83" x14ac:dyDescent="0.25">
      <c r="B582" s="65"/>
      <c r="C582" s="65"/>
      <c r="D582" s="65"/>
      <c r="E582" s="65"/>
      <c r="F582" s="65"/>
      <c r="G582" s="65"/>
      <c r="H582" s="65"/>
      <c r="I582" s="65"/>
      <c r="J582" s="65"/>
      <c r="K582" s="65"/>
      <c r="L582" s="65"/>
      <c r="M582" s="65"/>
      <c r="N582" s="65"/>
      <c r="O582" s="65"/>
      <c r="P582" s="65"/>
      <c r="Q582" s="65"/>
      <c r="R582" s="65"/>
      <c r="S582" s="65"/>
      <c r="T582" s="65"/>
      <c r="U582" s="65"/>
      <c r="V582" s="65"/>
      <c r="W582" s="65"/>
      <c r="X582" s="65"/>
      <c r="Y582" s="65"/>
      <c r="Z582" s="65"/>
      <c r="AA582" s="65"/>
      <c r="AB582" s="65"/>
      <c r="AC582" s="65"/>
      <c r="AD582" s="65"/>
      <c r="AE582" s="65"/>
      <c r="AF582" s="65"/>
      <c r="AG582" s="65"/>
      <c r="AH582" s="65"/>
      <c r="AI582" s="65"/>
      <c r="AJ582" s="65"/>
      <c r="AK582" s="65"/>
      <c r="AL582" s="65"/>
      <c r="AM582" s="65"/>
      <c r="AN582" s="65"/>
      <c r="AO582" s="65"/>
      <c r="AP582" s="65"/>
      <c r="AQ582" s="65"/>
      <c r="AR582" s="65"/>
      <c r="AS582" s="65"/>
      <c r="AT582" s="65"/>
      <c r="AU582" s="65"/>
      <c r="AV582" s="65"/>
      <c r="AW582" s="65"/>
      <c r="AX582" s="65"/>
      <c r="AY582" s="65"/>
      <c r="AZ582" s="65"/>
      <c r="BA582" s="65"/>
      <c r="BB582" s="65"/>
      <c r="BC582" s="65"/>
      <c r="BD582" s="65"/>
      <c r="BE582" s="65"/>
      <c r="BF582" s="65"/>
      <c r="BG582" s="65"/>
      <c r="BH582" s="65"/>
      <c r="BI582" s="65"/>
      <c r="BJ582" s="65"/>
      <c r="BK582" s="65"/>
      <c r="BL582" s="65"/>
      <c r="BM582" s="65"/>
      <c r="BN582" s="65"/>
      <c r="BO582" s="65"/>
      <c r="BP582" s="65"/>
      <c r="BQ582" s="65"/>
      <c r="BR582" s="65"/>
      <c r="BS582" s="65"/>
      <c r="BT582" s="65"/>
      <c r="BU582" s="65"/>
      <c r="BV582" s="65"/>
      <c r="BW582" s="65"/>
      <c r="BX582" s="65"/>
      <c r="BY582" s="65"/>
      <c r="BZ582" s="65"/>
      <c r="CA582" s="65"/>
      <c r="CB582" s="65"/>
      <c r="CC582" s="65"/>
      <c r="CD582" s="65"/>
      <c r="CE582" s="65"/>
    </row>
    <row r="612" spans="1:14" s="230" customFormat="1" ht="12.6" customHeight="1" x14ac:dyDescent="0.2">
      <c r="A612" s="249"/>
      <c r="C612" s="247" t="s">
        <v>515</v>
      </c>
      <c r="D612" s="254">
        <f>CE90-(BE90+CD90)</f>
        <v>926109</v>
      </c>
      <c r="E612" s="256">
        <f>SUM(C624:D647)+SUM(C668:D713)</f>
        <v>846078222.86943722</v>
      </c>
      <c r="F612" s="256">
        <f>CE64-(AX64+BD64+BE64+BG64+BJ64+BN64+BP64+BQ64+CB64+CC64+CD64)</f>
        <v>119385449.67</v>
      </c>
      <c r="G612" s="254">
        <f>CE91-(AX91+AY91+BD91+BE91+BG91+BJ91+BN91+BP91+BQ91+CB91+CC91+CD91)</f>
        <v>238862</v>
      </c>
      <c r="H612" s="259">
        <f>CE60-(AX60+AY60+AZ60+BD60+BE60+BG60+BJ60+BN60+BO60+BP60+BQ60+BR60+CB60+CC60+CD60)</f>
        <v>3742.9657596153847</v>
      </c>
      <c r="I612" s="254">
        <f>CE92-(AX92+AY92+AZ92+BD92+BE92+BF92+BG92+BJ92+BN92+BO92+BP92+BQ92+BR92+CB92+CC92+CD92)</f>
        <v>107041.66699999996</v>
      </c>
      <c r="J612" s="254">
        <f>CE93-(AX93+AY93+AZ93+BA93+BD93+BE93+BF93+BG93+BJ93+BN93+BO93+BP93+BQ93+BR93+CB93+CC93+CD93)</f>
        <v>2277562.2800000003</v>
      </c>
      <c r="K612" s="254">
        <f>CE89-(AW89+AX89+AY89+AZ89+BA89+BB89+BC89+BD89+BE89+BF89+BG89+BH89+BI89+BJ89+BK89+BL89+BM89+BN89+BO89+BP89+BQ89+BR89+BS89+BT89+BU89+BV89+BW89+BX89+CB89+CC89+CD89)</f>
        <v>2231520712.6700006</v>
      </c>
      <c r="L612" s="260">
        <f>CE94-(AW94+AX94+AY94+AZ94+BA94+BB94+BC94+BD94+BE94+BF94+BG94+BH94+BI94+BJ94+BK94+BL94+BM94+BN94+BO94+BP94+BQ94+BR94+BS94+BT94+BU94+BV94+BW94+BX94+BY94+BZ94+CA94+CB94+CC94+CD94)</f>
        <v>983.76450480769233</v>
      </c>
    </row>
    <row r="613" spans="1:14" s="230" customFormat="1" ht="12.6" customHeight="1" x14ac:dyDescent="0.2">
      <c r="A613" s="249"/>
      <c r="C613" s="247" t="s">
        <v>516</v>
      </c>
      <c r="D613" s="255" t="s">
        <v>517</v>
      </c>
      <c r="E613" s="257" t="s">
        <v>518</v>
      </c>
      <c r="F613" s="258" t="s">
        <v>519</v>
      </c>
      <c r="G613" s="255" t="s">
        <v>520</v>
      </c>
      <c r="H613" s="258" t="s">
        <v>521</v>
      </c>
      <c r="I613" s="255" t="s">
        <v>522</v>
      </c>
      <c r="J613" s="255" t="s">
        <v>523</v>
      </c>
      <c r="K613" s="247" t="s">
        <v>524</v>
      </c>
      <c r="L613" s="248" t="s">
        <v>525</v>
      </c>
    </row>
    <row r="614" spans="1:14" s="230" customFormat="1" ht="12.6" customHeight="1" x14ac:dyDescent="0.2">
      <c r="A614" s="249">
        <v>8430</v>
      </c>
      <c r="B614" s="248" t="s">
        <v>152</v>
      </c>
      <c r="C614" s="254">
        <f>BE85</f>
        <v>15554884.559999999</v>
      </c>
      <c r="D614" s="254"/>
      <c r="E614" s="256"/>
      <c r="F614" s="256"/>
      <c r="G614" s="254"/>
      <c r="H614" s="256"/>
      <c r="I614" s="254"/>
      <c r="J614" s="254"/>
      <c r="N614" s="250" t="s">
        <v>526</v>
      </c>
    </row>
    <row r="615" spans="1:14" s="230" customFormat="1" ht="12.6" customHeight="1" x14ac:dyDescent="0.2">
      <c r="A615" s="249"/>
      <c r="B615" s="248" t="s">
        <v>527</v>
      </c>
      <c r="C615" s="254">
        <f>CD69-CD84</f>
        <v>10307896.32</v>
      </c>
      <c r="D615" s="254">
        <f>SUM(C614:C615)</f>
        <v>25862780.879999999</v>
      </c>
      <c r="E615" s="256"/>
      <c r="F615" s="256"/>
      <c r="G615" s="254"/>
      <c r="H615" s="256"/>
      <c r="I615" s="254"/>
      <c r="J615" s="254"/>
      <c r="N615" s="250" t="s">
        <v>528</v>
      </c>
    </row>
    <row r="616" spans="1:14" s="230" customFormat="1" ht="12.6" customHeight="1" x14ac:dyDescent="0.2">
      <c r="A616" s="249">
        <v>8310</v>
      </c>
      <c r="B616" s="253" t="s">
        <v>529</v>
      </c>
      <c r="C616" s="254">
        <f>AX85</f>
        <v>2636272.52</v>
      </c>
      <c r="D616" s="254">
        <f>(D615/D612)*AX90</f>
        <v>0</v>
      </c>
      <c r="E616" s="256"/>
      <c r="F616" s="256"/>
      <c r="G616" s="254"/>
      <c r="H616" s="256"/>
      <c r="I616" s="254"/>
      <c r="J616" s="254"/>
      <c r="N616" s="250" t="s">
        <v>530</v>
      </c>
    </row>
    <row r="617" spans="1:14" s="230" customFormat="1" ht="12.6" customHeight="1" x14ac:dyDescent="0.2">
      <c r="A617" s="249">
        <v>8510</v>
      </c>
      <c r="B617" s="253" t="s">
        <v>157</v>
      </c>
      <c r="C617" s="254">
        <f>BJ85</f>
        <v>2434013.6600000006</v>
      </c>
      <c r="D617" s="254">
        <f>(D615/D612)*BJ90</f>
        <v>127204.21344398985</v>
      </c>
      <c r="E617" s="256"/>
      <c r="F617" s="256"/>
      <c r="G617" s="254"/>
      <c r="H617" s="256"/>
      <c r="I617" s="254"/>
      <c r="J617" s="254"/>
      <c r="N617" s="250" t="s">
        <v>531</v>
      </c>
    </row>
    <row r="618" spans="1:14" s="230" customFormat="1" ht="12.6" customHeight="1" x14ac:dyDescent="0.2">
      <c r="A618" s="249">
        <v>8470</v>
      </c>
      <c r="B618" s="253" t="s">
        <v>532</v>
      </c>
      <c r="C618" s="254">
        <f>BG85</f>
        <v>4132193.1700000004</v>
      </c>
      <c r="D618" s="254">
        <f>(D615/D612)*BG90</f>
        <v>141781.73252582579</v>
      </c>
      <c r="E618" s="256"/>
      <c r="F618" s="256"/>
      <c r="G618" s="254"/>
      <c r="H618" s="256"/>
      <c r="I618" s="254"/>
      <c r="J618" s="254"/>
      <c r="N618" s="250" t="s">
        <v>533</v>
      </c>
    </row>
    <row r="619" spans="1:14" s="230" customFormat="1" ht="12.6" customHeight="1" x14ac:dyDescent="0.2">
      <c r="A619" s="249">
        <v>8610</v>
      </c>
      <c r="B619" s="253" t="s">
        <v>534</v>
      </c>
      <c r="C619" s="254">
        <f>BN85</f>
        <v>17808258.809999999</v>
      </c>
      <c r="D619" s="254">
        <f>(D615/D612)*BN90</f>
        <v>398172.92541918933</v>
      </c>
      <c r="E619" s="256"/>
      <c r="F619" s="256"/>
      <c r="G619" s="254"/>
      <c r="H619" s="256"/>
      <c r="I619" s="254"/>
      <c r="J619" s="254"/>
      <c r="N619" s="250" t="s">
        <v>535</v>
      </c>
    </row>
    <row r="620" spans="1:14" s="230" customFormat="1" ht="12.6" customHeight="1" x14ac:dyDescent="0.2">
      <c r="A620" s="249">
        <v>8790</v>
      </c>
      <c r="B620" s="253" t="s">
        <v>536</v>
      </c>
      <c r="C620" s="254">
        <f>CC85</f>
        <v>2670269.2799999993</v>
      </c>
      <c r="D620" s="254">
        <f>(D615/D612)*CC90</f>
        <v>219947.39518877366</v>
      </c>
      <c r="E620" s="256"/>
      <c r="F620" s="256"/>
      <c r="G620" s="254"/>
      <c r="H620" s="256"/>
      <c r="I620" s="254"/>
      <c r="J620" s="254"/>
      <c r="N620" s="250" t="s">
        <v>537</v>
      </c>
    </row>
    <row r="621" spans="1:14" s="230" customFormat="1" ht="12.6" customHeight="1" x14ac:dyDescent="0.2">
      <c r="A621" s="249">
        <v>8630</v>
      </c>
      <c r="B621" s="253" t="s">
        <v>538</v>
      </c>
      <c r="C621" s="254">
        <f>BP85</f>
        <v>7087223.2800000003</v>
      </c>
      <c r="D621" s="254">
        <f>(D615/D612)*BP90</f>
        <v>52892.377664745727</v>
      </c>
      <c r="E621" s="256"/>
      <c r="F621" s="256"/>
      <c r="G621" s="254"/>
      <c r="H621" s="256"/>
      <c r="I621" s="254"/>
      <c r="J621" s="254"/>
      <c r="N621" s="250" t="s">
        <v>539</v>
      </c>
    </row>
    <row r="622" spans="1:14" s="230" customFormat="1" ht="12.6" customHeight="1" x14ac:dyDescent="0.2">
      <c r="A622" s="249">
        <v>8770</v>
      </c>
      <c r="B622" s="248" t="s">
        <v>540</v>
      </c>
      <c r="C622" s="254">
        <f>CB85</f>
        <v>7482430.5200000023</v>
      </c>
      <c r="D622" s="254">
        <f>(D615/D612)*CB90</f>
        <v>112570.84179862197</v>
      </c>
      <c r="E622" s="256"/>
      <c r="F622" s="256"/>
      <c r="G622" s="254"/>
      <c r="H622" s="256"/>
      <c r="I622" s="254"/>
      <c r="J622" s="254"/>
      <c r="N622" s="250" t="s">
        <v>541</v>
      </c>
    </row>
    <row r="623" spans="1:14" s="230" customFormat="1" ht="12.6" customHeight="1" x14ac:dyDescent="0.2">
      <c r="A623" s="249">
        <v>8640</v>
      </c>
      <c r="B623" s="253" t="s">
        <v>542</v>
      </c>
      <c r="C623" s="254">
        <f>BQ85</f>
        <v>658343.96</v>
      </c>
      <c r="D623" s="254">
        <f>(D615/D612)*BQ90</f>
        <v>46832.374521530401</v>
      </c>
      <c r="E623" s="256">
        <f>SUM(C616:D623)</f>
        <v>46008407.060562678</v>
      </c>
      <c r="F623" s="256"/>
      <c r="G623" s="254"/>
      <c r="H623" s="256"/>
      <c r="I623" s="254"/>
      <c r="J623" s="254"/>
      <c r="N623" s="250" t="s">
        <v>543</v>
      </c>
    </row>
    <row r="624" spans="1:14" s="230" customFormat="1" ht="12.6" customHeight="1" x14ac:dyDescent="0.2">
      <c r="A624" s="249">
        <v>8420</v>
      </c>
      <c r="B624" s="253" t="s">
        <v>151</v>
      </c>
      <c r="C624" s="254">
        <f>BD85</f>
        <v>3619365.1199999996</v>
      </c>
      <c r="D624" s="254">
        <f>(D615/D612)*BD90</f>
        <v>253486.85958970271</v>
      </c>
      <c r="E624" s="256">
        <f>(E623/E612)*SUM(C624:D624)</f>
        <v>210599.61779652789</v>
      </c>
      <c r="F624" s="256">
        <f>SUM(C624:E624)</f>
        <v>4083451.5973862302</v>
      </c>
      <c r="G624" s="254"/>
      <c r="H624" s="256"/>
      <c r="I624" s="254"/>
      <c r="J624" s="254"/>
      <c r="N624" s="250" t="s">
        <v>544</v>
      </c>
    </row>
    <row r="625" spans="1:14" s="230" customFormat="1" ht="12.6" customHeight="1" x14ac:dyDescent="0.2">
      <c r="A625" s="249">
        <v>8320</v>
      </c>
      <c r="B625" s="253" t="s">
        <v>147</v>
      </c>
      <c r="C625" s="254">
        <f>AY85</f>
        <v>0</v>
      </c>
      <c r="D625" s="254">
        <f>(D615/D612)*AY90</f>
        <v>0</v>
      </c>
      <c r="E625" s="256">
        <f>(E623/E612)*SUM(C625:D625)</f>
        <v>0</v>
      </c>
      <c r="F625" s="256">
        <f>(F624/F612)*AY64</f>
        <v>0</v>
      </c>
      <c r="G625" s="254">
        <f>SUM(C625:F625)</f>
        <v>0</v>
      </c>
      <c r="H625" s="256"/>
      <c r="I625" s="254"/>
      <c r="J625" s="254"/>
      <c r="N625" s="250" t="s">
        <v>545</v>
      </c>
    </row>
    <row r="626" spans="1:14" s="230" customFormat="1" ht="12.6" customHeight="1" x14ac:dyDescent="0.2">
      <c r="A626" s="249">
        <v>8650</v>
      </c>
      <c r="B626" s="253" t="s">
        <v>164</v>
      </c>
      <c r="C626" s="254">
        <f>BR85</f>
        <v>11127644.640000001</v>
      </c>
      <c r="D626" s="254">
        <f>(D615/D612)*BR90</f>
        <v>94949.358004295384</v>
      </c>
      <c r="E626" s="256">
        <f>(E623/E612)*SUM(C626:D626)</f>
        <v>610267.06394177862</v>
      </c>
      <c r="F626" s="256">
        <f>(F624/F612)*BR64</f>
        <v>2053.3330790981472</v>
      </c>
      <c r="G626" s="254">
        <f>(G625/G612)*BR91</f>
        <v>0</v>
      </c>
      <c r="H626" s="256"/>
      <c r="I626" s="254"/>
      <c r="J626" s="254"/>
      <c r="N626" s="250" t="s">
        <v>546</v>
      </c>
    </row>
    <row r="627" spans="1:14" s="230" customFormat="1" ht="12.6" customHeight="1" x14ac:dyDescent="0.2">
      <c r="A627" s="249">
        <v>8620</v>
      </c>
      <c r="B627" s="248" t="s">
        <v>547</v>
      </c>
      <c r="C627" s="254">
        <f>BO85</f>
        <v>1913161.17</v>
      </c>
      <c r="D627" s="254">
        <f>(D615/D612)*BO90</f>
        <v>58142.51863674794</v>
      </c>
      <c r="E627" s="256">
        <f>(E623/E612)*SUM(C627:D627)</f>
        <v>107196.40347105834</v>
      </c>
      <c r="F627" s="256">
        <f>(F624/F612)*BO64</f>
        <v>8042.6933547187555</v>
      </c>
      <c r="G627" s="254">
        <f>(G625/G612)*BO91</f>
        <v>0</v>
      </c>
      <c r="H627" s="256"/>
      <c r="I627" s="254"/>
      <c r="J627" s="254"/>
      <c r="N627" s="250" t="s">
        <v>548</v>
      </c>
    </row>
    <row r="628" spans="1:14" s="230" customFormat="1" ht="12.6" customHeight="1" x14ac:dyDescent="0.2">
      <c r="A628" s="249">
        <v>8330</v>
      </c>
      <c r="B628" s="253" t="s">
        <v>148</v>
      </c>
      <c r="C628" s="254">
        <f>AZ85</f>
        <v>5150737.4800000004</v>
      </c>
      <c r="D628" s="254">
        <f>(D615/D612)*AZ90</f>
        <v>658473.79775978858</v>
      </c>
      <c r="E628" s="256">
        <f>(E623/E612)*SUM(C628:D628)</f>
        <v>315895.80010881339</v>
      </c>
      <c r="F628" s="256">
        <f>(F624/F612)*AZ64</f>
        <v>69617.268445030131</v>
      </c>
      <c r="G628" s="254">
        <f>(G625/G612)*AZ91</f>
        <v>0</v>
      </c>
      <c r="H628" s="256">
        <f>SUM(C626:G628)</f>
        <v>20116181.526801329</v>
      </c>
      <c r="I628" s="254"/>
      <c r="J628" s="254"/>
      <c r="N628" s="250" t="s">
        <v>549</v>
      </c>
    </row>
    <row r="629" spans="1:14" s="230" customFormat="1" ht="12.6" customHeight="1" x14ac:dyDescent="0.2">
      <c r="A629" s="249">
        <v>8460</v>
      </c>
      <c r="B629" s="253" t="s">
        <v>153</v>
      </c>
      <c r="C629" s="254">
        <f>BF85</f>
        <v>6641232.46</v>
      </c>
      <c r="D629" s="254">
        <f>(D615/D612)*BF90</f>
        <v>268902.16712451773</v>
      </c>
      <c r="E629" s="256">
        <f>(E623/E612)*SUM(C629:D629)</f>
        <v>375762.28553644608</v>
      </c>
      <c r="F629" s="256">
        <f>(F624/F612)*BF64</f>
        <v>12386.993370796021</v>
      </c>
      <c r="G629" s="254">
        <f>(G625/G612)*BF91</f>
        <v>0</v>
      </c>
      <c r="H629" s="256">
        <f>(H628/H612)*BF60</f>
        <v>529024.77753567789</v>
      </c>
      <c r="I629" s="254">
        <f>SUM(C629:H629)</f>
        <v>7827308.6835674373</v>
      </c>
      <c r="J629" s="254"/>
      <c r="N629" s="250" t="s">
        <v>550</v>
      </c>
    </row>
    <row r="630" spans="1:14" s="230" customFormat="1" ht="12.6" customHeight="1" x14ac:dyDescent="0.2">
      <c r="A630" s="249">
        <v>8350</v>
      </c>
      <c r="B630" s="253" t="s">
        <v>551</v>
      </c>
      <c r="C630" s="254">
        <f>BA85</f>
        <v>421838.33999999997</v>
      </c>
      <c r="D630" s="254">
        <f>(D615/D612)*BA90</f>
        <v>100227.42525806358</v>
      </c>
      <c r="E630" s="256">
        <f>(E623/E612)*SUM(C630:D630)</f>
        <v>28389.117685734018</v>
      </c>
      <c r="F630" s="256">
        <f>(F624/F612)*BA64</f>
        <v>1201.1855950742736</v>
      </c>
      <c r="G630" s="254">
        <f>(G625/G612)*BA91</f>
        <v>0</v>
      </c>
      <c r="H630" s="256">
        <f>(H628/H612)*BA60</f>
        <v>29365.934217212216</v>
      </c>
      <c r="I630" s="254">
        <f>(I629/I612)*BA92</f>
        <v>33474.678315347075</v>
      </c>
      <c r="J630" s="254">
        <f>SUM(C630:I630)</f>
        <v>614496.68107143126</v>
      </c>
      <c r="N630" s="250" t="s">
        <v>552</v>
      </c>
    </row>
    <row r="631" spans="1:14" s="230" customFormat="1" ht="12.6" customHeight="1" x14ac:dyDescent="0.2">
      <c r="A631" s="249">
        <v>8200</v>
      </c>
      <c r="B631" s="253" t="s">
        <v>553</v>
      </c>
      <c r="C631" s="254">
        <f>AW85</f>
        <v>-648450.7799999998</v>
      </c>
      <c r="D631" s="254">
        <f>(D615/D612)*AW90</f>
        <v>109219.68798670567</v>
      </c>
      <c r="E631" s="256">
        <f>(E623/E612)*SUM(C631:D631)</f>
        <v>-29322.541238468675</v>
      </c>
      <c r="F631" s="256">
        <f>(F624/F612)*AW64</f>
        <v>1475.3383052404154</v>
      </c>
      <c r="G631" s="254">
        <f>(G625/G612)*AW91</f>
        <v>0</v>
      </c>
      <c r="H631" s="256">
        <f>(H628/H612)*AW60</f>
        <v>118323.3560623987</v>
      </c>
      <c r="I631" s="254">
        <f>(I629/I612)*AW92</f>
        <v>36474.953668745417</v>
      </c>
      <c r="J631" s="254">
        <f>(J630/J612)*AW93</f>
        <v>0</v>
      </c>
      <c r="N631" s="250" t="s">
        <v>554</v>
      </c>
    </row>
    <row r="632" spans="1:14" s="230" customFormat="1" ht="12.6" customHeight="1" x14ac:dyDescent="0.2">
      <c r="A632" s="249">
        <v>8360</v>
      </c>
      <c r="B632" s="253" t="s">
        <v>555</v>
      </c>
      <c r="C632" s="254">
        <f>BB85</f>
        <v>325449.14</v>
      </c>
      <c r="D632" s="254">
        <f>(D615/D612)*BB90</f>
        <v>0</v>
      </c>
      <c r="E632" s="256">
        <f>(E623/E612)*SUM(C632:D632)</f>
        <v>17697.41391032195</v>
      </c>
      <c r="F632" s="256">
        <f>(F624/F612)*BB64</f>
        <v>0</v>
      </c>
      <c r="G632" s="254">
        <f>(G625/G612)*BB91</f>
        <v>0</v>
      </c>
      <c r="H632" s="256">
        <f>(H628/H612)*BB60</f>
        <v>2704.9750258301533</v>
      </c>
      <c r="I632" s="254">
        <f>(I629/I612)*BB92</f>
        <v>0</v>
      </c>
      <c r="J632" s="254">
        <f>(J630/J612)*BB93</f>
        <v>0</v>
      </c>
      <c r="N632" s="250" t="s">
        <v>556</v>
      </c>
    </row>
    <row r="633" spans="1:14" s="230" customFormat="1" ht="12.6" customHeight="1" x14ac:dyDescent="0.2">
      <c r="A633" s="249">
        <v>8370</v>
      </c>
      <c r="B633" s="253" t="s">
        <v>557</v>
      </c>
      <c r="C633" s="254">
        <f>BC85</f>
        <v>516999.30000000005</v>
      </c>
      <c r="D633" s="254">
        <f>(D615/D612)*BC90</f>
        <v>0</v>
      </c>
      <c r="E633" s="256">
        <f>(E623/E612)*SUM(C633:D633)</f>
        <v>28113.61124950802</v>
      </c>
      <c r="F633" s="256">
        <f>(F624/F612)*BC64</f>
        <v>81.79459480154155</v>
      </c>
      <c r="G633" s="254">
        <f>(G625/G612)*BC91</f>
        <v>0</v>
      </c>
      <c r="H633" s="256">
        <f>(H628/H612)*BC60</f>
        <v>41929.825936987749</v>
      </c>
      <c r="I633" s="254">
        <f>(I629/I612)*BC92</f>
        <v>0</v>
      </c>
      <c r="J633" s="254">
        <f>(J630/J612)*BC93</f>
        <v>0</v>
      </c>
      <c r="N633" s="250" t="s">
        <v>558</v>
      </c>
    </row>
    <row r="634" spans="1:14" s="230" customFormat="1" ht="12.6" customHeight="1" x14ac:dyDescent="0.2">
      <c r="A634" s="249">
        <v>8490</v>
      </c>
      <c r="B634" s="253" t="s">
        <v>559</v>
      </c>
      <c r="C634" s="254">
        <f>BI85</f>
        <v>6917154.1299999999</v>
      </c>
      <c r="D634" s="254">
        <f>(D615/D612)*BI90</f>
        <v>731947.8450860536</v>
      </c>
      <c r="E634" s="256">
        <f>(E623/E612)*SUM(C634:D634)</f>
        <v>415946.17117549921</v>
      </c>
      <c r="F634" s="256">
        <f>(F624/F612)*BI64</f>
        <v>13572.484492459678</v>
      </c>
      <c r="G634" s="254">
        <f>(G625/G612)*BI91</f>
        <v>0</v>
      </c>
      <c r="H634" s="256">
        <f>(H628/H612)*BI60</f>
        <v>299355.73721400439</v>
      </c>
      <c r="I634" s="254">
        <f>(I629/I612)*BI92</f>
        <v>244446.02678223982</v>
      </c>
      <c r="J634" s="254">
        <f>(J630/J612)*BI93</f>
        <v>4710.0267092878648</v>
      </c>
      <c r="N634" s="250" t="s">
        <v>560</v>
      </c>
    </row>
    <row r="635" spans="1:14" s="230" customFormat="1" ht="12.6" customHeight="1" x14ac:dyDescent="0.2">
      <c r="A635" s="249">
        <v>8530</v>
      </c>
      <c r="B635" s="253" t="s">
        <v>561</v>
      </c>
      <c r="C635" s="254">
        <f>BK85</f>
        <v>10221516.35</v>
      </c>
      <c r="D635" s="254">
        <f>(D615/D612)*BK90</f>
        <v>307580.06737038511</v>
      </c>
      <c r="E635" s="256">
        <f>(E623/E612)*SUM(C635:D635)</f>
        <v>572555.75295080408</v>
      </c>
      <c r="F635" s="256">
        <f>(F624/F612)*BK64</f>
        <v>1721.3528101194695</v>
      </c>
      <c r="G635" s="254">
        <f>(G625/G612)*BK91</f>
        <v>0</v>
      </c>
      <c r="H635" s="256">
        <f>(H628/H612)*BK60</f>
        <v>459144.6798899814</v>
      </c>
      <c r="I635" s="254">
        <f>(I629/I612)*BK92</f>
        <v>102715.73929835671</v>
      </c>
      <c r="J635" s="254">
        <f>(J630/J612)*BK93</f>
        <v>0</v>
      </c>
      <c r="N635" s="250" t="s">
        <v>562</v>
      </c>
    </row>
    <row r="636" spans="1:14" s="230" customFormat="1" ht="12.6" customHeight="1" x14ac:dyDescent="0.2">
      <c r="A636" s="249">
        <v>8480</v>
      </c>
      <c r="B636" s="253" t="s">
        <v>563</v>
      </c>
      <c r="C636" s="254">
        <f>BH85</f>
        <v>61892168.539999999</v>
      </c>
      <c r="D636" s="254">
        <f>(D615/D612)*BH90</f>
        <v>693521.28137607989</v>
      </c>
      <c r="E636" s="256">
        <f>(E623/E612)*SUM(C636:D636)</f>
        <v>3403311.6745428047</v>
      </c>
      <c r="F636" s="256">
        <f>(F624/F612)*BH64</f>
        <v>62639.659826394272</v>
      </c>
      <c r="G636" s="254">
        <f>(G625/G612)*BH91</f>
        <v>0</v>
      </c>
      <c r="H636" s="256">
        <f>(H628/H612)*BH60</f>
        <v>758680.17515891767</v>
      </c>
      <c r="I636" s="254">
        <f>(I629/I612)*BH92</f>
        <v>231608.38746850324</v>
      </c>
      <c r="J636" s="254">
        <f>(J630/J612)*BH93</f>
        <v>0</v>
      </c>
      <c r="N636" s="250" t="s">
        <v>564</v>
      </c>
    </row>
    <row r="637" spans="1:14" s="230" customFormat="1" ht="12.6" customHeight="1" x14ac:dyDescent="0.2">
      <c r="A637" s="249">
        <v>8560</v>
      </c>
      <c r="B637" s="253" t="s">
        <v>159</v>
      </c>
      <c r="C637" s="254">
        <f>BL85</f>
        <v>6659962.7199999997</v>
      </c>
      <c r="D637" s="254">
        <f>(D615/D612)*BL90</f>
        <v>139910.67164750586</v>
      </c>
      <c r="E637" s="256">
        <f>(E623/E612)*SUM(C637:D637)</f>
        <v>369766.45244713395</v>
      </c>
      <c r="F637" s="256">
        <f>(F624/F612)*BL64</f>
        <v>1578.3307858352041</v>
      </c>
      <c r="G637" s="254">
        <f>(G625/G612)*BL91</f>
        <v>0</v>
      </c>
      <c r="H637" s="256">
        <f>(H628/H612)*BL60</f>
        <v>468541.68272047752</v>
      </c>
      <c r="I637" s="254">
        <f>(I629/I612)*BL92</f>
        <v>46728.392860885666</v>
      </c>
      <c r="J637" s="254">
        <f>(J630/J612)*BL93</f>
        <v>0</v>
      </c>
      <c r="N637" s="250" t="s">
        <v>565</v>
      </c>
    </row>
    <row r="638" spans="1:14" s="230" customFormat="1" ht="12.6" customHeight="1" x14ac:dyDescent="0.2">
      <c r="A638" s="249">
        <v>8590</v>
      </c>
      <c r="B638" s="253" t="s">
        <v>566</v>
      </c>
      <c r="C638" s="254">
        <f>BM85</f>
        <v>6013753.3500000006</v>
      </c>
      <c r="D638" s="254">
        <f>(D615/D612)*BM90</f>
        <v>130639.14610120407</v>
      </c>
      <c r="E638" s="256">
        <f>(E623/E612)*SUM(C638:D638)</f>
        <v>334122.42917888565</v>
      </c>
      <c r="F638" s="256">
        <f>(F624/F612)*BM64</f>
        <v>839.34734719385006</v>
      </c>
      <c r="G638" s="254">
        <f>(G625/G612)*BM91</f>
        <v>0</v>
      </c>
      <c r="H638" s="256">
        <f>(H628/H612)*BM60</f>
        <v>253123.681158227</v>
      </c>
      <c r="I638" s="254">
        <f>(I629/I612)*BM92</f>
        <v>43627.206467085438</v>
      </c>
      <c r="J638" s="254">
        <f>(J630/J612)*BM93</f>
        <v>0</v>
      </c>
      <c r="N638" s="250" t="s">
        <v>567</v>
      </c>
    </row>
    <row r="639" spans="1:14" s="230" customFormat="1" ht="12.6" customHeight="1" x14ac:dyDescent="0.2">
      <c r="A639" s="249">
        <v>8660</v>
      </c>
      <c r="B639" s="253" t="s">
        <v>568</v>
      </c>
      <c r="C639" s="254">
        <f>BS85</f>
        <v>322128.52999999997</v>
      </c>
      <c r="D639" s="254">
        <f>(D615/D612)*BS90</f>
        <v>142675.37354233681</v>
      </c>
      <c r="E639" s="256">
        <f>(E623/E612)*SUM(C639:D639)</f>
        <v>25275.307435509254</v>
      </c>
      <c r="F639" s="256">
        <f>(F624/F612)*BS64</f>
        <v>8538.382185017208</v>
      </c>
      <c r="G639" s="254">
        <f>(G625/G612)*BS91</f>
        <v>0</v>
      </c>
      <c r="H639" s="256">
        <f>(H628/H612)*BS60</f>
        <v>30573.597251488114</v>
      </c>
      <c r="I639" s="254">
        <f>(I629/I612)*BS92</f>
        <v>47652.679491813156</v>
      </c>
      <c r="J639" s="254">
        <f>(J630/J612)*BS93</f>
        <v>0</v>
      </c>
      <c r="N639" s="250" t="s">
        <v>569</v>
      </c>
    </row>
    <row r="640" spans="1:14" s="230" customFormat="1" ht="12.6" customHeight="1" x14ac:dyDescent="0.2">
      <c r="A640" s="249">
        <v>8670</v>
      </c>
      <c r="B640" s="253" t="s">
        <v>570</v>
      </c>
      <c r="C640" s="254">
        <f>BT85</f>
        <v>219003.75</v>
      </c>
      <c r="D640" s="254">
        <f>(D615/D612)*BT90</f>
        <v>26446.188832372864</v>
      </c>
      <c r="E640" s="256">
        <f>(E623/E612)*SUM(C640:D640)</f>
        <v>13347.182794152435</v>
      </c>
      <c r="F640" s="256">
        <f>(F624/F612)*BT64</f>
        <v>1.2053465031932711</v>
      </c>
      <c r="G640" s="254">
        <f>(G625/G612)*BT91</f>
        <v>0</v>
      </c>
      <c r="H640" s="256">
        <f>(H628/H612)*BT60</f>
        <v>9682.2592522939849</v>
      </c>
      <c r="I640" s="254">
        <f>(I629/I612)*BT92</f>
        <v>8832.6409928585199</v>
      </c>
      <c r="J640" s="254">
        <f>(J630/J612)*BT93</f>
        <v>0</v>
      </c>
      <c r="N640" s="250" t="s">
        <v>571</v>
      </c>
    </row>
    <row r="641" spans="1:14" s="230" customFormat="1" ht="12.6" customHeight="1" x14ac:dyDescent="0.2">
      <c r="A641" s="249">
        <v>8680</v>
      </c>
      <c r="B641" s="253" t="s">
        <v>572</v>
      </c>
      <c r="C641" s="254">
        <f>BU85</f>
        <v>246654.16</v>
      </c>
      <c r="D641" s="254">
        <f>(D615/D612)*BU90</f>
        <v>0</v>
      </c>
      <c r="E641" s="256">
        <f>(E623/E612)*SUM(C641:D641)</f>
        <v>13412.666452960286</v>
      </c>
      <c r="F641" s="256">
        <f>(F624/F612)*BU64</f>
        <v>1254.0539260349938</v>
      </c>
      <c r="G641" s="254">
        <f>(G625/G612)*BU91</f>
        <v>0</v>
      </c>
      <c r="H641" s="256">
        <f>(H628/H612)*BU60</f>
        <v>0</v>
      </c>
      <c r="I641" s="254">
        <f>(I629/I612)*BU92</f>
        <v>0</v>
      </c>
      <c r="J641" s="254">
        <f>(J630/J612)*BU93</f>
        <v>0</v>
      </c>
      <c r="N641" s="250" t="s">
        <v>573</v>
      </c>
    </row>
    <row r="642" spans="1:14" s="230" customFormat="1" ht="12.6" customHeight="1" x14ac:dyDescent="0.2">
      <c r="A642" s="249">
        <v>8690</v>
      </c>
      <c r="B642" s="253" t="s">
        <v>574</v>
      </c>
      <c r="C642" s="254">
        <f>BV85</f>
        <v>6781634.0799999991</v>
      </c>
      <c r="D642" s="254">
        <f>(D615/D612)*BV90</f>
        <v>480164.48868407495</v>
      </c>
      <c r="E642" s="256">
        <f>(E623/E612)*SUM(C642:D642)</f>
        <v>394885.21924926748</v>
      </c>
      <c r="F642" s="256">
        <f>(F624/F612)*BV64</f>
        <v>242.4135150987988</v>
      </c>
      <c r="G642" s="254">
        <f>(G625/G612)*BV91</f>
        <v>0</v>
      </c>
      <c r="H642" s="256">
        <f>(H628/H612)*BV60</f>
        <v>298050.43069983955</v>
      </c>
      <c r="I642" s="254">
        <f>(I629/I612)*BV92</f>
        <v>160358.61178995733</v>
      </c>
      <c r="J642" s="254">
        <f>(J630/J612)*BV93</f>
        <v>0</v>
      </c>
      <c r="N642" s="250" t="s">
        <v>575</v>
      </c>
    </row>
    <row r="643" spans="1:14" s="230" customFormat="1" ht="12.6" customHeight="1" x14ac:dyDescent="0.2">
      <c r="A643" s="249">
        <v>8700</v>
      </c>
      <c r="B643" s="253" t="s">
        <v>576</v>
      </c>
      <c r="C643" s="254">
        <f>BW85</f>
        <v>5013506.2999999989</v>
      </c>
      <c r="D643" s="254">
        <f>(D615/D612)*BW90</f>
        <v>96233.96696552998</v>
      </c>
      <c r="E643" s="256">
        <f>(E623/E612)*SUM(C643:D643)</f>
        <v>277859.66335239948</v>
      </c>
      <c r="F643" s="256">
        <f>(F624/F612)*BW64</f>
        <v>53.008909114185563</v>
      </c>
      <c r="G643" s="254">
        <f>(G625/G612)*BW91</f>
        <v>0</v>
      </c>
      <c r="H643" s="256">
        <f>(H628/H612)*BW60</f>
        <v>43650.201215623529</v>
      </c>
      <c r="I643" s="254">
        <f>(I629/I612)*BW92</f>
        <v>32142.360086272798</v>
      </c>
      <c r="J643" s="254">
        <f>(J630/J612)*BW93</f>
        <v>0</v>
      </c>
      <c r="N643" s="250" t="s">
        <v>577</v>
      </c>
    </row>
    <row r="644" spans="1:14" s="230" customFormat="1" ht="12.6" customHeight="1" x14ac:dyDescent="0.2">
      <c r="A644" s="249">
        <v>8710</v>
      </c>
      <c r="B644" s="253" t="s">
        <v>578</v>
      </c>
      <c r="C644" s="254">
        <f>BX85</f>
        <v>9340724.9499999974</v>
      </c>
      <c r="D644" s="254">
        <f>(D615/D612)*BX90</f>
        <v>99110.373987424799</v>
      </c>
      <c r="E644" s="256">
        <f>(E623/E612)*SUM(C644:D644)</f>
        <v>513323.44271637499</v>
      </c>
      <c r="F644" s="256">
        <f>(F624/F612)*BX64</f>
        <v>1966.5919118989943</v>
      </c>
      <c r="G644" s="254">
        <f>(G625/G612)*BX91</f>
        <v>0</v>
      </c>
      <c r="H644" s="256">
        <f>(H628/H612)*BX60</f>
        <v>288193.01263564633</v>
      </c>
      <c r="I644" s="254">
        <f>(I629/I612)*BX92</f>
        <v>33122.732780959894</v>
      </c>
      <c r="J644" s="254">
        <f>(J630/J612)*BX93</f>
        <v>0</v>
      </c>
      <c r="K644" s="256">
        <f>SUM(C631:J644)</f>
        <v>127288285.39437126</v>
      </c>
      <c r="L644" s="256"/>
      <c r="N644" s="250" t="s">
        <v>579</v>
      </c>
    </row>
    <row r="645" spans="1:14" s="230" customFormat="1" ht="12.6" customHeight="1" x14ac:dyDescent="0.2">
      <c r="A645" s="249">
        <v>8720</v>
      </c>
      <c r="B645" s="253" t="s">
        <v>580</v>
      </c>
      <c r="C645" s="254">
        <f>BY85</f>
        <v>2220454.5199999991</v>
      </c>
      <c r="D645" s="254">
        <f>(D615/D612)*BY90</f>
        <v>36834.76564931342</v>
      </c>
      <c r="E645" s="256">
        <f>(E623/E612)*SUM(C645:D645)</f>
        <v>122747.85179481759</v>
      </c>
      <c r="F645" s="256">
        <f>(F624/F612)*BY64</f>
        <v>298.62938471637261</v>
      </c>
      <c r="G645" s="254">
        <f>(G625/G612)*BY91</f>
        <v>0</v>
      </c>
      <c r="H645" s="256">
        <f>(H628/H612)*BY60</f>
        <v>66296.951423522085</v>
      </c>
      <c r="I645" s="254">
        <f>(I629/I612)*BY92</f>
        <v>12305.297013645433</v>
      </c>
      <c r="J645" s="254">
        <f>(J630/J612)*BY93</f>
        <v>0</v>
      </c>
      <c r="K645" s="256">
        <v>0</v>
      </c>
      <c r="L645" s="256"/>
      <c r="N645" s="250" t="s">
        <v>581</v>
      </c>
    </row>
    <row r="646" spans="1:14" s="230" customFormat="1" ht="12.6" customHeight="1" x14ac:dyDescent="0.2">
      <c r="A646" s="249">
        <v>8730</v>
      </c>
      <c r="B646" s="253" t="s">
        <v>582</v>
      </c>
      <c r="C646" s="254">
        <f>BZ85</f>
        <v>5429436.7400000002</v>
      </c>
      <c r="D646" s="254">
        <f>(D615/D612)*BZ90</f>
        <v>0</v>
      </c>
      <c r="E646" s="256">
        <f>(E623/E612)*SUM(C646:D646)</f>
        <v>295244.25625364704</v>
      </c>
      <c r="F646" s="256">
        <f>(F624/F612)*BZ64</f>
        <v>127.20339060671621</v>
      </c>
      <c r="G646" s="254">
        <f>(G625/G612)*BZ91</f>
        <v>0</v>
      </c>
      <c r="H646" s="256">
        <f>(H628/H612)*BZ60</f>
        <v>222287.22941589207</v>
      </c>
      <c r="I646" s="254">
        <f>(I629/I612)*BZ92</f>
        <v>0</v>
      </c>
      <c r="J646" s="254">
        <f>(J630/J612)*BZ93</f>
        <v>0</v>
      </c>
      <c r="K646" s="256">
        <v>0</v>
      </c>
      <c r="L646" s="256"/>
      <c r="N646" s="250" t="s">
        <v>583</v>
      </c>
    </row>
    <row r="647" spans="1:14" s="230" customFormat="1" ht="12.6" customHeight="1" x14ac:dyDescent="0.2">
      <c r="A647" s="249">
        <v>8740</v>
      </c>
      <c r="B647" s="253" t="s">
        <v>584</v>
      </c>
      <c r="C647" s="254">
        <f>CA85</f>
        <v>3151275.0500000003</v>
      </c>
      <c r="D647" s="254">
        <f>(D615/D612)*CA90</f>
        <v>155577.31571821458</v>
      </c>
      <c r="E647" s="256">
        <f>(E623/E612)*SUM(C647:D647)</f>
        <v>179821.44631398495</v>
      </c>
      <c r="F647" s="256">
        <f>(F624/F612)*CA64</f>
        <v>12631.534370358459</v>
      </c>
      <c r="G647" s="254">
        <f>(G625/G612)*CA91</f>
        <v>0</v>
      </c>
      <c r="H647" s="256">
        <f>(H628/H612)*CA60</f>
        <v>76084.864073346063</v>
      </c>
      <c r="I647" s="254">
        <f>(I629/I612)*CA92</f>
        <v>51955.292257934489</v>
      </c>
      <c r="J647" s="254">
        <f>(J630/J612)*CA93</f>
        <v>0</v>
      </c>
      <c r="K647" s="256">
        <v>0</v>
      </c>
      <c r="L647" s="256">
        <f>SUM(C645:K647)</f>
        <v>12033378.94706</v>
      </c>
      <c r="N647" s="250" t="s">
        <v>585</v>
      </c>
    </row>
    <row r="648" spans="1:14" s="230" customFormat="1" ht="12.6" customHeight="1" x14ac:dyDescent="0.2">
      <c r="A648" s="249"/>
      <c r="B648" s="249"/>
      <c r="C648" s="230">
        <f>SUM(C614:C647)</f>
        <v>224269136.12</v>
      </c>
      <c r="L648" s="252"/>
    </row>
    <row r="666" spans="1:14" s="230" customFormat="1" ht="12.6" customHeight="1" x14ac:dyDescent="0.2">
      <c r="C666" s="247" t="s">
        <v>586</v>
      </c>
      <c r="M666" s="247" t="s">
        <v>587</v>
      </c>
    </row>
    <row r="667" spans="1:14" s="230" customFormat="1" ht="12.6" customHeight="1" x14ac:dyDescent="0.2">
      <c r="C667" s="247" t="s">
        <v>516</v>
      </c>
      <c r="D667" s="247" t="s">
        <v>517</v>
      </c>
      <c r="E667" s="248" t="s">
        <v>518</v>
      </c>
      <c r="F667" s="247" t="s">
        <v>519</v>
      </c>
      <c r="G667" s="247" t="s">
        <v>520</v>
      </c>
      <c r="H667" s="247" t="s">
        <v>521</v>
      </c>
      <c r="I667" s="247" t="s">
        <v>522</v>
      </c>
      <c r="J667" s="247" t="s">
        <v>523</v>
      </c>
      <c r="K667" s="247" t="s">
        <v>524</v>
      </c>
      <c r="L667" s="248" t="s">
        <v>525</v>
      </c>
      <c r="M667" s="247" t="s">
        <v>588</v>
      </c>
    </row>
    <row r="668" spans="1:14" s="230" customFormat="1" ht="12.6" customHeight="1" x14ac:dyDescent="0.2">
      <c r="A668" s="249">
        <v>6010</v>
      </c>
      <c r="B668" s="248" t="s">
        <v>315</v>
      </c>
      <c r="C668" s="254">
        <f>C85</f>
        <v>27326522.5</v>
      </c>
      <c r="D668" s="254">
        <f>(D615/D612)*C90</f>
        <v>893166.26972099394</v>
      </c>
      <c r="E668" s="256">
        <f>(E623/E612)*SUM(C668:D668)</f>
        <v>1534542.4252103304</v>
      </c>
      <c r="F668" s="256">
        <f>(F624/F612)*C64</f>
        <v>53356.646449767293</v>
      </c>
      <c r="G668" s="254">
        <f>(G625/G612)*C91</f>
        <v>0</v>
      </c>
      <c r="H668" s="256">
        <f>(H628/H612)*C60</f>
        <v>693995.87854098086</v>
      </c>
      <c r="I668" s="254">
        <f>(I629/I612)*C92</f>
        <v>298287.18551261257</v>
      </c>
      <c r="J668" s="254">
        <f>(J630/J612)*C93</f>
        <v>44748.968946979025</v>
      </c>
      <c r="K668" s="254">
        <f>(K644/K612)*C89</f>
        <v>4521218.9269397818</v>
      </c>
      <c r="L668" s="254">
        <f>(L647/L612)*C94</f>
        <v>1188824.5022696741</v>
      </c>
      <c r="M668" s="230">
        <f t="shared" ref="M668:M713" si="18">ROUND(SUM(D668:L668),0)</f>
        <v>9228141</v>
      </c>
      <c r="N668" s="248" t="s">
        <v>589</v>
      </c>
    </row>
    <row r="669" spans="1:14" s="230" customFormat="1" ht="12.6" customHeight="1" x14ac:dyDescent="0.2">
      <c r="A669" s="249">
        <v>6030</v>
      </c>
      <c r="B669" s="248" t="s">
        <v>316</v>
      </c>
      <c r="C669" s="254">
        <f>D85</f>
        <v>14994767.650000004</v>
      </c>
      <c r="D669" s="254">
        <f>(D615/D612)*D90</f>
        <v>680507.63407313824</v>
      </c>
      <c r="E669" s="256">
        <f>(E623/E612)*SUM(C669:D669)</f>
        <v>852396.89021910413</v>
      </c>
      <c r="F669" s="256">
        <f>(F624/F612)*D64</f>
        <v>23437.321772939642</v>
      </c>
      <c r="G669" s="254">
        <f>(G625/G612)*D91</f>
        <v>0</v>
      </c>
      <c r="H669" s="256">
        <f>(H628/H612)*D60</f>
        <v>409943.73494132288</v>
      </c>
      <c r="I669" s="254">
        <f>(I629/I612)*D92</f>
        <v>227261.16909756657</v>
      </c>
      <c r="J669" s="254">
        <f>(J630/J612)*D93</f>
        <v>68493.507468626849</v>
      </c>
      <c r="K669" s="254">
        <f>(K644/K612)*D89</f>
        <v>3206309.2889925553</v>
      </c>
      <c r="L669" s="254">
        <f>(L647/L612)*D94</f>
        <v>608927.98411177821</v>
      </c>
      <c r="M669" s="230">
        <f t="shared" si="18"/>
        <v>6077278</v>
      </c>
      <c r="N669" s="248" t="s">
        <v>590</v>
      </c>
    </row>
    <row r="670" spans="1:14" s="230" customFormat="1" ht="12.6" customHeight="1" x14ac:dyDescent="0.2">
      <c r="A670" s="249">
        <v>6070</v>
      </c>
      <c r="B670" s="248" t="s">
        <v>591</v>
      </c>
      <c r="C670" s="254">
        <f>E85</f>
        <v>57629991.979999989</v>
      </c>
      <c r="D670" s="254">
        <f>(D615/D612)*E90</f>
        <v>3141204.0255997512</v>
      </c>
      <c r="E670" s="256">
        <f>(E623/E612)*SUM(C670:D670)</f>
        <v>3304642.3460710403</v>
      </c>
      <c r="F670" s="256">
        <f>(F624/F612)*E64</f>
        <v>82875.451995996133</v>
      </c>
      <c r="G670" s="254">
        <f>(G625/G612)*E91</f>
        <v>0</v>
      </c>
      <c r="H670" s="256">
        <f>(H628/H612)*E60</f>
        <v>1852584.4728900641</v>
      </c>
      <c r="I670" s="254">
        <f>(I629/I612)*E92</f>
        <v>1049043.3889200068</v>
      </c>
      <c r="J670" s="254">
        <f>(J630/J612)*E93</f>
        <v>132355.2936044262</v>
      </c>
      <c r="K670" s="254">
        <f>(K644/K612)*E89</f>
        <v>9755451.6156385094</v>
      </c>
      <c r="L670" s="254">
        <f>(L647/L612)*E94</f>
        <v>2705851.4887282411</v>
      </c>
      <c r="M670" s="230">
        <f t="shared" si="18"/>
        <v>22024008</v>
      </c>
      <c r="N670" s="248" t="s">
        <v>592</v>
      </c>
    </row>
    <row r="671" spans="1:14" s="230" customFormat="1" ht="12.6" customHeight="1" x14ac:dyDescent="0.2">
      <c r="A671" s="249">
        <v>6100</v>
      </c>
      <c r="B671" s="248" t="s">
        <v>593</v>
      </c>
      <c r="C671" s="254">
        <f>F85</f>
        <v>1746348.4300000002</v>
      </c>
      <c r="D671" s="254">
        <f>(D615/D612)*F90</f>
        <v>0</v>
      </c>
      <c r="E671" s="256">
        <f>(E623/E612)*SUM(C671:D671)</f>
        <v>94963.68924911246</v>
      </c>
      <c r="F671" s="256">
        <f>(F624/F612)*F64</f>
        <v>65.483424527909108</v>
      </c>
      <c r="G671" s="254">
        <f>(G625/G612)*F91</f>
        <v>0</v>
      </c>
      <c r="H671" s="256">
        <f>(H628/H612)*F60</f>
        <v>49118.494473843573</v>
      </c>
      <c r="I671" s="254">
        <f>(I629/I612)*F92</f>
        <v>0</v>
      </c>
      <c r="J671" s="254">
        <f>(J630/J612)*F93</f>
        <v>0</v>
      </c>
      <c r="K671" s="254">
        <f>(K644/K612)*F89</f>
        <v>0</v>
      </c>
      <c r="L671" s="254">
        <f>(L647/L612)*F94</f>
        <v>12269.784310977289</v>
      </c>
      <c r="M671" s="230">
        <f t="shared" si="18"/>
        <v>156417</v>
      </c>
      <c r="N671" s="248" t="s">
        <v>594</v>
      </c>
    </row>
    <row r="672" spans="1:14" s="230" customFormat="1" ht="12.6" customHeight="1" x14ac:dyDescent="0.2">
      <c r="A672" s="249">
        <v>6120</v>
      </c>
      <c r="B672" s="248" t="s">
        <v>595</v>
      </c>
      <c r="C672" s="254">
        <f>G85</f>
        <v>3364373.55</v>
      </c>
      <c r="D672" s="254">
        <f>(D615/D612)*G90</f>
        <v>253989.53266149017</v>
      </c>
      <c r="E672" s="256">
        <f>(E623/E612)*SUM(C672:D672)</f>
        <v>196760.9106347273</v>
      </c>
      <c r="F672" s="256">
        <f>(F624/F612)*G64</f>
        <v>2592.0032522695465</v>
      </c>
      <c r="G672" s="254">
        <f>(G625/G612)*G91</f>
        <v>0</v>
      </c>
      <c r="H672" s="256">
        <f>(H628/H612)*G60</f>
        <v>102889.27830583511</v>
      </c>
      <c r="I672" s="254">
        <f>(I629/I612)*G92</f>
        <v>84826.698049139814</v>
      </c>
      <c r="J672" s="254">
        <f>(J630/J612)*G93</f>
        <v>8808.4523555509459</v>
      </c>
      <c r="K672" s="254">
        <f>(K644/K612)*G89</f>
        <v>924993.18640890892</v>
      </c>
      <c r="L672" s="254">
        <f>(L647/L612)*G94</f>
        <v>151109.30103084008</v>
      </c>
      <c r="M672" s="230">
        <f t="shared" si="18"/>
        <v>1725969</v>
      </c>
      <c r="N672" s="248" t="s">
        <v>596</v>
      </c>
    </row>
    <row r="673" spans="1:14" s="230" customFormat="1" ht="12.6" customHeight="1" x14ac:dyDescent="0.2">
      <c r="A673" s="249">
        <v>6140</v>
      </c>
      <c r="B673" s="248" t="s">
        <v>597</v>
      </c>
      <c r="C673" s="254">
        <f>H85</f>
        <v>0</v>
      </c>
      <c r="D673" s="254">
        <f>(D615/D612)*H90</f>
        <v>0</v>
      </c>
      <c r="E673" s="256">
        <f>(E623/E612)*SUM(C673:D673)</f>
        <v>0</v>
      </c>
      <c r="F673" s="256">
        <f>(F624/F612)*H64</f>
        <v>0</v>
      </c>
      <c r="G673" s="254">
        <f>(G625/G612)*H91</f>
        <v>0</v>
      </c>
      <c r="H673" s="256">
        <f>(H628/H612)*H60</f>
        <v>0</v>
      </c>
      <c r="I673" s="254">
        <f>(I629/I612)*H92</f>
        <v>0</v>
      </c>
      <c r="J673" s="254">
        <f>(J630/J612)*H93</f>
        <v>0</v>
      </c>
      <c r="K673" s="254">
        <f>(K644/K612)*H89</f>
        <v>0</v>
      </c>
      <c r="L673" s="254">
        <f>(L647/L612)*H94</f>
        <v>0</v>
      </c>
      <c r="M673" s="230">
        <f t="shared" si="18"/>
        <v>0</v>
      </c>
      <c r="N673" s="248" t="s">
        <v>598</v>
      </c>
    </row>
    <row r="674" spans="1:14" s="230" customFormat="1" ht="12.6" customHeight="1" x14ac:dyDescent="0.2">
      <c r="A674" s="249">
        <v>6150</v>
      </c>
      <c r="B674" s="248" t="s">
        <v>599</v>
      </c>
      <c r="C674" s="254">
        <f>I85</f>
        <v>33.72</v>
      </c>
      <c r="D674" s="254">
        <f>(D615/D612)*I90</f>
        <v>0</v>
      </c>
      <c r="E674" s="256">
        <f>(E623/E612)*SUM(C674:D674)</f>
        <v>1.8336407251100928</v>
      </c>
      <c r="F674" s="256">
        <f>(F624/F612)*I64</f>
        <v>0</v>
      </c>
      <c r="G674" s="254">
        <f>(G625/G612)*I91</f>
        <v>0</v>
      </c>
      <c r="H674" s="256">
        <f>(H628/H612)*I60</f>
        <v>0</v>
      </c>
      <c r="I674" s="254">
        <f>(I629/I612)*I92</f>
        <v>0</v>
      </c>
      <c r="J674" s="254">
        <f>(J630/J612)*I93</f>
        <v>0</v>
      </c>
      <c r="K674" s="254">
        <f>(K644/K612)*I89</f>
        <v>0</v>
      </c>
      <c r="L674" s="254">
        <f>(L647/L612)*I94</f>
        <v>0</v>
      </c>
      <c r="M674" s="230">
        <f t="shared" si="18"/>
        <v>2</v>
      </c>
      <c r="N674" s="248" t="s">
        <v>600</v>
      </c>
    </row>
    <row r="675" spans="1:14" s="230" customFormat="1" ht="12.6" customHeight="1" x14ac:dyDescent="0.2">
      <c r="A675" s="249">
        <v>6170</v>
      </c>
      <c r="B675" s="248" t="s">
        <v>110</v>
      </c>
      <c r="C675" s="254">
        <f>J85</f>
        <v>0</v>
      </c>
      <c r="D675" s="254">
        <f>(D615/D612)*J90</f>
        <v>0</v>
      </c>
      <c r="E675" s="256">
        <f>(E623/E612)*SUM(C675:D675)</f>
        <v>0</v>
      </c>
      <c r="F675" s="256">
        <f>(F624/F612)*J64</f>
        <v>0</v>
      </c>
      <c r="G675" s="254">
        <f>(G625/G612)*J91</f>
        <v>0</v>
      </c>
      <c r="H675" s="256">
        <f>(H628/H612)*J60</f>
        <v>0</v>
      </c>
      <c r="I675" s="254">
        <f>(I629/I612)*J92</f>
        <v>0</v>
      </c>
      <c r="J675" s="254">
        <f>(J630/J612)*J93</f>
        <v>0</v>
      </c>
      <c r="K675" s="254">
        <f>(K644/K612)*J89</f>
        <v>0</v>
      </c>
      <c r="L675" s="254">
        <f>(L647/L612)*J94</f>
        <v>0</v>
      </c>
      <c r="M675" s="230">
        <f t="shared" si="18"/>
        <v>0</v>
      </c>
      <c r="N675" s="248" t="s">
        <v>601</v>
      </c>
    </row>
    <row r="676" spans="1:14" s="230" customFormat="1" ht="12.6" customHeight="1" x14ac:dyDescent="0.2">
      <c r="A676" s="249">
        <v>6200</v>
      </c>
      <c r="B676" s="248" t="s">
        <v>321</v>
      </c>
      <c r="C676" s="254">
        <f>K85</f>
        <v>0</v>
      </c>
      <c r="D676" s="254">
        <f>(D615/D612)*K90</f>
        <v>0</v>
      </c>
      <c r="E676" s="256">
        <f>(E623/E612)*SUM(C676:D676)</f>
        <v>0</v>
      </c>
      <c r="F676" s="256">
        <f>(F624/F612)*K64</f>
        <v>0</v>
      </c>
      <c r="G676" s="254">
        <f>(G625/G612)*K91</f>
        <v>0</v>
      </c>
      <c r="H676" s="256">
        <f>(H628/H612)*K60</f>
        <v>0</v>
      </c>
      <c r="I676" s="254">
        <f>(I629/I612)*K92</f>
        <v>0</v>
      </c>
      <c r="J676" s="254">
        <f>(J630/J612)*K93</f>
        <v>0</v>
      </c>
      <c r="K676" s="254">
        <f>(K644/K612)*K89</f>
        <v>0</v>
      </c>
      <c r="L676" s="254">
        <f>(L647/L612)*K94</f>
        <v>0</v>
      </c>
      <c r="M676" s="230">
        <f t="shared" si="18"/>
        <v>0</v>
      </c>
      <c r="N676" s="248" t="s">
        <v>602</v>
      </c>
    </row>
    <row r="677" spans="1:14" s="230" customFormat="1" ht="12.6" customHeight="1" x14ac:dyDescent="0.2">
      <c r="A677" s="249">
        <v>6210</v>
      </c>
      <c r="B677" s="248" t="s">
        <v>322</v>
      </c>
      <c r="C677" s="254">
        <f>L85</f>
        <v>0</v>
      </c>
      <c r="D677" s="254">
        <f>(D615/D612)*L90</f>
        <v>0</v>
      </c>
      <c r="E677" s="256">
        <f>(E623/E612)*SUM(C677:D677)</f>
        <v>0</v>
      </c>
      <c r="F677" s="256">
        <f>(F624/F612)*L64</f>
        <v>0</v>
      </c>
      <c r="G677" s="254">
        <f>(G625/G612)*L91</f>
        <v>0</v>
      </c>
      <c r="H677" s="256">
        <f>(H628/H612)*L60</f>
        <v>0</v>
      </c>
      <c r="I677" s="254">
        <f>(I629/I612)*L92</f>
        <v>0</v>
      </c>
      <c r="J677" s="254">
        <f>(J630/J612)*L93</f>
        <v>0</v>
      </c>
      <c r="K677" s="254">
        <f>(K644/K612)*L89</f>
        <v>0</v>
      </c>
      <c r="L677" s="254">
        <f>(L647/L612)*L94</f>
        <v>0</v>
      </c>
      <c r="M677" s="230">
        <f t="shared" si="18"/>
        <v>0</v>
      </c>
      <c r="N677" s="248" t="s">
        <v>603</v>
      </c>
    </row>
    <row r="678" spans="1:14" s="230" customFormat="1" ht="12.6" customHeight="1" x14ac:dyDescent="0.2">
      <c r="A678" s="249">
        <v>6330</v>
      </c>
      <c r="B678" s="248" t="s">
        <v>604</v>
      </c>
      <c r="C678" s="254">
        <f>M85</f>
        <v>6700389.4500000002</v>
      </c>
      <c r="D678" s="254">
        <f>(D615/D612)*M90</f>
        <v>573047.30183768866</v>
      </c>
      <c r="E678" s="256">
        <f>(E623/E612)*SUM(C678:D678)</f>
        <v>395518.08539982373</v>
      </c>
      <c r="F678" s="256">
        <f>(F624/F612)*M64</f>
        <v>5864.053150908815</v>
      </c>
      <c r="G678" s="254">
        <f>(G625/G612)*M91</f>
        <v>0</v>
      </c>
      <c r="H678" s="256">
        <f>(H628/H612)*M60</f>
        <v>262270.54201232613</v>
      </c>
      <c r="I678" s="254">
        <f>(I629/I612)*M92</f>
        <v>191377.05688276846</v>
      </c>
      <c r="J678" s="254">
        <f>(J630/J612)*M93</f>
        <v>8067.199410900309</v>
      </c>
      <c r="K678" s="254">
        <f>(K644/K612)*M89</f>
        <v>270726.03951252141</v>
      </c>
      <c r="L678" s="254">
        <f>(L647/L612)*M94</f>
        <v>227392.3418995227</v>
      </c>
      <c r="M678" s="230">
        <f t="shared" si="18"/>
        <v>1934263</v>
      </c>
      <c r="N678" s="248" t="s">
        <v>605</v>
      </c>
    </row>
    <row r="679" spans="1:14" s="230" customFormat="1" ht="12.6" customHeight="1" x14ac:dyDescent="0.2">
      <c r="A679" s="249">
        <v>6400</v>
      </c>
      <c r="B679" s="248" t="s">
        <v>606</v>
      </c>
      <c r="C679" s="254">
        <f>N85</f>
        <v>23632836.900000006</v>
      </c>
      <c r="D679" s="254">
        <f>(D615/D612)*N90</f>
        <v>141167.35432697448</v>
      </c>
      <c r="E679" s="256">
        <f>(E623/E612)*SUM(C679:D679)</f>
        <v>1292793.0723509653</v>
      </c>
      <c r="F679" s="256">
        <f>(F624/F612)*N64</f>
        <v>962.92990974074678</v>
      </c>
      <c r="G679" s="254">
        <f>(G625/G612)*N91</f>
        <v>0</v>
      </c>
      <c r="H679" s="256">
        <f>(H628/H612)*N60</f>
        <v>295797.9643438413</v>
      </c>
      <c r="I679" s="254">
        <f>(I629/I612)*N92</f>
        <v>47148.855529226894</v>
      </c>
      <c r="J679" s="254">
        <f>(J630/J612)*N93</f>
        <v>0</v>
      </c>
      <c r="K679" s="254">
        <f>(K644/K612)*N89</f>
        <v>1224738.1284653391</v>
      </c>
      <c r="L679" s="254">
        <f>(L647/L612)*N94</f>
        <v>24527.924726431738</v>
      </c>
      <c r="M679" s="230">
        <f t="shared" si="18"/>
        <v>3027136</v>
      </c>
      <c r="N679" s="248" t="s">
        <v>607</v>
      </c>
    </row>
    <row r="680" spans="1:14" s="230" customFormat="1" ht="12.6" customHeight="1" x14ac:dyDescent="0.2">
      <c r="A680" s="249">
        <v>7010</v>
      </c>
      <c r="B680" s="248" t="s">
        <v>608</v>
      </c>
      <c r="C680" s="254">
        <f>O85</f>
        <v>37974074.859999999</v>
      </c>
      <c r="D680" s="254">
        <f>(D615/D612)*O90</f>
        <v>1519105.9492234283</v>
      </c>
      <c r="E680" s="256">
        <f>(E623/E612)*SUM(C680:D680)</f>
        <v>2147577.2448377358</v>
      </c>
      <c r="F680" s="256">
        <f>(F624/F612)*O64</f>
        <v>95678.591931098199</v>
      </c>
      <c r="G680" s="254">
        <f>(G625/G612)*O91</f>
        <v>0</v>
      </c>
      <c r="H680" s="256">
        <f>(H628/H612)*O60</f>
        <v>962115.96005279757</v>
      </c>
      <c r="I680" s="254">
        <f>(I629/I612)*O92</f>
        <v>507320.74950801965</v>
      </c>
      <c r="J680" s="254">
        <f>(J630/J612)*O93</f>
        <v>94067.882077462127</v>
      </c>
      <c r="K680" s="254">
        <f>(K644/K612)*O89</f>
        <v>6014755.3612474883</v>
      </c>
      <c r="L680" s="254">
        <f>(L647/L612)*O94</f>
        <v>1547670.4850592792</v>
      </c>
      <c r="M680" s="230">
        <f t="shared" si="18"/>
        <v>12888292</v>
      </c>
      <c r="N680" s="248" t="s">
        <v>609</v>
      </c>
    </row>
    <row r="681" spans="1:14" s="230" customFormat="1" ht="12.6" customHeight="1" x14ac:dyDescent="0.2">
      <c r="A681" s="249">
        <v>7020</v>
      </c>
      <c r="B681" s="248" t="s">
        <v>610</v>
      </c>
      <c r="C681" s="254">
        <f>P85</f>
        <v>60121947.079999983</v>
      </c>
      <c r="D681" s="254">
        <f>(D615/D612)*P90</f>
        <v>2009742.7935697418</v>
      </c>
      <c r="E681" s="256">
        <f>(E623/E612)*SUM(C681:D681)</f>
        <v>3378623.8692789976</v>
      </c>
      <c r="F681" s="256">
        <f>(F624/F612)*P64</f>
        <v>1310338.6402973237</v>
      </c>
      <c r="G681" s="254">
        <f>(G625/G612)*P91</f>
        <v>0</v>
      </c>
      <c r="H681" s="256">
        <f>(H628/H612)*P60</f>
        <v>570622.45027500158</v>
      </c>
      <c r="I681" s="254">
        <f>(I629/I612)*P92</f>
        <v>671369.19542745501</v>
      </c>
      <c r="J681" s="254">
        <f>(J630/J612)*P93</f>
        <v>41214.059795664478</v>
      </c>
      <c r="K681" s="254">
        <f>(K644/K612)*P89</f>
        <v>17023705.464200705</v>
      </c>
      <c r="L681" s="254">
        <f>(L647/L612)*P94</f>
        <v>614699.53380015609</v>
      </c>
      <c r="M681" s="230">
        <f t="shared" si="18"/>
        <v>25620316</v>
      </c>
      <c r="N681" s="248" t="s">
        <v>611</v>
      </c>
    </row>
    <row r="682" spans="1:14" s="230" customFormat="1" ht="12.6" customHeight="1" x14ac:dyDescent="0.2">
      <c r="A682" s="249">
        <v>7030</v>
      </c>
      <c r="B682" s="248" t="s">
        <v>612</v>
      </c>
      <c r="C682" s="254">
        <f>Q85</f>
        <v>11349865.26</v>
      </c>
      <c r="D682" s="254">
        <f>(D615/D612)*Q90</f>
        <v>142954.63635999651</v>
      </c>
      <c r="E682" s="256">
        <f>(E623/E612)*SUM(C682:D682)</f>
        <v>624961.52456468705</v>
      </c>
      <c r="F682" s="256">
        <f>(F624/F612)*Q64</f>
        <v>25651.037081137478</v>
      </c>
      <c r="G682" s="254">
        <f>(G625/G612)*Q91</f>
        <v>0</v>
      </c>
      <c r="H682" s="256">
        <f>(H628/H612)*Q60</f>
        <v>302213.10738256673</v>
      </c>
      <c r="I682" s="254">
        <f>(I629/I612)*Q92</f>
        <v>47737.503264904612</v>
      </c>
      <c r="J682" s="254">
        <f>(J630/J612)*Q93</f>
        <v>0</v>
      </c>
      <c r="K682" s="254">
        <f>(K644/K612)*Q89</f>
        <v>1633158.741238795</v>
      </c>
      <c r="L682" s="254">
        <f>(L647/L612)*Q94</f>
        <v>554227.43286267191</v>
      </c>
      <c r="M682" s="230">
        <f t="shared" si="18"/>
        <v>3330904</v>
      </c>
      <c r="N682" s="248" t="s">
        <v>613</v>
      </c>
    </row>
    <row r="683" spans="1:14" s="230" customFormat="1" ht="12.6" customHeight="1" x14ac:dyDescent="0.2">
      <c r="A683" s="249">
        <v>7040</v>
      </c>
      <c r="B683" s="248" t="s">
        <v>118</v>
      </c>
      <c r="C683" s="254">
        <f>R85</f>
        <v>1595550.7800000003</v>
      </c>
      <c r="D683" s="254">
        <f>(D615/D612)*R90</f>
        <v>18180.009429645972</v>
      </c>
      <c r="E683" s="256">
        <f>(E623/E612)*SUM(C683:D683)</f>
        <v>87752.149906947176</v>
      </c>
      <c r="F683" s="256">
        <f>(F624/F612)*R64</f>
        <v>19007.20306966297</v>
      </c>
      <c r="G683" s="254">
        <f>(G625/G612)*R91</f>
        <v>0</v>
      </c>
      <c r="H683" s="256">
        <f>(H628/H612)*R60</f>
        <v>39995.973433995699</v>
      </c>
      <c r="I683" s="254">
        <f>(I629/I612)*R92</f>
        <v>6071.4809308472795</v>
      </c>
      <c r="J683" s="254">
        <f>(J630/J612)*R93</f>
        <v>0</v>
      </c>
      <c r="K683" s="254">
        <f>(K644/K612)*R89</f>
        <v>2704426.2877206872</v>
      </c>
      <c r="L683" s="254">
        <f>(L647/L612)*R94</f>
        <v>0</v>
      </c>
      <c r="M683" s="230">
        <f t="shared" si="18"/>
        <v>2875433</v>
      </c>
      <c r="N683" s="248" t="s">
        <v>614</v>
      </c>
    </row>
    <row r="684" spans="1:14" s="230" customFormat="1" ht="12.6" customHeight="1" x14ac:dyDescent="0.2">
      <c r="A684" s="249">
        <v>7050</v>
      </c>
      <c r="B684" s="248" t="s">
        <v>615</v>
      </c>
      <c r="C684" s="254">
        <f>S85</f>
        <v>3772488.0699999994</v>
      </c>
      <c r="D684" s="254">
        <f>(D615/D612)*S90</f>
        <v>286802.91373650404</v>
      </c>
      <c r="E684" s="256">
        <f>(E623/E612)*SUM(C684:D684)</f>
        <v>220737.8784950019</v>
      </c>
      <c r="F684" s="256">
        <f>(F624/F612)*S64</f>
        <v>27980.828899381493</v>
      </c>
      <c r="G684" s="254">
        <f>(G625/G612)*S91</f>
        <v>0</v>
      </c>
      <c r="H684" s="256">
        <f>(H628/H612)*S60</f>
        <v>147841.89212989507</v>
      </c>
      <c r="I684" s="254">
        <f>(I629/I612)*S92</f>
        <v>95784.320805823721</v>
      </c>
      <c r="J684" s="254">
        <f>(J630/J612)*S93</f>
        <v>4004.0561065030724</v>
      </c>
      <c r="K684" s="254">
        <f>(K644/K612)*S89</f>
        <v>0</v>
      </c>
      <c r="L684" s="254">
        <f>(L647/L612)*S94</f>
        <v>0</v>
      </c>
      <c r="M684" s="230">
        <f t="shared" si="18"/>
        <v>783152</v>
      </c>
      <c r="N684" s="248" t="s">
        <v>616</v>
      </c>
    </row>
    <row r="685" spans="1:14" s="230" customFormat="1" ht="12.6" customHeight="1" x14ac:dyDescent="0.2">
      <c r="A685" s="249">
        <v>7060</v>
      </c>
      <c r="B685" s="248" t="s">
        <v>617</v>
      </c>
      <c r="C685" s="254">
        <f>T85</f>
        <v>0</v>
      </c>
      <c r="D685" s="254">
        <f>(D615/D612)*T90</f>
        <v>0</v>
      </c>
      <c r="E685" s="256">
        <f>(E623/E612)*SUM(C685:D685)</f>
        <v>0</v>
      </c>
      <c r="F685" s="256">
        <f>(F624/F612)*T64</f>
        <v>0</v>
      </c>
      <c r="G685" s="254">
        <f>(G625/G612)*T91</f>
        <v>0</v>
      </c>
      <c r="H685" s="256">
        <f>(H628/H612)*T60</f>
        <v>0</v>
      </c>
      <c r="I685" s="254">
        <f>(I629/I612)*T92</f>
        <v>0</v>
      </c>
      <c r="J685" s="254">
        <f>(J630/J612)*T93</f>
        <v>0</v>
      </c>
      <c r="K685" s="254">
        <f>(K644/K612)*T89</f>
        <v>0</v>
      </c>
      <c r="L685" s="254">
        <f>(L647/L612)*T94</f>
        <v>0</v>
      </c>
      <c r="M685" s="230">
        <f t="shared" si="18"/>
        <v>0</v>
      </c>
      <c r="N685" s="248" t="s">
        <v>618</v>
      </c>
    </row>
    <row r="686" spans="1:14" s="230" customFormat="1" ht="12.6" customHeight="1" x14ac:dyDescent="0.2">
      <c r="A686" s="249">
        <v>7070</v>
      </c>
      <c r="B686" s="248" t="s">
        <v>121</v>
      </c>
      <c r="C686" s="254">
        <f>U85</f>
        <v>22369052.629999999</v>
      </c>
      <c r="D686" s="254">
        <f>(D615/D612)*U90</f>
        <v>432019.578919544</v>
      </c>
      <c r="E686" s="256">
        <f>(E623/E612)*SUM(C686:D686)</f>
        <v>1239886.5533348403</v>
      </c>
      <c r="F686" s="256">
        <f>(F624/F612)*U64</f>
        <v>234178.54434999084</v>
      </c>
      <c r="G686" s="254">
        <f>(G625/G612)*U91</f>
        <v>0</v>
      </c>
      <c r="H686" s="256">
        <f>(H628/H612)*U60</f>
        <v>414162.40353220532</v>
      </c>
      <c r="I686" s="254">
        <f>(I629/I612)*U92</f>
        <v>144279.38811316574</v>
      </c>
      <c r="J686" s="254">
        <f>(J630/J612)*U93</f>
        <v>482.36198237052207</v>
      </c>
      <c r="K686" s="254">
        <f>(K644/K612)*U89</f>
        <v>8727228.9952220246</v>
      </c>
      <c r="L686" s="254">
        <f>(L647/L612)*U94</f>
        <v>6653.0161024787931</v>
      </c>
      <c r="M686" s="230">
        <f t="shared" si="18"/>
        <v>11198891</v>
      </c>
      <c r="N686" s="248" t="s">
        <v>619</v>
      </c>
    </row>
    <row r="687" spans="1:14" s="230" customFormat="1" ht="12.6" customHeight="1" x14ac:dyDescent="0.2">
      <c r="A687" s="249">
        <v>7110</v>
      </c>
      <c r="B687" s="248" t="s">
        <v>620</v>
      </c>
      <c r="C687" s="254">
        <f>V85</f>
        <v>297256.62000000005</v>
      </c>
      <c r="D687" s="254">
        <f>(D615/D612)*V90</f>
        <v>8322.0319662588317</v>
      </c>
      <c r="E687" s="256">
        <f>(E623/E612)*SUM(C687:D687)</f>
        <v>16616.887929109598</v>
      </c>
      <c r="F687" s="256">
        <f>(F624/F612)*V64</f>
        <v>1640.7731389216003</v>
      </c>
      <c r="G687" s="254">
        <f>(G625/G612)*V91</f>
        <v>0</v>
      </c>
      <c r="H687" s="256">
        <f>(H628/H612)*V60</f>
        <v>15105.025172179992</v>
      </c>
      <c r="I687" s="254">
        <f>(I629/I612)*V92</f>
        <v>2780.903526437698</v>
      </c>
      <c r="J687" s="254">
        <f>(J630/J612)*V93</f>
        <v>-8.363941254425046E-2</v>
      </c>
      <c r="K687" s="254">
        <f>(K644/K612)*V89</f>
        <v>157895.95900712753</v>
      </c>
      <c r="L687" s="254">
        <f>(L647/L612)*V94</f>
        <v>0</v>
      </c>
      <c r="M687" s="230">
        <f t="shared" si="18"/>
        <v>202361</v>
      </c>
      <c r="N687" s="248" t="s">
        <v>621</v>
      </c>
    </row>
    <row r="688" spans="1:14" s="230" customFormat="1" ht="12.6" customHeight="1" x14ac:dyDescent="0.2">
      <c r="A688" s="249">
        <v>7120</v>
      </c>
      <c r="B688" s="248" t="s">
        <v>622</v>
      </c>
      <c r="C688" s="254">
        <f>W85</f>
        <v>1510917.5899999999</v>
      </c>
      <c r="D688" s="254">
        <f>(D615/D612)*W90</f>
        <v>86683.178601568492</v>
      </c>
      <c r="E688" s="256">
        <f>(E623/E612)*SUM(C688:D688)</f>
        <v>86875.024667112142</v>
      </c>
      <c r="F688" s="256">
        <f>(F624/F612)*W64</f>
        <v>6773.7354081019948</v>
      </c>
      <c r="G688" s="254">
        <f>(G625/G612)*W91</f>
        <v>0</v>
      </c>
      <c r="H688" s="256">
        <f>(H628/H612)*W60</f>
        <v>31693.848829700444</v>
      </c>
      <c r="I688" s="254">
        <f>(I629/I612)*W92</f>
        <v>28951.962482841907</v>
      </c>
      <c r="J688" s="254">
        <f>(J630/J612)*W93</f>
        <v>5750.2608752829719</v>
      </c>
      <c r="K688" s="254">
        <f>(K644/K612)*W89</f>
        <v>969189.1073236526</v>
      </c>
      <c r="L688" s="254">
        <f>(L647/L612)*W94</f>
        <v>0</v>
      </c>
      <c r="M688" s="230">
        <f t="shared" si="18"/>
        <v>1215917</v>
      </c>
      <c r="N688" s="248" t="s">
        <v>623</v>
      </c>
    </row>
    <row r="689" spans="1:14" s="230" customFormat="1" ht="12.6" customHeight="1" x14ac:dyDescent="0.2">
      <c r="A689" s="249">
        <v>7130</v>
      </c>
      <c r="B689" s="248" t="s">
        <v>624</v>
      </c>
      <c r="C689" s="254">
        <f>X85</f>
        <v>3191608.23</v>
      </c>
      <c r="D689" s="254">
        <f>(D615/D612)*X90</f>
        <v>88414.608071058596</v>
      </c>
      <c r="E689" s="256">
        <f>(E623/E612)*SUM(C689:D689)</f>
        <v>178362.4986707675</v>
      </c>
      <c r="F689" s="256">
        <f>(F624/F612)*X64</f>
        <v>15926.744434271344</v>
      </c>
      <c r="G689" s="254">
        <f>(G625/G612)*X91</f>
        <v>0</v>
      </c>
      <c r="H689" s="256">
        <f>(H628/H612)*X60</f>
        <v>74692.120264673664</v>
      </c>
      <c r="I689" s="254">
        <f>(I629/I612)*X92</f>
        <v>29530.372866594789</v>
      </c>
      <c r="J689" s="254">
        <f>(J630/J612)*X93</f>
        <v>0</v>
      </c>
      <c r="K689" s="254">
        <f>(K644/K612)*X89</f>
        <v>4800689.1655359128</v>
      </c>
      <c r="L689" s="254">
        <f>(L647/L612)*X94</f>
        <v>0</v>
      </c>
      <c r="M689" s="230">
        <f t="shared" si="18"/>
        <v>5187616</v>
      </c>
      <c r="N689" s="248" t="s">
        <v>625</v>
      </c>
    </row>
    <row r="690" spans="1:14" s="230" customFormat="1" ht="12.6" customHeight="1" x14ac:dyDescent="0.2">
      <c r="A690" s="249">
        <v>7140</v>
      </c>
      <c r="B690" s="248" t="s">
        <v>626</v>
      </c>
      <c r="C690" s="254">
        <f>Y85</f>
        <v>38891795.120000005</v>
      </c>
      <c r="D690" s="254">
        <f>(D615/D612)*Y90</f>
        <v>1413851.7932474902</v>
      </c>
      <c r="E690" s="256">
        <f>(E623/E612)*SUM(C690:D690)</f>
        <v>2191757.8775812131</v>
      </c>
      <c r="F690" s="256">
        <f>(F624/F612)*Y64</f>
        <v>272166.58849412942</v>
      </c>
      <c r="G690" s="254">
        <f>(G625/G612)*Y91</f>
        <v>0</v>
      </c>
      <c r="H690" s="256">
        <f>(H628/H612)*Y60</f>
        <v>841024.06639232056</v>
      </c>
      <c r="I690" s="254">
        <f>(I629/I612)*Y92</f>
        <v>472177.38282892539</v>
      </c>
      <c r="J690" s="254">
        <f>(J630/J612)*Y93</f>
        <v>71750.957708076443</v>
      </c>
      <c r="K690" s="254">
        <f>(K644/K612)*Y89</f>
        <v>10896515.484057233</v>
      </c>
      <c r="L690" s="254">
        <f>(L647/L612)*Y94</f>
        <v>372760.96720738633</v>
      </c>
      <c r="M690" s="230">
        <f t="shared" si="18"/>
        <v>16532005</v>
      </c>
      <c r="N690" s="248" t="s">
        <v>627</v>
      </c>
    </row>
    <row r="691" spans="1:14" s="230" customFormat="1" ht="12.6" customHeight="1" x14ac:dyDescent="0.2">
      <c r="A691" s="249">
        <v>7150</v>
      </c>
      <c r="B691" s="248" t="s">
        <v>628</v>
      </c>
      <c r="C691" s="254">
        <f>Z85</f>
        <v>8409166.3600000013</v>
      </c>
      <c r="D691" s="254">
        <f>(D615/D612)*Z90</f>
        <v>460588.16516613052</v>
      </c>
      <c r="E691" s="256">
        <f>(E623/E612)*SUM(C691:D691)</f>
        <v>482323.34279579337</v>
      </c>
      <c r="F691" s="256">
        <f>(F624/F612)*Z64</f>
        <v>23413.634525100355</v>
      </c>
      <c r="G691" s="254">
        <f>(G625/G612)*Z91</f>
        <v>0</v>
      </c>
      <c r="H691" s="256">
        <f>(H628/H612)*Z60</f>
        <v>115416.99620400586</v>
      </c>
      <c r="I691" s="254">
        <f>(I629/I612)*Z92</f>
        <v>153818.40638883752</v>
      </c>
      <c r="J691" s="254">
        <f>(J630/J612)*Z93</f>
        <v>11811.96254633394</v>
      </c>
      <c r="K691" s="254">
        <f>(K644/K612)*Z89</f>
        <v>2362154.8873813483</v>
      </c>
      <c r="L691" s="254">
        <f>(L647/L612)*Z94</f>
        <v>55717.686688314119</v>
      </c>
      <c r="M691" s="230">
        <f t="shared" si="18"/>
        <v>3665245</v>
      </c>
      <c r="N691" s="248" t="s">
        <v>629</v>
      </c>
    </row>
    <row r="692" spans="1:14" s="230" customFormat="1" ht="12.6" customHeight="1" x14ac:dyDescent="0.2">
      <c r="A692" s="249">
        <v>7160</v>
      </c>
      <c r="B692" s="248" t="s">
        <v>630</v>
      </c>
      <c r="C692" s="254">
        <f>AA85</f>
        <v>1060031.78</v>
      </c>
      <c r="D692" s="254">
        <f>(D615/D612)*AA90</f>
        <v>31808.034931438957</v>
      </c>
      <c r="E692" s="256">
        <f>(E623/E612)*SUM(C692:D692)</f>
        <v>59372.537068652229</v>
      </c>
      <c r="F692" s="256">
        <f>(F624/F612)*AA64</f>
        <v>15056.544799922403</v>
      </c>
      <c r="G692" s="254">
        <f>(G625/G612)*AA91</f>
        <v>0</v>
      </c>
      <c r="H692" s="256">
        <f>(H628/H612)*AA60</f>
        <v>15982.059476988115</v>
      </c>
      <c r="I692" s="254">
        <f>(I629/I612)*AA92</f>
        <v>10621.252622010928</v>
      </c>
      <c r="J692" s="254">
        <f>(J630/J612)*AA93</f>
        <v>0</v>
      </c>
      <c r="K692" s="254">
        <f>(K644/K612)*AA89</f>
        <v>300419.34067670949</v>
      </c>
      <c r="L692" s="254">
        <f>(L647/L612)*AA94</f>
        <v>11.761510629139048</v>
      </c>
      <c r="M692" s="230">
        <f t="shared" si="18"/>
        <v>433272</v>
      </c>
      <c r="N692" s="248" t="s">
        <v>631</v>
      </c>
    </row>
    <row r="693" spans="1:14" s="230" customFormat="1" ht="12.6" customHeight="1" x14ac:dyDescent="0.2">
      <c r="A693" s="249">
        <v>7170</v>
      </c>
      <c r="B693" s="248" t="s">
        <v>127</v>
      </c>
      <c r="C693" s="254">
        <f>AB85</f>
        <v>29334047.709999993</v>
      </c>
      <c r="D693" s="254">
        <f>(D615/D612)*AB90</f>
        <v>214892.73818913323</v>
      </c>
      <c r="E693" s="256">
        <f>(E623/E612)*SUM(C693:D693)</f>
        <v>1606825.0471427182</v>
      </c>
      <c r="F693" s="256">
        <f>(F624/F612)*AB64</f>
        <v>670869.18426971394</v>
      </c>
      <c r="G693" s="254">
        <f>(G625/G612)*AB91</f>
        <v>0</v>
      </c>
      <c r="H693" s="256">
        <f>(H628/H612)*AB60</f>
        <v>329132.86442908703</v>
      </c>
      <c r="I693" s="254">
        <f>(I629/I612)*AB92</f>
        <v>71765.299471903374</v>
      </c>
      <c r="J693" s="254">
        <f>(J630/J612)*AB93</f>
        <v>0</v>
      </c>
      <c r="K693" s="254">
        <f>(K644/K612)*AB89</f>
        <v>9168655.6542924456</v>
      </c>
      <c r="L693" s="254">
        <f>(L647/L612)*AB94</f>
        <v>0</v>
      </c>
      <c r="M693" s="230">
        <f t="shared" si="18"/>
        <v>12062141</v>
      </c>
      <c r="N693" s="248" t="s">
        <v>632</v>
      </c>
    </row>
    <row r="694" spans="1:14" s="230" customFormat="1" ht="12.6" customHeight="1" x14ac:dyDescent="0.2">
      <c r="A694" s="249">
        <v>7180</v>
      </c>
      <c r="B694" s="248" t="s">
        <v>633</v>
      </c>
      <c r="C694" s="254">
        <f>AC85</f>
        <v>4149252.8399999994</v>
      </c>
      <c r="D694" s="254">
        <f>(D615/D612)*AC90</f>
        <v>73585.752453328925</v>
      </c>
      <c r="E694" s="256">
        <f>(E623/E612)*SUM(C694:D694)</f>
        <v>229631.34100501199</v>
      </c>
      <c r="F694" s="256">
        <f>(F624/F612)*AC64</f>
        <v>11585.778275278823</v>
      </c>
      <c r="G694" s="254">
        <f>(G625/G612)*AC91</f>
        <v>0</v>
      </c>
      <c r="H694" s="256">
        <f>(H628/H612)*AC60</f>
        <v>132264.8761011046</v>
      </c>
      <c r="I694" s="254">
        <f>(I629/I612)*AC92</f>
        <v>24576.225774400362</v>
      </c>
      <c r="J694" s="254">
        <f>(J630/J612)*AC93</f>
        <v>0</v>
      </c>
      <c r="K694" s="254">
        <f>(K644/K612)*AC89</f>
        <v>1268494.9068751156</v>
      </c>
      <c r="L694" s="254">
        <f>(L647/L612)*AC94</f>
        <v>564.55251019867433</v>
      </c>
      <c r="M694" s="230">
        <f t="shared" si="18"/>
        <v>1740703</v>
      </c>
      <c r="N694" s="248" t="s">
        <v>634</v>
      </c>
    </row>
    <row r="695" spans="1:14" s="230" customFormat="1" ht="12.6" customHeight="1" x14ac:dyDescent="0.2">
      <c r="A695" s="249">
        <v>7190</v>
      </c>
      <c r="B695" s="248" t="s">
        <v>129</v>
      </c>
      <c r="C695" s="254">
        <f>AD85</f>
        <v>0</v>
      </c>
      <c r="D695" s="254">
        <f>(D615/D612)*AD90</f>
        <v>0</v>
      </c>
      <c r="E695" s="256">
        <f>(E623/E612)*SUM(C695:D695)</f>
        <v>0</v>
      </c>
      <c r="F695" s="256">
        <f>(F624/F612)*AD64</f>
        <v>0</v>
      </c>
      <c r="G695" s="254">
        <f>(G625/G612)*AD91</f>
        <v>0</v>
      </c>
      <c r="H695" s="256">
        <f>(H628/H612)*AD60</f>
        <v>0</v>
      </c>
      <c r="I695" s="254">
        <f>(I629/I612)*AD92</f>
        <v>0</v>
      </c>
      <c r="J695" s="254">
        <f>(J630/J612)*AD93</f>
        <v>0</v>
      </c>
      <c r="K695" s="254">
        <f>(K644/K612)*AD89</f>
        <v>0</v>
      </c>
      <c r="L695" s="254">
        <f>(L647/L612)*AD94</f>
        <v>0</v>
      </c>
      <c r="M695" s="230">
        <f t="shared" si="18"/>
        <v>0</v>
      </c>
      <c r="N695" s="248" t="s">
        <v>635</v>
      </c>
    </row>
    <row r="696" spans="1:14" s="230" customFormat="1" ht="12.6" customHeight="1" x14ac:dyDescent="0.2">
      <c r="A696" s="249">
        <v>7200</v>
      </c>
      <c r="B696" s="248" t="s">
        <v>636</v>
      </c>
      <c r="C696" s="254">
        <f>AE85</f>
        <v>9159664.1300000008</v>
      </c>
      <c r="D696" s="254">
        <f>(D615/D612)*AE90</f>
        <v>481979.69699886296</v>
      </c>
      <c r="E696" s="256">
        <f>(E623/E612)*SUM(C696:D696)</f>
        <v>524297.47266285424</v>
      </c>
      <c r="F696" s="256">
        <f>(F624/F612)*AE64</f>
        <v>4646.91586886819</v>
      </c>
      <c r="G696" s="254">
        <f>(G625/G612)*AE91</f>
        <v>0</v>
      </c>
      <c r="H696" s="256">
        <f>(H628/H612)*AE60</f>
        <v>360242.09262476617</v>
      </c>
      <c r="I696" s="254">
        <f>(I629/I612)*AE92</f>
        <v>163483.19784530005</v>
      </c>
      <c r="J696" s="254">
        <f>(J630/J612)*AE93</f>
        <v>0</v>
      </c>
      <c r="K696" s="254">
        <f>(K644/K612)*AE89</f>
        <v>2226028.241400931</v>
      </c>
      <c r="L696" s="254">
        <f>(L647/L612)*AE94</f>
        <v>0</v>
      </c>
      <c r="M696" s="230">
        <f t="shared" si="18"/>
        <v>3760678</v>
      </c>
      <c r="N696" s="248" t="s">
        <v>637</v>
      </c>
    </row>
    <row r="697" spans="1:14" s="230" customFormat="1" ht="12.6" customHeight="1" x14ac:dyDescent="0.2">
      <c r="A697" s="249">
        <v>7220</v>
      </c>
      <c r="B697" s="248" t="s">
        <v>638</v>
      </c>
      <c r="C697" s="254">
        <f>AF85</f>
        <v>0</v>
      </c>
      <c r="D697" s="254">
        <f>(D615/D612)*AF90</f>
        <v>0</v>
      </c>
      <c r="E697" s="256">
        <f>(E623/E612)*SUM(C697:D697)</f>
        <v>0</v>
      </c>
      <c r="F697" s="256">
        <f>(F624/F612)*AF64</f>
        <v>0</v>
      </c>
      <c r="G697" s="254">
        <f>(G625/G612)*AF91</f>
        <v>0</v>
      </c>
      <c r="H697" s="256">
        <f>(H628/H612)*AF60</f>
        <v>0</v>
      </c>
      <c r="I697" s="254">
        <f>(I629/I612)*AF92</f>
        <v>0</v>
      </c>
      <c r="J697" s="254">
        <f>(J630/J612)*AF93</f>
        <v>0</v>
      </c>
      <c r="K697" s="254">
        <f>(K644/K612)*AF89</f>
        <v>0</v>
      </c>
      <c r="L697" s="254">
        <f>(L647/L612)*AF94</f>
        <v>0</v>
      </c>
      <c r="M697" s="230">
        <f t="shared" si="18"/>
        <v>0</v>
      </c>
      <c r="N697" s="248" t="s">
        <v>639</v>
      </c>
    </row>
    <row r="698" spans="1:14" s="230" customFormat="1" ht="12.6" customHeight="1" x14ac:dyDescent="0.2">
      <c r="A698" s="249">
        <v>7230</v>
      </c>
      <c r="B698" s="248" t="s">
        <v>640</v>
      </c>
      <c r="C698" s="254">
        <f>AG85</f>
        <v>21738840.800000001</v>
      </c>
      <c r="D698" s="254">
        <f>(D615/D612)*AG90</f>
        <v>1537621.0740342659</v>
      </c>
      <c r="E698" s="256">
        <f>(E623/E612)*SUM(C698:D698)</f>
        <v>1265737.497885576</v>
      </c>
      <c r="F698" s="256">
        <f>(F624/F612)*AG64</f>
        <v>63839.696169411021</v>
      </c>
      <c r="G698" s="254">
        <f>(G625/G612)*AG91</f>
        <v>0</v>
      </c>
      <c r="H698" s="256">
        <f>(H628/H612)*AG60</f>
        <v>609976.67427528428</v>
      </c>
      <c r="I698" s="254">
        <f>(I629/I612)*AG92</f>
        <v>513508.49750715611</v>
      </c>
      <c r="J698" s="254">
        <f>(J630/J612)*AG93</f>
        <v>94051.990589078705</v>
      </c>
      <c r="K698" s="254">
        <f>(K644/K612)*AG89</f>
        <v>10091134.921254512</v>
      </c>
      <c r="L698" s="254">
        <f>(L647/L612)*AG94</f>
        <v>834500.40866410104</v>
      </c>
      <c r="M698" s="230">
        <f t="shared" si="18"/>
        <v>15010371</v>
      </c>
      <c r="N698" s="248" t="s">
        <v>641</v>
      </c>
    </row>
    <row r="699" spans="1:14" s="230" customFormat="1" ht="12.6" customHeight="1" x14ac:dyDescent="0.2">
      <c r="A699" s="249">
        <v>7240</v>
      </c>
      <c r="B699" s="248" t="s">
        <v>131</v>
      </c>
      <c r="C699" s="254">
        <f>AH85</f>
        <v>0</v>
      </c>
      <c r="D699" s="254">
        <f>(D615/D612)*AH90</f>
        <v>0</v>
      </c>
      <c r="E699" s="256">
        <f>(E623/E612)*SUM(C699:D699)</f>
        <v>0</v>
      </c>
      <c r="F699" s="256">
        <f>(F624/F612)*AH64</f>
        <v>0</v>
      </c>
      <c r="G699" s="254">
        <f>(G625/G612)*AH91</f>
        <v>0</v>
      </c>
      <c r="H699" s="256">
        <f>(H628/H612)*AH60</f>
        <v>0</v>
      </c>
      <c r="I699" s="254">
        <f>(I629/I612)*AH92</f>
        <v>0</v>
      </c>
      <c r="J699" s="254">
        <f>(J630/J612)*AH93</f>
        <v>0</v>
      </c>
      <c r="K699" s="254">
        <f>(K644/K612)*AH89</f>
        <v>0</v>
      </c>
      <c r="L699" s="254">
        <f>(L647/L612)*AH94</f>
        <v>0</v>
      </c>
      <c r="M699" s="230">
        <f t="shared" si="18"/>
        <v>0</v>
      </c>
      <c r="N699" s="248" t="s">
        <v>642</v>
      </c>
    </row>
    <row r="700" spans="1:14" s="230" customFormat="1" ht="12.6" customHeight="1" x14ac:dyDescent="0.2">
      <c r="A700" s="249">
        <v>7250</v>
      </c>
      <c r="B700" s="248" t="s">
        <v>643</v>
      </c>
      <c r="C700" s="254">
        <f>AI85</f>
        <v>0</v>
      </c>
      <c r="D700" s="254">
        <f>(D615/D612)*AI90</f>
        <v>0</v>
      </c>
      <c r="E700" s="256">
        <f>(E623/E612)*SUM(C700:D700)</f>
        <v>0</v>
      </c>
      <c r="F700" s="256">
        <f>(F624/F612)*AI64</f>
        <v>0</v>
      </c>
      <c r="G700" s="254">
        <f>(G625/G612)*AI91</f>
        <v>0</v>
      </c>
      <c r="H700" s="256">
        <f>(H628/H612)*AI60</f>
        <v>0</v>
      </c>
      <c r="I700" s="254">
        <f>(I629/I612)*AI92</f>
        <v>0</v>
      </c>
      <c r="J700" s="254">
        <f>(J630/J612)*AI93</f>
        <v>0</v>
      </c>
      <c r="K700" s="254">
        <f>(K644/K612)*AI89</f>
        <v>0</v>
      </c>
      <c r="L700" s="254">
        <f>(L647/L612)*AI94</f>
        <v>0</v>
      </c>
      <c r="M700" s="230">
        <f t="shared" si="18"/>
        <v>0</v>
      </c>
      <c r="N700" s="248" t="s">
        <v>644</v>
      </c>
    </row>
    <row r="701" spans="1:14" s="230" customFormat="1" ht="12.6" customHeight="1" x14ac:dyDescent="0.2">
      <c r="A701" s="249">
        <v>7260</v>
      </c>
      <c r="B701" s="248" t="s">
        <v>133</v>
      </c>
      <c r="C701" s="254">
        <f>AJ85</f>
        <v>106622224.21000004</v>
      </c>
      <c r="D701" s="254">
        <f>(D615/D612)*AJ90</f>
        <v>4039173.6157844919</v>
      </c>
      <c r="E701" s="256">
        <f>(E623/E612)*SUM(C701:D701)</f>
        <v>6017593.290360854</v>
      </c>
      <c r="F701" s="256">
        <f>(F624/F612)*AJ64</f>
        <v>193380.2827191597</v>
      </c>
      <c r="G701" s="254">
        <f>(G625/G612)*AJ91</f>
        <v>0</v>
      </c>
      <c r="H701" s="256">
        <f>(H628/H612)*AJ60</f>
        <v>2623667.8246470564</v>
      </c>
      <c r="I701" s="254">
        <f>(I629/I612)*AJ92</f>
        <v>1348933.4512482786</v>
      </c>
      <c r="J701" s="254">
        <f>(J630/J612)*AJ93</f>
        <v>16313.079587450797</v>
      </c>
      <c r="K701" s="254">
        <f>(K644/K612)*AJ89</f>
        <v>11285187.515491439</v>
      </c>
      <c r="L701" s="254">
        <f>(L647/L612)*AJ94</f>
        <v>693347.81445635855</v>
      </c>
      <c r="M701" s="230">
        <f t="shared" si="18"/>
        <v>26217597</v>
      </c>
      <c r="N701" s="248" t="s">
        <v>645</v>
      </c>
    </row>
    <row r="702" spans="1:14" s="230" customFormat="1" ht="12.6" customHeight="1" x14ac:dyDescent="0.2">
      <c r="A702" s="249">
        <v>7310</v>
      </c>
      <c r="B702" s="248" t="s">
        <v>646</v>
      </c>
      <c r="C702" s="254">
        <f>AK85</f>
        <v>1342.98</v>
      </c>
      <c r="D702" s="254">
        <f>(D615/D612)*AK90</f>
        <v>0</v>
      </c>
      <c r="E702" s="256">
        <f>(E623/E612)*SUM(C702:D702)</f>
        <v>73.029146530496803</v>
      </c>
      <c r="F702" s="256">
        <f>(F624/F612)*AK64</f>
        <v>0</v>
      </c>
      <c r="G702" s="254">
        <f>(G625/G612)*AK91</f>
        <v>0</v>
      </c>
      <c r="H702" s="256">
        <f>(H628/H612)*AK60</f>
        <v>0</v>
      </c>
      <c r="I702" s="254">
        <f>(I629/I612)*AK92</f>
        <v>0</v>
      </c>
      <c r="J702" s="254">
        <f>(J630/J612)*AK93</f>
        <v>0</v>
      </c>
      <c r="K702" s="254">
        <f>(K644/K612)*AK89</f>
        <v>0</v>
      </c>
      <c r="L702" s="254">
        <f>(L647/L612)*AK94</f>
        <v>0</v>
      </c>
      <c r="M702" s="230">
        <f t="shared" si="18"/>
        <v>73</v>
      </c>
      <c r="N702" s="248" t="s">
        <v>647</v>
      </c>
    </row>
    <row r="703" spans="1:14" s="230" customFormat="1" ht="12.6" customHeight="1" x14ac:dyDescent="0.2">
      <c r="A703" s="249">
        <v>7320</v>
      </c>
      <c r="B703" s="248" t="s">
        <v>648</v>
      </c>
      <c r="C703" s="254">
        <f>AL85</f>
        <v>0</v>
      </c>
      <c r="D703" s="254">
        <f>(D615/D612)*AL90</f>
        <v>0</v>
      </c>
      <c r="E703" s="256">
        <f>(E623/E612)*SUM(C703:D703)</f>
        <v>0</v>
      </c>
      <c r="F703" s="256">
        <f>(F624/F612)*AL64</f>
        <v>0</v>
      </c>
      <c r="G703" s="254">
        <f>(G625/G612)*AL91</f>
        <v>0</v>
      </c>
      <c r="H703" s="256">
        <f>(H628/H612)*AL60</f>
        <v>0</v>
      </c>
      <c r="I703" s="254">
        <f>(I629/I612)*AL92</f>
        <v>0</v>
      </c>
      <c r="J703" s="254">
        <f>(J630/J612)*AL93</f>
        <v>0</v>
      </c>
      <c r="K703" s="254">
        <f>(K644/K612)*AL89</f>
        <v>0</v>
      </c>
      <c r="L703" s="254">
        <f>(L647/L612)*AL94</f>
        <v>0</v>
      </c>
      <c r="M703" s="230">
        <f t="shared" si="18"/>
        <v>0</v>
      </c>
      <c r="N703" s="248" t="s">
        <v>649</v>
      </c>
    </row>
    <row r="704" spans="1:14" s="230" customFormat="1" ht="12.6" customHeight="1" x14ac:dyDescent="0.2">
      <c r="A704" s="249">
        <v>7330</v>
      </c>
      <c r="B704" s="248" t="s">
        <v>650</v>
      </c>
      <c r="C704" s="254">
        <f>AM85</f>
        <v>0</v>
      </c>
      <c r="D704" s="254">
        <f>(D615/D612)*AM90</f>
        <v>0</v>
      </c>
      <c r="E704" s="256">
        <f>(E623/E612)*SUM(C704:D704)</f>
        <v>0</v>
      </c>
      <c r="F704" s="256">
        <f>(F624/F612)*AM64</f>
        <v>0</v>
      </c>
      <c r="G704" s="254">
        <f>(G625/G612)*AM91</f>
        <v>0</v>
      </c>
      <c r="H704" s="256">
        <f>(H628/H612)*AM60</f>
        <v>0</v>
      </c>
      <c r="I704" s="254">
        <f>(I629/I612)*AM92</f>
        <v>0</v>
      </c>
      <c r="J704" s="254">
        <f>(J630/J612)*AM93</f>
        <v>0</v>
      </c>
      <c r="K704" s="254">
        <f>(K644/K612)*AM89</f>
        <v>0</v>
      </c>
      <c r="L704" s="254">
        <f>(L647/L612)*AM94</f>
        <v>0</v>
      </c>
      <c r="M704" s="230">
        <f t="shared" si="18"/>
        <v>0</v>
      </c>
      <c r="N704" s="248" t="s">
        <v>651</v>
      </c>
    </row>
    <row r="705" spans="1:14" s="230" customFormat="1" ht="12.6" customHeight="1" x14ac:dyDescent="0.2">
      <c r="A705" s="249">
        <v>7340</v>
      </c>
      <c r="B705" s="248" t="s">
        <v>652</v>
      </c>
      <c r="C705" s="254">
        <f>AN85</f>
        <v>0</v>
      </c>
      <c r="D705" s="254">
        <f>(D615/D612)*AN90</f>
        <v>0</v>
      </c>
      <c r="E705" s="256">
        <f>(E623/E612)*SUM(C705:D705)</f>
        <v>0</v>
      </c>
      <c r="F705" s="256">
        <f>(F624/F612)*AN64</f>
        <v>0</v>
      </c>
      <c r="G705" s="254">
        <f>(G625/G612)*AN91</f>
        <v>0</v>
      </c>
      <c r="H705" s="256">
        <f>(H628/H612)*AN60</f>
        <v>0</v>
      </c>
      <c r="I705" s="254">
        <f>(I629/I612)*AN92</f>
        <v>0</v>
      </c>
      <c r="J705" s="254">
        <f>(J630/J612)*AN93</f>
        <v>0</v>
      </c>
      <c r="K705" s="254">
        <f>(K644/K612)*AN89</f>
        <v>0</v>
      </c>
      <c r="L705" s="254">
        <f>(L647/L612)*AN94</f>
        <v>0</v>
      </c>
      <c r="M705" s="230">
        <f t="shared" si="18"/>
        <v>0</v>
      </c>
      <c r="N705" s="248" t="s">
        <v>653</v>
      </c>
    </row>
    <row r="706" spans="1:14" s="230" customFormat="1" ht="12.6" customHeight="1" x14ac:dyDescent="0.2">
      <c r="A706" s="249">
        <v>7350</v>
      </c>
      <c r="B706" s="248" t="s">
        <v>654</v>
      </c>
      <c r="C706" s="254">
        <f>AO85</f>
        <v>0</v>
      </c>
      <c r="D706" s="254">
        <f>(D615/D612)*AO90</f>
        <v>0</v>
      </c>
      <c r="E706" s="256">
        <f>(E623/E612)*SUM(C706:D706)</f>
        <v>0</v>
      </c>
      <c r="F706" s="256">
        <f>(F624/F612)*AO64</f>
        <v>0</v>
      </c>
      <c r="G706" s="254">
        <f>(G625/G612)*AO91</f>
        <v>0</v>
      </c>
      <c r="H706" s="256">
        <f>(H628/H612)*AO60</f>
        <v>0</v>
      </c>
      <c r="I706" s="254">
        <f>(I629/I612)*AO92</f>
        <v>0</v>
      </c>
      <c r="J706" s="254">
        <f>(J630/J612)*AO93</f>
        <v>0</v>
      </c>
      <c r="K706" s="254">
        <f>(K644/K612)*AO89</f>
        <v>0</v>
      </c>
      <c r="L706" s="254">
        <f>(L647/L612)*AO94</f>
        <v>0</v>
      </c>
      <c r="M706" s="230">
        <f t="shared" si="18"/>
        <v>0</v>
      </c>
      <c r="N706" s="248" t="s">
        <v>655</v>
      </c>
    </row>
    <row r="707" spans="1:14" s="230" customFormat="1" ht="12.6" customHeight="1" x14ac:dyDescent="0.2">
      <c r="A707" s="249">
        <v>7380</v>
      </c>
      <c r="B707" s="248" t="s">
        <v>656</v>
      </c>
      <c r="C707" s="254">
        <f>AP85</f>
        <v>88967688.780000016</v>
      </c>
      <c r="D707" s="254">
        <f>(D615/D612)*AP90</f>
        <v>1283715.3202180737</v>
      </c>
      <c r="E707" s="256">
        <f>(E623/E612)*SUM(C707:D707)</f>
        <v>4907729.8356028441</v>
      </c>
      <c r="F707" s="256">
        <f>(F624/F612)*AP64</f>
        <v>276282.79618071753</v>
      </c>
      <c r="G707" s="254">
        <f>(G625/G612)*AP91</f>
        <v>0</v>
      </c>
      <c r="H707" s="256">
        <f>(H628/H612)*AP60</f>
        <v>2095345.9303036036</v>
      </c>
      <c r="I707" s="254">
        <f>(I629/I612)*AP92</f>
        <v>428711.04903494439</v>
      </c>
      <c r="J707" s="254">
        <f>(J630/J612)*AP93</f>
        <v>0</v>
      </c>
      <c r="K707" s="254">
        <f>(K644/K612)*AP89</f>
        <v>7945325.7170613725</v>
      </c>
      <c r="L707" s="254">
        <f>(L647/L612)*AP94</f>
        <v>198583.99180227521</v>
      </c>
      <c r="M707" s="230">
        <f t="shared" si="18"/>
        <v>17135695</v>
      </c>
      <c r="N707" s="248" t="s">
        <v>657</v>
      </c>
    </row>
    <row r="708" spans="1:14" s="230" customFormat="1" ht="12.6" customHeight="1" x14ac:dyDescent="0.2">
      <c r="A708" s="249">
        <v>7390</v>
      </c>
      <c r="B708" s="248" t="s">
        <v>658</v>
      </c>
      <c r="C708" s="254">
        <f>AQ85</f>
        <v>0</v>
      </c>
      <c r="D708" s="254">
        <f>(D615/D612)*AQ90</f>
        <v>0</v>
      </c>
      <c r="E708" s="256">
        <f>(E623/E612)*SUM(C708:D708)</f>
        <v>0</v>
      </c>
      <c r="F708" s="256">
        <f>(F624/F612)*AQ64</f>
        <v>0</v>
      </c>
      <c r="G708" s="254">
        <f>(G625/G612)*AQ91</f>
        <v>0</v>
      </c>
      <c r="H708" s="256">
        <f>(H628/H612)*AQ60</f>
        <v>0</v>
      </c>
      <c r="I708" s="254">
        <f>(I629/I612)*AQ92</f>
        <v>0</v>
      </c>
      <c r="J708" s="254">
        <f>(J630/J612)*AQ93</f>
        <v>0</v>
      </c>
      <c r="K708" s="254">
        <f>(K644/K612)*AQ89</f>
        <v>0</v>
      </c>
      <c r="L708" s="254">
        <f>(L647/L612)*AQ94</f>
        <v>0</v>
      </c>
      <c r="M708" s="230">
        <f t="shared" si="18"/>
        <v>0</v>
      </c>
      <c r="N708" s="248" t="s">
        <v>659</v>
      </c>
    </row>
    <row r="709" spans="1:14" s="230" customFormat="1" ht="12.6" customHeight="1" x14ac:dyDescent="0.2">
      <c r="A709" s="249">
        <v>7400</v>
      </c>
      <c r="B709" s="248" t="s">
        <v>660</v>
      </c>
      <c r="C709" s="254">
        <f>AR85</f>
        <v>77488308.140000001</v>
      </c>
      <c r="D709" s="254">
        <f>(D615/D612)*AR90</f>
        <v>0</v>
      </c>
      <c r="E709" s="256">
        <f>(E623/E612)*SUM(C709:D709)</f>
        <v>4213692.6905511245</v>
      </c>
      <c r="F709" s="256">
        <f>(F624/F612)*AR64</f>
        <v>132809.17603676117</v>
      </c>
      <c r="G709" s="254">
        <f>(G625/G612)*AR91</f>
        <v>0</v>
      </c>
      <c r="H709" s="256">
        <f>(H628/H612)*AR60</f>
        <v>2644256.7494976344</v>
      </c>
      <c r="I709" s="254">
        <f>(I629/I612)*AR92</f>
        <v>0</v>
      </c>
      <c r="J709" s="254">
        <f>(J630/J612)*AR93</f>
        <v>0</v>
      </c>
      <c r="K709" s="254">
        <f>(K644/K612)*AR89</f>
        <v>8091896.7573343581</v>
      </c>
      <c r="L709" s="254">
        <f>(L647/L612)*AR94</f>
        <v>2141451.172477108</v>
      </c>
      <c r="M709" s="230">
        <f t="shared" si="18"/>
        <v>17224107</v>
      </c>
      <c r="N709" s="248" t="s">
        <v>661</v>
      </c>
    </row>
    <row r="710" spans="1:14" s="230" customFormat="1" ht="12.6" customHeight="1" x14ac:dyDescent="0.2">
      <c r="A710" s="249">
        <v>7410</v>
      </c>
      <c r="B710" s="248" t="s">
        <v>141</v>
      </c>
      <c r="C710" s="254">
        <f>AS85</f>
        <v>0</v>
      </c>
      <c r="D710" s="254">
        <f>(D615/D612)*AS90</f>
        <v>0</v>
      </c>
      <c r="E710" s="256">
        <f>(E623/E612)*SUM(C710:D710)</f>
        <v>0</v>
      </c>
      <c r="F710" s="256">
        <f>(F624/F612)*AS64</f>
        <v>0</v>
      </c>
      <c r="G710" s="254">
        <f>(G625/G612)*AS91</f>
        <v>0</v>
      </c>
      <c r="H710" s="256">
        <f>(H628/H612)*AS60</f>
        <v>0</v>
      </c>
      <c r="I710" s="254">
        <f>(I629/I612)*AS92</f>
        <v>0</v>
      </c>
      <c r="J710" s="254">
        <f>(J630/J612)*AS93</f>
        <v>0</v>
      </c>
      <c r="K710" s="254">
        <f>(K644/K612)*AS89</f>
        <v>0</v>
      </c>
      <c r="L710" s="254">
        <f>(L647/L612)*AS94</f>
        <v>0</v>
      </c>
      <c r="M710" s="230">
        <f t="shared" si="18"/>
        <v>0</v>
      </c>
      <c r="N710" s="248" t="s">
        <v>662</v>
      </c>
    </row>
    <row r="711" spans="1:14" s="230" customFormat="1" ht="12.6" customHeight="1" x14ac:dyDescent="0.2">
      <c r="A711" s="249">
        <v>7420</v>
      </c>
      <c r="B711" s="248" t="s">
        <v>663</v>
      </c>
      <c r="C711" s="254">
        <f>AT85</f>
        <v>0</v>
      </c>
      <c r="D711" s="254">
        <f>(D615/D612)*AT90</f>
        <v>0</v>
      </c>
      <c r="E711" s="256">
        <f>(E623/E612)*SUM(C711:D711)</f>
        <v>0</v>
      </c>
      <c r="F711" s="256">
        <f>(F624/F612)*AT64</f>
        <v>0</v>
      </c>
      <c r="G711" s="254">
        <f>(G625/G612)*AT91</f>
        <v>0</v>
      </c>
      <c r="H711" s="256">
        <f>(H628/H612)*AT60</f>
        <v>0</v>
      </c>
      <c r="I711" s="254">
        <f>(I629/I612)*AT92</f>
        <v>0</v>
      </c>
      <c r="J711" s="254">
        <f>(J630/J612)*AT93</f>
        <v>0</v>
      </c>
      <c r="K711" s="254">
        <f>(K644/K612)*AT89</f>
        <v>0</v>
      </c>
      <c r="L711" s="254">
        <f>(L647/L612)*AT94</f>
        <v>0</v>
      </c>
      <c r="M711" s="230">
        <f t="shared" si="18"/>
        <v>0</v>
      </c>
      <c r="N711" s="248" t="s">
        <v>664</v>
      </c>
    </row>
    <row r="712" spans="1:14" s="230" customFormat="1" ht="12.6" customHeight="1" x14ac:dyDescent="0.2">
      <c r="A712" s="249">
        <v>7430</v>
      </c>
      <c r="B712" s="248" t="s">
        <v>665</v>
      </c>
      <c r="C712" s="254">
        <f>AU85</f>
        <v>0</v>
      </c>
      <c r="D712" s="254">
        <f>(D615/D612)*AU90</f>
        <v>0</v>
      </c>
      <c r="E712" s="256">
        <f>(E623/E612)*SUM(C712:D712)</f>
        <v>0</v>
      </c>
      <c r="F712" s="256">
        <f>(F624/F612)*AU64</f>
        <v>0</v>
      </c>
      <c r="G712" s="254">
        <f>(G625/G612)*AU91</f>
        <v>0</v>
      </c>
      <c r="H712" s="256">
        <f>(H628/H612)*AU60</f>
        <v>0</v>
      </c>
      <c r="I712" s="254">
        <f>(I629/I612)*AU92</f>
        <v>0</v>
      </c>
      <c r="J712" s="254">
        <f>(J630/J612)*AU93</f>
        <v>0</v>
      </c>
      <c r="K712" s="254">
        <f>(K644/K612)*AU89</f>
        <v>0</v>
      </c>
      <c r="L712" s="254">
        <f>(L647/L612)*AU94</f>
        <v>0</v>
      </c>
      <c r="M712" s="230">
        <f t="shared" si="18"/>
        <v>0</v>
      </c>
      <c r="N712" s="248" t="s">
        <v>666</v>
      </c>
    </row>
    <row r="713" spans="1:14" s="230" customFormat="1" ht="12.6" customHeight="1" x14ac:dyDescent="0.2">
      <c r="A713" s="249">
        <v>7490</v>
      </c>
      <c r="B713" s="248" t="s">
        <v>667</v>
      </c>
      <c r="C713" s="254">
        <f>AV85</f>
        <v>4417105.6599999983</v>
      </c>
      <c r="D713" s="254">
        <f>(D615/D612)*AV90</f>
        <v>366811.71099600586</v>
      </c>
      <c r="E713" s="256">
        <f>(E623/E612)*SUM(C713:D713)</f>
        <v>260141.92517852553</v>
      </c>
      <c r="F713" s="256">
        <f>(F624/F612)*AV64</f>
        <v>312748.20653501601</v>
      </c>
      <c r="G713" s="254">
        <f>(G625/G612)*AV91</f>
        <v>0</v>
      </c>
      <c r="H713" s="256">
        <f>(H628/H612)*AV60</f>
        <v>128814.87538087982</v>
      </c>
      <c r="I713" s="254">
        <f>(I629/I612)*AV92</f>
        <v>122498.69065366712</v>
      </c>
      <c r="J713" s="254">
        <f>(J630/J612)*AV93</f>
        <v>7866.704946849477</v>
      </c>
      <c r="K713" s="254">
        <f>(K644/K612)*AV89</f>
        <v>1717985.7010917442</v>
      </c>
      <c r="L713" s="254">
        <f>(L647/L612)*AV94</f>
        <v>94286.796841577787</v>
      </c>
      <c r="M713" s="230">
        <f t="shared" si="18"/>
        <v>3011155</v>
      </c>
      <c r="N713" s="250" t="s">
        <v>668</v>
      </c>
    </row>
    <row r="714" spans="1:14" s="230" customFormat="1" ht="12.6" customHeight="1" x14ac:dyDescent="0.2"/>
    <row r="715" spans="1:14" s="230" customFormat="1" ht="12.6" customHeight="1" x14ac:dyDescent="0.2">
      <c r="C715" s="251">
        <f>SUM(C614:C647)+SUM(C668:C713)</f>
        <v>892086629.92999995</v>
      </c>
      <c r="D715" s="230">
        <f>SUM(D616:D647)+SUM(D668:D713)</f>
        <v>25862780.879999999</v>
      </c>
      <c r="E715" s="230">
        <f>SUM(E624:E647)+SUM(E668:E713)</f>
        <v>46008407.060562685</v>
      </c>
      <c r="F715" s="230">
        <f>SUM(F625:F648)+SUM(F668:F713)</f>
        <v>4083451.5973862284</v>
      </c>
      <c r="G715" s="230">
        <f>SUM(G626:G647)+SUM(G668:G713)</f>
        <v>0</v>
      </c>
      <c r="H715" s="230">
        <f>SUM(H629:H647)+SUM(H668:H713)</f>
        <v>20116181.526801325</v>
      </c>
      <c r="I715" s="230">
        <f>SUM(I630:I647)+SUM(I668:I713)</f>
        <v>7827308.6835674392</v>
      </c>
      <c r="J715" s="230">
        <f>SUM(J631:J647)+SUM(J668:J713)</f>
        <v>614496.68107143126</v>
      </c>
      <c r="K715" s="230">
        <f>SUM(K668:K713)</f>
        <v>127288285.39437123</v>
      </c>
      <c r="L715" s="230">
        <f>SUM(L668:L713)</f>
        <v>12033378.94706</v>
      </c>
      <c r="M715" s="230">
        <f>SUM(M668:M713)</f>
        <v>224269138</v>
      </c>
      <c r="N715" s="248" t="s">
        <v>669</v>
      </c>
    </row>
    <row r="716" spans="1:14" s="230" customFormat="1" ht="12.6" customHeight="1" x14ac:dyDescent="0.2">
      <c r="C716" s="251">
        <f>CE85</f>
        <v>892086629.92999971</v>
      </c>
      <c r="D716" s="230">
        <f>D615</f>
        <v>25862780.879999999</v>
      </c>
      <c r="E716" s="230">
        <f>E623</f>
        <v>46008407.060562678</v>
      </c>
      <c r="F716" s="230">
        <f>F624</f>
        <v>4083451.5973862302</v>
      </c>
      <c r="G716" s="230">
        <f>G625</f>
        <v>0</v>
      </c>
      <c r="H716" s="230">
        <f>H628</f>
        <v>20116181.526801329</v>
      </c>
      <c r="I716" s="230">
        <f>I629</f>
        <v>7827308.6835674373</v>
      </c>
      <c r="J716" s="230">
        <f>J630</f>
        <v>614496.68107143126</v>
      </c>
      <c r="K716" s="230">
        <f>K644</f>
        <v>127288285.39437126</v>
      </c>
      <c r="L716" s="230">
        <f>L647</f>
        <v>12033378.94706</v>
      </c>
      <c r="M716" s="230">
        <f>C648</f>
        <v>224269136.12</v>
      </c>
      <c r="N716" s="248" t="s">
        <v>670</v>
      </c>
    </row>
  </sheetData>
  <mergeCells count="1">
    <mergeCell ref="B236:C236"/>
  </mergeCells>
  <hyperlinks>
    <hyperlink ref="F42" r:id="rId1" xr:uid="{00000000-0004-0000-0000-000001000000}"/>
    <hyperlink ref="A43" r:id="rId2" xr:uid="{00000000-0004-0000-0000-000002000000}"/>
    <hyperlink ref="C30" r:id="rId3" xr:uid="{E610A3B0-585E-4CCA-8285-658697B15B7A}"/>
    <hyperlink ref="C110" r:id="rId4" xr:uid="{A402BC17-A1DF-4ABB-AD6B-8E36D8217D54}"/>
  </hyperlinks>
  <printOptions horizontalCentered="1" gridLines="1" gridLinesSet="0"/>
  <pageMargins left="0.25" right="0.25" top="0.5" bottom="0.5" header="0.5" footer="0.5"/>
  <pageSetup scale="66" fitToWidth="0" orientation="landscape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740BF-98B5-4C51-994E-D2B7D208D116}">
  <sheetPr codeName="Sheet2">
    <tabColor rgb="FF92D050"/>
    <pageSetUpPr fitToPage="1"/>
  </sheetPr>
  <dimension ref="B1:J42"/>
  <sheetViews>
    <sheetView workbookViewId="0">
      <selection activeCell="E21" sqref="E21"/>
    </sheetView>
  </sheetViews>
  <sheetFormatPr defaultColWidth="10.77734375" defaultRowHeight="15" x14ac:dyDescent="0.25"/>
  <cols>
    <col min="1" max="1" width="2.77734375" style="11" customWidth="1"/>
    <col min="2" max="3" width="10.77734375" style="11" customWidth="1"/>
    <col min="4" max="4" width="2.77734375" style="11" customWidth="1"/>
    <col min="5" max="6" width="10.77734375" style="11" customWidth="1"/>
    <col min="7" max="7" width="2.77734375" style="11" customWidth="1"/>
    <col min="8" max="8" width="10.77734375" style="11" customWidth="1"/>
    <col min="9" max="10" width="8.77734375" style="11" customWidth="1"/>
    <col min="11" max="11" width="2.77734375" style="11" customWidth="1"/>
    <col min="12" max="13" width="10.77734375" style="11" customWidth="1"/>
    <col min="14" max="16384" width="10.77734375" style="11"/>
  </cols>
  <sheetData>
    <row r="1" spans="2:10" x14ac:dyDescent="0.25">
      <c r="J1" s="107" t="s">
        <v>671</v>
      </c>
    </row>
    <row r="2" spans="2:10" x14ac:dyDescent="0.25">
      <c r="B2" s="108"/>
      <c r="C2" s="109"/>
      <c r="D2" s="109"/>
      <c r="E2" s="109"/>
      <c r="F2" s="109"/>
      <c r="G2" s="109"/>
      <c r="H2" s="109"/>
      <c r="I2" s="109"/>
      <c r="J2" s="110"/>
    </row>
    <row r="3" spans="2:10" x14ac:dyDescent="0.25">
      <c r="B3" s="111"/>
      <c r="F3" s="9" t="s">
        <v>672</v>
      </c>
      <c r="G3" s="9"/>
      <c r="J3" s="112"/>
    </row>
    <row r="4" spans="2:10" x14ac:dyDescent="0.25">
      <c r="B4" s="111"/>
      <c r="F4" s="9" t="s">
        <v>673</v>
      </c>
      <c r="G4" s="9"/>
      <c r="J4" s="112"/>
    </row>
    <row r="5" spans="2:10" x14ac:dyDescent="0.25">
      <c r="B5" s="111"/>
      <c r="J5" s="112"/>
    </row>
    <row r="6" spans="2:10" x14ac:dyDescent="0.25">
      <c r="B6" s="113"/>
      <c r="C6" s="114"/>
      <c r="D6" s="114"/>
      <c r="E6" s="114"/>
      <c r="F6" s="114"/>
      <c r="G6" s="114"/>
      <c r="H6" s="114"/>
      <c r="I6" s="114"/>
      <c r="J6" s="115"/>
    </row>
    <row r="7" spans="2:10" x14ac:dyDescent="0.25">
      <c r="B7" s="111"/>
      <c r="J7" s="112"/>
    </row>
    <row r="8" spans="2:10" x14ac:dyDescent="0.25">
      <c r="B8" s="111"/>
      <c r="F8" s="9" t="s">
        <v>674</v>
      </c>
      <c r="G8" s="9"/>
      <c r="J8" s="112"/>
    </row>
    <row r="9" spans="2:10" x14ac:dyDescent="0.25">
      <c r="B9" s="108"/>
      <c r="C9" s="109"/>
      <c r="D9" s="109"/>
      <c r="E9" s="109"/>
      <c r="F9" s="116" t="s">
        <v>675</v>
      </c>
      <c r="G9" s="116"/>
      <c r="H9" s="109"/>
      <c r="I9" s="109"/>
      <c r="J9" s="110"/>
    </row>
    <row r="10" spans="2:10" x14ac:dyDescent="0.25">
      <c r="B10" s="111"/>
      <c r="F10" s="9" t="s">
        <v>676</v>
      </c>
      <c r="G10" s="9"/>
      <c r="J10" s="112"/>
    </row>
    <row r="11" spans="2:10" x14ac:dyDescent="0.25">
      <c r="B11" s="111"/>
      <c r="F11" s="9"/>
      <c r="G11" s="9"/>
      <c r="J11" s="112"/>
    </row>
    <row r="12" spans="2:10" x14ac:dyDescent="0.25">
      <c r="B12" s="111"/>
      <c r="F12" s="9" t="s">
        <v>677</v>
      </c>
      <c r="G12" s="9"/>
      <c r="J12" s="112"/>
    </row>
    <row r="13" spans="2:10" x14ac:dyDescent="0.25">
      <c r="B13" s="111"/>
      <c r="F13" s="9" t="s">
        <v>678</v>
      </c>
      <c r="G13" s="9"/>
      <c r="J13" s="112"/>
    </row>
    <row r="14" spans="2:10" x14ac:dyDescent="0.25">
      <c r="B14" s="113"/>
      <c r="C14" s="114"/>
      <c r="D14" s="114"/>
      <c r="E14" s="114"/>
      <c r="F14" s="114"/>
      <c r="G14" s="114"/>
      <c r="H14" s="114"/>
      <c r="I14" s="114"/>
      <c r="J14" s="115"/>
    </row>
    <row r="15" spans="2:10" x14ac:dyDescent="0.25">
      <c r="B15" s="111"/>
      <c r="J15" s="112"/>
    </row>
    <row r="16" spans="2:10" x14ac:dyDescent="0.25">
      <c r="B16" s="111"/>
      <c r="F16" s="11" t="s">
        <v>679</v>
      </c>
      <c r="J16" s="112"/>
    </row>
    <row r="17" spans="2:10" x14ac:dyDescent="0.25">
      <c r="B17" s="108"/>
      <c r="C17" s="117" t="s">
        <v>680</v>
      </c>
      <c r="D17" s="117"/>
      <c r="E17" s="109" t="str">
        <f>+data!C98</f>
        <v>EvergreenHealth Kirkland / King Country Public Hos #2</v>
      </c>
      <c r="F17" s="116"/>
      <c r="G17" s="116"/>
      <c r="H17" s="109"/>
      <c r="I17" s="109"/>
      <c r="J17" s="110"/>
    </row>
    <row r="18" spans="2:10" x14ac:dyDescent="0.25">
      <c r="B18" s="111"/>
      <c r="C18" s="65" t="s">
        <v>681</v>
      </c>
      <c r="D18" s="65"/>
      <c r="E18" s="11" t="str">
        <f>+"H-"&amp;data!C97</f>
        <v>H-164</v>
      </c>
      <c r="F18" s="9"/>
      <c r="G18" s="9"/>
      <c r="J18" s="112"/>
    </row>
    <row r="19" spans="2:10" x14ac:dyDescent="0.25">
      <c r="B19" s="111"/>
      <c r="C19" s="65" t="s">
        <v>682</v>
      </c>
      <c r="D19" s="65"/>
      <c r="E19" s="11" t="str">
        <f>+data!C99</f>
        <v>12040 NE 128th Street</v>
      </c>
      <c r="F19" s="9"/>
      <c r="G19" s="9"/>
      <c r="J19" s="112"/>
    </row>
    <row r="20" spans="2:10" x14ac:dyDescent="0.25">
      <c r="B20" s="111"/>
      <c r="C20" s="65" t="s">
        <v>683</v>
      </c>
      <c r="D20" s="65"/>
      <c r="F20" s="9"/>
      <c r="G20" s="9"/>
      <c r="J20" s="112"/>
    </row>
    <row r="21" spans="2:10" x14ac:dyDescent="0.25">
      <c r="B21" s="111"/>
      <c r="C21" s="65" t="s">
        <v>684</v>
      </c>
      <c r="D21" s="65"/>
      <c r="E21" s="11" t="s">
        <v>1385</v>
      </c>
      <c r="F21" s="9"/>
      <c r="G21" s="9"/>
      <c r="J21" s="112"/>
    </row>
    <row r="22" spans="2:10" x14ac:dyDescent="0.25">
      <c r="B22" s="113"/>
      <c r="C22" s="114"/>
      <c r="D22" s="114"/>
      <c r="E22" s="114"/>
      <c r="F22" s="114"/>
      <c r="G22" s="114"/>
      <c r="H22" s="114"/>
      <c r="I22" s="114"/>
      <c r="J22" s="115"/>
    </row>
    <row r="23" spans="2:10" x14ac:dyDescent="0.25">
      <c r="B23" s="111"/>
      <c r="J23" s="112"/>
    </row>
    <row r="24" spans="2:10" x14ac:dyDescent="0.25">
      <c r="B24" s="111"/>
      <c r="J24" s="112"/>
    </row>
    <row r="25" spans="2:10" x14ac:dyDescent="0.25">
      <c r="B25" s="111"/>
      <c r="J25" s="112"/>
    </row>
    <row r="26" spans="2:10" x14ac:dyDescent="0.25">
      <c r="B26" s="118"/>
      <c r="C26" s="119"/>
      <c r="D26" s="119"/>
      <c r="E26" s="119"/>
      <c r="F26" s="120" t="s">
        <v>685</v>
      </c>
      <c r="G26" s="119"/>
      <c r="H26" s="119"/>
      <c r="I26" s="119"/>
      <c r="J26" s="121"/>
    </row>
    <row r="27" spans="2:10" x14ac:dyDescent="0.25">
      <c r="B27" s="122" t="s">
        <v>686</v>
      </c>
      <c r="C27" s="123"/>
      <c r="D27" s="123"/>
      <c r="E27" s="123"/>
      <c r="F27" s="123"/>
      <c r="G27" s="123"/>
      <c r="H27" s="123"/>
      <c r="I27" s="123"/>
      <c r="J27" s="124"/>
    </row>
    <row r="28" spans="2:10" x14ac:dyDescent="0.25">
      <c r="B28" s="111" t="str">
        <f>+"by the Department of Health for the fiscal year ended "&amp;data!C96&amp;"."</f>
        <v>by the Department of Health for the fiscal year ended 12/31/2022.</v>
      </c>
      <c r="J28" s="112"/>
    </row>
    <row r="29" spans="2:10" x14ac:dyDescent="0.25">
      <c r="B29" s="111" t="s">
        <v>687</v>
      </c>
      <c r="J29" s="112"/>
    </row>
    <row r="30" spans="2:10" x14ac:dyDescent="0.25">
      <c r="B30" s="125" t="s">
        <v>688</v>
      </c>
      <c r="C30" s="126"/>
      <c r="D30" s="126"/>
      <c r="E30" s="126"/>
      <c r="F30" s="126"/>
      <c r="G30" s="126"/>
      <c r="H30" s="126"/>
      <c r="I30" s="126"/>
      <c r="J30" s="127"/>
    </row>
    <row r="31" spans="2:10" x14ac:dyDescent="0.25">
      <c r="B31" s="122"/>
      <c r="C31" s="123"/>
      <c r="D31" s="123"/>
      <c r="E31" s="123"/>
      <c r="F31" s="123"/>
      <c r="G31" s="123"/>
      <c r="H31" s="123"/>
      <c r="I31" s="123"/>
      <c r="J31" s="124"/>
    </row>
    <row r="32" spans="2:10" x14ac:dyDescent="0.25">
      <c r="B32" s="111"/>
      <c r="J32" s="112"/>
    </row>
    <row r="33" spans="2:10" x14ac:dyDescent="0.25">
      <c r="B33" s="128" t="s">
        <v>233</v>
      </c>
      <c r="C33" s="126"/>
      <c r="D33" s="126"/>
      <c r="E33" s="126"/>
      <c r="F33" s="126"/>
      <c r="G33" s="126"/>
      <c r="H33" s="126"/>
      <c r="I33" s="126"/>
      <c r="J33" s="127"/>
    </row>
    <row r="34" spans="2:10" x14ac:dyDescent="0.25">
      <c r="B34" s="118" t="s">
        <v>689</v>
      </c>
      <c r="C34" s="119"/>
      <c r="D34" s="119"/>
      <c r="E34" s="119"/>
      <c r="F34" s="120"/>
      <c r="G34" s="119"/>
      <c r="H34" s="119"/>
      <c r="I34" s="119"/>
      <c r="J34" s="121"/>
    </row>
    <row r="35" spans="2:10" x14ac:dyDescent="0.25">
      <c r="B35" s="118" t="s">
        <v>1381</v>
      </c>
      <c r="C35" s="119"/>
      <c r="D35" s="119"/>
      <c r="E35" s="119"/>
      <c r="F35" s="120"/>
      <c r="G35" s="119"/>
      <c r="H35" s="119"/>
      <c r="I35" s="119"/>
      <c r="J35" s="121"/>
    </row>
    <row r="36" spans="2:10" x14ac:dyDescent="0.25">
      <c r="B36" s="118" t="s">
        <v>690</v>
      </c>
      <c r="C36" s="119"/>
      <c r="D36" s="119"/>
      <c r="E36" s="119"/>
      <c r="F36" s="120"/>
      <c r="G36" s="119"/>
      <c r="H36" s="119"/>
      <c r="I36" s="119"/>
      <c r="J36" s="121"/>
    </row>
    <row r="37" spans="2:10" x14ac:dyDescent="0.25">
      <c r="B37" s="122"/>
      <c r="C37" s="123"/>
      <c r="D37" s="123"/>
      <c r="E37" s="123"/>
      <c r="F37" s="123"/>
      <c r="G37" s="123"/>
      <c r="H37" s="123"/>
      <c r="I37" s="123"/>
      <c r="J37" s="124"/>
    </row>
    <row r="38" spans="2:10" x14ac:dyDescent="0.25">
      <c r="B38" s="111"/>
      <c r="J38" s="112"/>
    </row>
    <row r="39" spans="2:10" x14ac:dyDescent="0.25">
      <c r="B39" s="128" t="s">
        <v>233</v>
      </c>
      <c r="C39" s="126"/>
      <c r="D39" s="126"/>
      <c r="E39" s="126"/>
      <c r="F39" s="126"/>
      <c r="G39" s="126"/>
      <c r="H39" s="126"/>
      <c r="I39" s="126"/>
      <c r="J39" s="127"/>
    </row>
    <row r="40" spans="2:10" x14ac:dyDescent="0.25">
      <c r="B40" s="118" t="s">
        <v>1382</v>
      </c>
      <c r="C40" s="119"/>
      <c r="D40" s="119"/>
      <c r="E40" s="119"/>
      <c r="F40" s="120"/>
      <c r="G40" s="119"/>
      <c r="H40" s="119"/>
      <c r="I40" s="119"/>
      <c r="J40" s="121"/>
    </row>
    <row r="41" spans="2:10" x14ac:dyDescent="0.25">
      <c r="B41" s="118" t="s">
        <v>1383</v>
      </c>
      <c r="C41" s="119"/>
      <c r="D41" s="119"/>
      <c r="E41" s="119"/>
      <c r="F41" s="120"/>
      <c r="G41" s="119"/>
      <c r="H41" s="119"/>
      <c r="I41" s="119"/>
      <c r="J41" s="121"/>
    </row>
    <row r="42" spans="2:10" x14ac:dyDescent="0.25">
      <c r="B42" s="129" t="s">
        <v>690</v>
      </c>
      <c r="C42" s="130"/>
      <c r="D42" s="130"/>
      <c r="E42" s="130"/>
      <c r="F42" s="131"/>
      <c r="G42" s="130"/>
      <c r="H42" s="130"/>
      <c r="I42" s="130"/>
      <c r="J42" s="132"/>
    </row>
  </sheetData>
  <pageMargins left="0.75" right="0.75" top="1" bottom="1" header="0.5" footer="0.5"/>
  <pageSetup scale="9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3DA76-2084-4BDA-9EEA-564AB886AC44}">
  <sheetPr codeName="Sheet9">
    <tabColor rgb="FF92D050"/>
    <pageSetUpPr fitToPage="1"/>
  </sheetPr>
  <dimension ref="A2:M94"/>
  <sheetViews>
    <sheetView zoomScaleNormal="100" workbookViewId="0">
      <selection activeCell="A14" sqref="A14"/>
    </sheetView>
  </sheetViews>
  <sheetFormatPr defaultColWidth="8.6640625" defaultRowHeight="15" x14ac:dyDescent="0.25"/>
  <cols>
    <col min="1" max="1" width="28.77734375" style="1" customWidth="1"/>
    <col min="2" max="8" width="12.21875" style="1" customWidth="1"/>
    <col min="9" max="9" width="46.33203125" style="1" bestFit="1" customWidth="1"/>
    <col min="10" max="10" width="40.5546875" style="1" customWidth="1"/>
    <col min="11" max="12" width="8.6640625" style="1" customWidth="1"/>
    <col min="13" max="16384" width="8.6640625" style="1"/>
  </cols>
  <sheetData>
    <row r="2" spans="1:13" x14ac:dyDescent="0.25">
      <c r="A2" s="66" t="s">
        <v>691</v>
      </c>
    </row>
    <row r="3" spans="1:13" x14ac:dyDescent="0.25">
      <c r="A3" s="66"/>
    </row>
    <row r="4" spans="1:13" x14ac:dyDescent="0.25">
      <c r="A4" s="162" t="s">
        <v>692</v>
      </c>
    </row>
    <row r="5" spans="1:13" x14ac:dyDescent="0.25">
      <c r="A5" s="162" t="s">
        <v>693</v>
      </c>
    </row>
    <row r="6" spans="1:13" x14ac:dyDescent="0.25">
      <c r="A6" s="351" t="s">
        <v>694</v>
      </c>
      <c r="B6" s="348"/>
      <c r="C6" s="348"/>
      <c r="D6" s="348"/>
      <c r="E6" s="348"/>
      <c r="F6" s="348"/>
    </row>
    <row r="7" spans="1:13" x14ac:dyDescent="0.25">
      <c r="A7" s="162"/>
    </row>
    <row r="8" spans="1:13" x14ac:dyDescent="0.25">
      <c r="A8" s="352" t="s">
        <v>695</v>
      </c>
      <c r="B8" s="348"/>
      <c r="C8" s="348"/>
      <c r="D8" s="348"/>
      <c r="E8" s="348"/>
      <c r="F8" s="348"/>
    </row>
    <row r="9" spans="1:13" x14ac:dyDescent="0.25">
      <c r="A9" s="162" t="s">
        <v>17</v>
      </c>
    </row>
    <row r="12" spans="1:13" x14ac:dyDescent="0.25">
      <c r="A12" s="1" t="str">
        <f>data!C97</f>
        <v>164</v>
      </c>
      <c r="B12" s="273" t="str">
        <f>RIGHT('Prior Year'!C97,4)</f>
        <v>2021</v>
      </c>
      <c r="C12" s="273" t="str">
        <f>RIGHT(data!C96,4)</f>
        <v>2022</v>
      </c>
      <c r="D12" s="348" t="str">
        <f>RIGHT('Prior Year'!C97,4)</f>
        <v>2021</v>
      </c>
      <c r="E12" s="347" t="str">
        <f>RIGHT(data!C96,4)</f>
        <v>2022</v>
      </c>
      <c r="F12" s="1" t="str">
        <f>RIGHT('Prior Year'!C97,4)</f>
        <v>2021</v>
      </c>
      <c r="G12" s="273" t="str">
        <f>RIGHT(data!C96,4)</f>
        <v>2022</v>
      </c>
      <c r="H12" s="353"/>
    </row>
    <row r="13" spans="1:13" x14ac:dyDescent="0.25">
      <c r="A13" s="2"/>
      <c r="B13" s="273" t="s">
        <v>696</v>
      </c>
      <c r="C13" s="273" t="s">
        <v>696</v>
      </c>
      <c r="D13" s="349" t="s">
        <v>697</v>
      </c>
      <c r="E13" s="349" t="s">
        <v>697</v>
      </c>
      <c r="F13" s="3" t="s">
        <v>698</v>
      </c>
      <c r="G13" s="3" t="s">
        <v>698</v>
      </c>
      <c r="H13" s="353" t="s">
        <v>699</v>
      </c>
    </row>
    <row r="14" spans="1:13" x14ac:dyDescent="0.25">
      <c r="A14" s="1" t="s">
        <v>700</v>
      </c>
      <c r="B14" s="273" t="s">
        <v>337</v>
      </c>
      <c r="C14" s="273" t="s">
        <v>337</v>
      </c>
      <c r="D14" s="350" t="s">
        <v>701</v>
      </c>
      <c r="E14" s="350" t="s">
        <v>701</v>
      </c>
      <c r="F14" s="3" t="s">
        <v>702</v>
      </c>
      <c r="G14" s="3" t="s">
        <v>702</v>
      </c>
      <c r="H14" s="353" t="s">
        <v>703</v>
      </c>
      <c r="I14" s="7" t="s">
        <v>704</v>
      </c>
      <c r="J14" s="67" t="s">
        <v>705</v>
      </c>
    </row>
    <row r="15" spans="1:13" x14ac:dyDescent="0.25">
      <c r="A15" s="1" t="s">
        <v>706</v>
      </c>
      <c r="B15" s="273">
        <f>'Prior Year'!C86</f>
        <v>23799689.959999993</v>
      </c>
      <c r="C15" s="273">
        <f>data!C85</f>
        <v>27326522.5</v>
      </c>
      <c r="D15" s="273">
        <f>'Prior Year'!C60</f>
        <v>5466.41</v>
      </c>
      <c r="E15" s="1">
        <f>data!C59</f>
        <v>5601</v>
      </c>
      <c r="F15" s="237">
        <f t="shared" ref="F15:F59" si="0">IF(B15=0,"",IF(D15=0,"",B15/D15))</f>
        <v>4353.8062384636341</v>
      </c>
      <c r="G15" s="237">
        <f t="shared" ref="G15:G29" si="1">IF(C15=0,"",IF(E15=0,"",C15/E15))</f>
        <v>4878.8649348330655</v>
      </c>
      <c r="H15" s="5" t="str">
        <f t="shared" ref="H15:H59" si="2">IF(B15=0,"",IF(C15=0,"",IF(D15=0,"",IF(E15=0,"",IF(G15/F15-1&lt;-0.25,G15/F15-1,IF(G15/F15-1&gt;0.25,G15/F15-1,""))))))</f>
        <v/>
      </c>
      <c r="I15" s="273" t="str">
        <f t="shared" ref="I15:I48" si="3">IF(H15&gt;ABS(25%),"Please provide explanation for the fluctuation noted here","")</f>
        <v>Please provide explanation for the fluctuation noted here</v>
      </c>
      <c r="M15" s="6"/>
    </row>
    <row r="16" spans="1:13" x14ac:dyDescent="0.25">
      <c r="A16" s="1" t="s">
        <v>707</v>
      </c>
      <c r="B16" s="273">
        <f>'Prior Year'!D86</f>
        <v>11995408.549999999</v>
      </c>
      <c r="C16" s="273">
        <f>data!D85</f>
        <v>14994767.650000004</v>
      </c>
      <c r="D16" s="273">
        <f>'Prior Year'!D60</f>
        <v>9975.4599999999991</v>
      </c>
      <c r="E16" s="1">
        <f>data!D59</f>
        <v>10992.92</v>
      </c>
      <c r="F16" s="237">
        <f t="shared" si="0"/>
        <v>1202.4917698030968</v>
      </c>
      <c r="G16" s="237">
        <f t="shared" si="1"/>
        <v>1364.038640324864</v>
      </c>
      <c r="H16" s="5" t="str">
        <f t="shared" si="2"/>
        <v/>
      </c>
      <c r="I16" s="273" t="str">
        <f t="shared" si="3"/>
        <v>Please provide explanation for the fluctuation noted here</v>
      </c>
      <c r="M16" s="6"/>
    </row>
    <row r="17" spans="1:13" x14ac:dyDescent="0.25">
      <c r="A17" s="1" t="s">
        <v>708</v>
      </c>
      <c r="B17" s="273">
        <f>'Prior Year'!E86</f>
        <v>41762422.419999979</v>
      </c>
      <c r="C17" s="273">
        <f>data!E85</f>
        <v>57629991.979999989</v>
      </c>
      <c r="D17" s="273">
        <f>'Prior Year'!E60</f>
        <v>40880.5</v>
      </c>
      <c r="E17" s="1">
        <f>data!E59</f>
        <v>46508.52</v>
      </c>
      <c r="F17" s="237">
        <f t="shared" si="0"/>
        <v>1021.573180856398</v>
      </c>
      <c r="G17" s="237">
        <f t="shared" si="1"/>
        <v>1239.1276260779744</v>
      </c>
      <c r="H17" s="5" t="str">
        <f t="shared" si="2"/>
        <v/>
      </c>
      <c r="I17" s="273" t="str">
        <f t="shared" si="3"/>
        <v>Please provide explanation for the fluctuation noted here</v>
      </c>
      <c r="M17" s="6"/>
    </row>
    <row r="18" spans="1:13" x14ac:dyDescent="0.25">
      <c r="A18" s="1" t="s">
        <v>709</v>
      </c>
      <c r="B18" s="273">
        <f>'Prior Year'!F86</f>
        <v>1412464.8700000003</v>
      </c>
      <c r="C18" s="273">
        <f>data!F85</f>
        <v>1746348.4300000002</v>
      </c>
      <c r="D18" s="273">
        <f>'Prior Year'!F60</f>
        <v>0</v>
      </c>
      <c r="E18" s="1">
        <f>data!F59</f>
        <v>0</v>
      </c>
      <c r="F18" s="237" t="str">
        <f t="shared" si="0"/>
        <v/>
      </c>
      <c r="G18" s="237" t="str">
        <f t="shared" si="1"/>
        <v/>
      </c>
      <c r="H18" s="5" t="str">
        <f t="shared" si="2"/>
        <v/>
      </c>
      <c r="I18" s="273" t="str">
        <f t="shared" si="3"/>
        <v>Please provide explanation for the fluctuation noted here</v>
      </c>
      <c r="M18" s="6"/>
    </row>
    <row r="19" spans="1:13" x14ac:dyDescent="0.25">
      <c r="A19" s="1" t="s">
        <v>710</v>
      </c>
      <c r="B19" s="273">
        <f>'Prior Year'!G86</f>
        <v>2750175.3599999994</v>
      </c>
      <c r="C19" s="273">
        <f>data!G85</f>
        <v>3364373.55</v>
      </c>
      <c r="D19" s="273">
        <f>'Prior Year'!G60</f>
        <v>3342</v>
      </c>
      <c r="E19" s="1">
        <f>data!G59</f>
        <v>3777</v>
      </c>
      <c r="F19" s="237">
        <f t="shared" si="0"/>
        <v>822.91303411131037</v>
      </c>
      <c r="G19" s="237">
        <f t="shared" si="1"/>
        <v>890.75285941223183</v>
      </c>
      <c r="H19" s="5" t="str">
        <f t="shared" si="2"/>
        <v/>
      </c>
      <c r="I19" s="273" t="str">
        <f t="shared" si="3"/>
        <v>Please provide explanation for the fluctuation noted here</v>
      </c>
      <c r="M19" s="6"/>
    </row>
    <row r="20" spans="1:13" x14ac:dyDescent="0.25">
      <c r="A20" s="1" t="s">
        <v>711</v>
      </c>
      <c r="B20" s="273">
        <f>'Prior Year'!H86</f>
        <v>0</v>
      </c>
      <c r="C20" s="273">
        <f>data!H85</f>
        <v>0</v>
      </c>
      <c r="D20" s="273">
        <f>'Prior Year'!H60</f>
        <v>0</v>
      </c>
      <c r="E20" s="1">
        <f>data!H59</f>
        <v>0</v>
      </c>
      <c r="F20" s="237" t="str">
        <f t="shared" si="0"/>
        <v/>
      </c>
      <c r="G20" s="237" t="str">
        <f t="shared" si="1"/>
        <v/>
      </c>
      <c r="H20" s="5" t="str">
        <f t="shared" si="2"/>
        <v/>
      </c>
      <c r="I20" s="273" t="str">
        <f t="shared" si="3"/>
        <v>Please provide explanation for the fluctuation noted here</v>
      </c>
      <c r="M20" s="6"/>
    </row>
    <row r="21" spans="1:13" x14ac:dyDescent="0.25">
      <c r="A21" s="1" t="s">
        <v>712</v>
      </c>
      <c r="B21" s="273">
        <f>'Prior Year'!I86</f>
        <v>0</v>
      </c>
      <c r="C21" s="273">
        <f>data!I85</f>
        <v>33.72</v>
      </c>
      <c r="D21" s="273">
        <f>'Prior Year'!I60</f>
        <v>0</v>
      </c>
      <c r="E21" s="1">
        <f>data!I59</f>
        <v>0</v>
      </c>
      <c r="F21" s="237" t="str">
        <f t="shared" si="0"/>
        <v/>
      </c>
      <c r="G21" s="237" t="str">
        <f t="shared" si="1"/>
        <v/>
      </c>
      <c r="H21" s="5" t="str">
        <f t="shared" si="2"/>
        <v/>
      </c>
      <c r="I21" s="273" t="str">
        <f t="shared" si="3"/>
        <v>Please provide explanation for the fluctuation noted here</v>
      </c>
      <c r="M21" s="6"/>
    </row>
    <row r="22" spans="1:13" x14ac:dyDescent="0.25">
      <c r="A22" s="1" t="s">
        <v>713</v>
      </c>
      <c r="B22" s="273">
        <f>'Prior Year'!J86</f>
        <v>0</v>
      </c>
      <c r="C22" s="273">
        <f>data!J85</f>
        <v>0</v>
      </c>
      <c r="D22" s="273">
        <f>'Prior Year'!J60</f>
        <v>0</v>
      </c>
      <c r="E22" s="1">
        <f>data!J59</f>
        <v>0</v>
      </c>
      <c r="F22" s="237" t="str">
        <f t="shared" si="0"/>
        <v/>
      </c>
      <c r="G22" s="237" t="str">
        <f t="shared" si="1"/>
        <v/>
      </c>
      <c r="H22" s="5" t="str">
        <f t="shared" si="2"/>
        <v/>
      </c>
      <c r="I22" s="273" t="str">
        <f t="shared" si="3"/>
        <v>Please provide explanation for the fluctuation noted here</v>
      </c>
      <c r="M22" s="6"/>
    </row>
    <row r="23" spans="1:13" x14ac:dyDescent="0.25">
      <c r="A23" s="1" t="s">
        <v>714</v>
      </c>
      <c r="B23" s="273">
        <f>'Prior Year'!K86</f>
        <v>0</v>
      </c>
      <c r="C23" s="273">
        <f>data!K85</f>
        <v>0</v>
      </c>
      <c r="D23" s="273">
        <f>'Prior Year'!K60</f>
        <v>0</v>
      </c>
      <c r="E23" s="1">
        <f>data!K59</f>
        <v>0</v>
      </c>
      <c r="F23" s="237" t="str">
        <f t="shared" si="0"/>
        <v/>
      </c>
      <c r="G23" s="237" t="str">
        <f t="shared" si="1"/>
        <v/>
      </c>
      <c r="H23" s="5" t="str">
        <f t="shared" si="2"/>
        <v/>
      </c>
      <c r="I23" s="273" t="str">
        <f t="shared" si="3"/>
        <v>Please provide explanation for the fluctuation noted here</v>
      </c>
      <c r="M23" s="6"/>
    </row>
    <row r="24" spans="1:13" x14ac:dyDescent="0.25">
      <c r="A24" s="1" t="s">
        <v>715</v>
      </c>
      <c r="B24" s="273">
        <f>'Prior Year'!L86</f>
        <v>0</v>
      </c>
      <c r="C24" s="273">
        <f>data!L85</f>
        <v>0</v>
      </c>
      <c r="D24" s="273">
        <f>'Prior Year'!L60</f>
        <v>0</v>
      </c>
      <c r="E24" s="1">
        <f>data!L59</f>
        <v>0</v>
      </c>
      <c r="F24" s="237" t="str">
        <f t="shared" si="0"/>
        <v/>
      </c>
      <c r="G24" s="237" t="str">
        <f t="shared" si="1"/>
        <v/>
      </c>
      <c r="H24" s="5" t="str">
        <f t="shared" si="2"/>
        <v/>
      </c>
      <c r="I24" s="273" t="str">
        <f t="shared" si="3"/>
        <v>Please provide explanation for the fluctuation noted here</v>
      </c>
      <c r="M24" s="6"/>
    </row>
    <row r="25" spans="1:13" x14ac:dyDescent="0.25">
      <c r="A25" s="1" t="s">
        <v>716</v>
      </c>
      <c r="B25" s="273">
        <f>'Prior Year'!M86</f>
        <v>6123052.6299999999</v>
      </c>
      <c r="C25" s="273">
        <f>data!M85</f>
        <v>6700389.4500000002</v>
      </c>
      <c r="D25" s="273">
        <f>'Prior Year'!M60</f>
        <v>3471</v>
      </c>
      <c r="E25" s="1">
        <f>data!M59</f>
        <v>3157</v>
      </c>
      <c r="F25" s="237">
        <f t="shared" si="0"/>
        <v>1764.0601065975222</v>
      </c>
      <c r="G25" s="237">
        <f t="shared" si="1"/>
        <v>2122.3913367120686</v>
      </c>
      <c r="H25" s="5" t="str">
        <f t="shared" si="2"/>
        <v/>
      </c>
      <c r="I25" s="273" t="str">
        <f t="shared" si="3"/>
        <v>Please provide explanation for the fluctuation noted here</v>
      </c>
      <c r="M25" s="6"/>
    </row>
    <row r="26" spans="1:13" x14ac:dyDescent="0.25">
      <c r="A26" s="1" t="s">
        <v>717</v>
      </c>
      <c r="B26" s="1">
        <f>'Prior Year'!N86</f>
        <v>20356249.569999993</v>
      </c>
      <c r="C26" s="273">
        <f>data!N85</f>
        <v>23632836.900000006</v>
      </c>
      <c r="D26" s="273">
        <f>'Prior Year'!N60</f>
        <v>0</v>
      </c>
      <c r="E26" s="1">
        <f>data!N59</f>
        <v>0</v>
      </c>
      <c r="F26" s="237" t="str">
        <f t="shared" si="0"/>
        <v/>
      </c>
      <c r="G26" s="237" t="str">
        <f t="shared" si="1"/>
        <v/>
      </c>
      <c r="H26" s="5" t="str">
        <f t="shared" si="2"/>
        <v/>
      </c>
      <c r="I26" s="273" t="str">
        <f t="shared" si="3"/>
        <v>Please provide explanation for the fluctuation noted here</v>
      </c>
      <c r="M26" s="6"/>
    </row>
    <row r="27" spans="1:13" x14ac:dyDescent="0.25">
      <c r="A27" s="1" t="s">
        <v>718</v>
      </c>
      <c r="B27" s="273">
        <f>'Prior Year'!O86</f>
        <v>29547383.460000001</v>
      </c>
      <c r="C27" s="273">
        <f>data!O85</f>
        <v>37974074.859999999</v>
      </c>
      <c r="D27" s="273">
        <f>'Prior Year'!O60</f>
        <v>4753</v>
      </c>
      <c r="E27" s="1">
        <f>data!O59</f>
        <v>4529</v>
      </c>
      <c r="F27" s="237">
        <f t="shared" si="0"/>
        <v>6216.5755228276876</v>
      </c>
      <c r="G27" s="237">
        <f t="shared" si="1"/>
        <v>8384.6488982115261</v>
      </c>
      <c r="H27" s="5">
        <f t="shared" si="2"/>
        <v>0.34875686258817673</v>
      </c>
      <c r="I27" s="348" t="s">
        <v>1388</v>
      </c>
      <c r="M27" s="6"/>
    </row>
    <row r="28" spans="1:13" x14ac:dyDescent="0.25">
      <c r="A28" s="1" t="s">
        <v>719</v>
      </c>
      <c r="B28" s="273">
        <f>'Prior Year'!P86</f>
        <v>56825268.649999999</v>
      </c>
      <c r="C28" s="273">
        <f>data!P85</f>
        <v>60121947.079999983</v>
      </c>
      <c r="D28" s="273">
        <f>'Prior Year'!P60</f>
        <v>758432</v>
      </c>
      <c r="E28" s="1">
        <f>data!P59</f>
        <v>790735</v>
      </c>
      <c r="F28" s="237">
        <f t="shared" si="0"/>
        <v>74.924671756993376</v>
      </c>
      <c r="G28" s="237">
        <f t="shared" si="1"/>
        <v>76.032990926163606</v>
      </c>
      <c r="H28" s="5" t="str">
        <f t="shared" si="2"/>
        <v/>
      </c>
      <c r="I28" s="273" t="str">
        <f t="shared" si="3"/>
        <v>Please provide explanation for the fluctuation noted here</v>
      </c>
      <c r="M28" s="6"/>
    </row>
    <row r="29" spans="1:13" x14ac:dyDescent="0.25">
      <c r="A29" s="1" t="s">
        <v>720</v>
      </c>
      <c r="B29" s="273">
        <f>'Prior Year'!Q86</f>
        <v>8410713.4199999999</v>
      </c>
      <c r="C29" s="273">
        <f>data!Q85</f>
        <v>11349865.26</v>
      </c>
      <c r="D29" s="273">
        <f>'Prior Year'!Q60</f>
        <v>1969976</v>
      </c>
      <c r="E29" s="1">
        <f>data!Q59</f>
        <v>1960348</v>
      </c>
      <c r="F29" s="237">
        <f t="shared" si="0"/>
        <v>4.269449688727172</v>
      </c>
      <c r="G29" s="237">
        <f t="shared" si="1"/>
        <v>5.7897196110078415</v>
      </c>
      <c r="H29" s="5">
        <f t="shared" si="2"/>
        <v>0.35608100179625235</v>
      </c>
      <c r="I29" s="347" t="s">
        <v>1386</v>
      </c>
      <c r="M29" s="6"/>
    </row>
    <row r="30" spans="1:13" x14ac:dyDescent="0.25">
      <c r="A30" s="1" t="s">
        <v>721</v>
      </c>
      <c r="B30" s="273">
        <f>'Prior Year'!R86</f>
        <v>1352621.2000000002</v>
      </c>
      <c r="C30" s="273">
        <f>data!R85</f>
        <v>1595550.7800000003</v>
      </c>
      <c r="D30" s="273">
        <f>'Prior Year'!R60</f>
        <v>1287747</v>
      </c>
      <c r="E30" s="1">
        <f>data!R59</f>
        <v>1381181</v>
      </c>
      <c r="F30" s="237">
        <f t="shared" si="0"/>
        <v>1.0503780633928872</v>
      </c>
      <c r="G30" s="237">
        <f>IFERROR(IF(C30=0,"",IF(E30=0,"",C30/E30)),"")</f>
        <v>1.155207594080718</v>
      </c>
      <c r="H30" s="5" t="str">
        <f t="shared" si="2"/>
        <v/>
      </c>
      <c r="I30" s="273" t="str">
        <f t="shared" si="3"/>
        <v>Please provide explanation for the fluctuation noted here</v>
      </c>
      <c r="M30" s="6"/>
    </row>
    <row r="31" spans="1:13" x14ac:dyDescent="0.25">
      <c r="A31" s="1" t="s">
        <v>722</v>
      </c>
      <c r="B31" s="273">
        <f>'Prior Year'!S86</f>
        <v>2895057.5500000003</v>
      </c>
      <c r="C31" s="273">
        <f>data!S85</f>
        <v>3772488.0699999994</v>
      </c>
      <c r="D31" s="273" t="s">
        <v>723</v>
      </c>
      <c r="E31" s="4" t="s">
        <v>723</v>
      </c>
      <c r="F31" s="237" t="e">
        <f t="shared" si="0"/>
        <v>#VALUE!</v>
      </c>
      <c r="G31" s="237" t="str">
        <f t="shared" ref="G31:G32" si="4">IFERROR(IF(C31=0,"",IF(E31=0,"",C31/E31)),"")</f>
        <v/>
      </c>
      <c r="H31" s="5" t="e">
        <f t="shared" si="2"/>
        <v>#VALUE!</v>
      </c>
      <c r="I31" s="273" t="e">
        <f t="shared" si="3"/>
        <v>#VALUE!</v>
      </c>
      <c r="M31" s="6"/>
    </row>
    <row r="32" spans="1:13" x14ac:dyDescent="0.25">
      <c r="A32" s="1" t="s">
        <v>724</v>
      </c>
      <c r="B32" s="273">
        <f>'Prior Year'!T86</f>
        <v>0</v>
      </c>
      <c r="C32" s="273">
        <f>data!T85</f>
        <v>0</v>
      </c>
      <c r="D32" s="273" t="s">
        <v>723</v>
      </c>
      <c r="E32" s="4" t="s">
        <v>723</v>
      </c>
      <c r="F32" s="237" t="str">
        <f t="shared" si="0"/>
        <v/>
      </c>
      <c r="G32" s="237" t="str">
        <f t="shared" si="4"/>
        <v/>
      </c>
      <c r="H32" s="5" t="str">
        <f t="shared" si="2"/>
        <v/>
      </c>
      <c r="I32" s="273" t="str">
        <f t="shared" si="3"/>
        <v>Please provide explanation for the fluctuation noted here</v>
      </c>
      <c r="M32" s="6"/>
    </row>
    <row r="33" spans="1:13" x14ac:dyDescent="0.25">
      <c r="A33" s="1" t="s">
        <v>725</v>
      </c>
      <c r="B33" s="273">
        <f>'Prior Year'!U86</f>
        <v>21083474.649999999</v>
      </c>
      <c r="C33" s="273">
        <f>data!U85</f>
        <v>22369052.629999999</v>
      </c>
      <c r="D33" s="273">
        <f>'Prior Year'!U60</f>
        <v>1137833</v>
      </c>
      <c r="E33" s="1">
        <f>data!U59</f>
        <v>1040369</v>
      </c>
      <c r="F33" s="237">
        <f t="shared" si="0"/>
        <v>18.529498309505875</v>
      </c>
      <c r="G33" s="237">
        <f t="shared" ref="G33:G69" si="5">IF(C33=0,"",IF(E33=0,"",C33/E33))</f>
        <v>21.501075704870097</v>
      </c>
      <c r="H33" s="5" t="str">
        <f t="shared" si="2"/>
        <v/>
      </c>
      <c r="I33" s="273" t="str">
        <f t="shared" si="3"/>
        <v>Please provide explanation for the fluctuation noted here</v>
      </c>
      <c r="M33" s="6"/>
    </row>
    <row r="34" spans="1:13" x14ac:dyDescent="0.25">
      <c r="A34" s="1" t="s">
        <v>726</v>
      </c>
      <c r="B34" s="273">
        <f>'Prior Year'!V86</f>
        <v>243226.63</v>
      </c>
      <c r="C34" s="273">
        <f>data!V85</f>
        <v>297256.62000000005</v>
      </c>
      <c r="D34" s="273">
        <f>'Prior Year'!V60</f>
        <v>0</v>
      </c>
      <c r="E34" s="1">
        <f>data!V59</f>
        <v>0</v>
      </c>
      <c r="F34" s="237" t="str">
        <f t="shared" si="0"/>
        <v/>
      </c>
      <c r="G34" s="237" t="str">
        <f t="shared" si="5"/>
        <v/>
      </c>
      <c r="H34" s="5" t="str">
        <f t="shared" si="2"/>
        <v/>
      </c>
      <c r="I34" s="273" t="str">
        <f t="shared" si="3"/>
        <v>Please provide explanation for the fluctuation noted here</v>
      </c>
      <c r="M34" s="6"/>
    </row>
    <row r="35" spans="1:13" x14ac:dyDescent="0.25">
      <c r="A35" s="1" t="s">
        <v>727</v>
      </c>
      <c r="B35" s="273">
        <f>'Prior Year'!W86</f>
        <v>1458195.6599999997</v>
      </c>
      <c r="C35" s="273">
        <f>data!W85</f>
        <v>1510917.5899999999</v>
      </c>
      <c r="D35" s="273">
        <f>'Prior Year'!W60</f>
        <v>33241</v>
      </c>
      <c r="E35" s="1">
        <f>data!W59</f>
        <v>36220.71</v>
      </c>
      <c r="F35" s="237">
        <f t="shared" si="0"/>
        <v>43.867382449384785</v>
      </c>
      <c r="G35" s="237">
        <f t="shared" si="5"/>
        <v>41.714190307147483</v>
      </c>
      <c r="H35" s="5" t="str">
        <f t="shared" si="2"/>
        <v/>
      </c>
      <c r="I35" s="273" t="str">
        <f t="shared" si="3"/>
        <v>Please provide explanation for the fluctuation noted here</v>
      </c>
      <c r="M35" s="6"/>
    </row>
    <row r="36" spans="1:13" x14ac:dyDescent="0.25">
      <c r="A36" s="1" t="s">
        <v>728</v>
      </c>
      <c r="B36" s="273">
        <f>'Prior Year'!X86</f>
        <v>2800255.38</v>
      </c>
      <c r="C36" s="273">
        <f>data!X85</f>
        <v>3191608.23</v>
      </c>
      <c r="D36" s="273">
        <f>'Prior Year'!X60</f>
        <v>166849.9</v>
      </c>
      <c r="E36" s="1">
        <f>data!X59</f>
        <v>196603.86000000002</v>
      </c>
      <c r="F36" s="237">
        <f t="shared" si="0"/>
        <v>16.783080960791704</v>
      </c>
      <c r="G36" s="237">
        <f t="shared" si="5"/>
        <v>16.233700752365696</v>
      </c>
      <c r="H36" s="5" t="str">
        <f t="shared" si="2"/>
        <v/>
      </c>
      <c r="I36" s="273" t="str">
        <f t="shared" si="3"/>
        <v>Please provide explanation for the fluctuation noted here</v>
      </c>
      <c r="M36" s="6"/>
    </row>
    <row r="37" spans="1:13" x14ac:dyDescent="0.25">
      <c r="A37" s="1" t="s">
        <v>729</v>
      </c>
      <c r="B37" s="273">
        <f>'Prior Year'!Y86</f>
        <v>35213275.070000008</v>
      </c>
      <c r="C37" s="273">
        <f>data!Y85</f>
        <v>38891795.120000005</v>
      </c>
      <c r="D37" s="273">
        <f>'Prior Year'!Y60</f>
        <v>389467.97</v>
      </c>
      <c r="E37" s="1">
        <f>data!Y59</f>
        <v>459248.88</v>
      </c>
      <c r="F37" s="237">
        <f t="shared" si="0"/>
        <v>90.413789534477019</v>
      </c>
      <c r="G37" s="237">
        <f t="shared" si="5"/>
        <v>84.685661334655848</v>
      </c>
      <c r="H37" s="5" t="str">
        <f t="shared" si="2"/>
        <v/>
      </c>
      <c r="I37" s="273" t="str">
        <f t="shared" si="3"/>
        <v>Please provide explanation for the fluctuation noted here</v>
      </c>
      <c r="M37" s="6"/>
    </row>
    <row r="38" spans="1:13" x14ac:dyDescent="0.25">
      <c r="A38" s="1" t="s">
        <v>730</v>
      </c>
      <c r="B38" s="273">
        <f>'Prior Year'!Z86</f>
        <v>7987001.5799999991</v>
      </c>
      <c r="C38" s="273">
        <f>data!Z85</f>
        <v>8409166.3600000013</v>
      </c>
      <c r="D38" s="273">
        <f>'Prior Year'!Z60</f>
        <v>50517.22</v>
      </c>
      <c r="E38" s="1">
        <f>data!Z59</f>
        <v>59773.57</v>
      </c>
      <c r="F38" s="237">
        <f t="shared" si="0"/>
        <v>158.10453504765303</v>
      </c>
      <c r="G38" s="237">
        <f t="shared" si="5"/>
        <v>140.68368946342005</v>
      </c>
      <c r="H38" s="5" t="str">
        <f t="shared" si="2"/>
        <v/>
      </c>
      <c r="I38" s="273" t="str">
        <f t="shared" si="3"/>
        <v>Please provide explanation for the fluctuation noted here</v>
      </c>
      <c r="M38" s="6"/>
    </row>
    <row r="39" spans="1:13" x14ac:dyDescent="0.25">
      <c r="A39" s="1" t="s">
        <v>731</v>
      </c>
      <c r="B39" s="273">
        <f>'Prior Year'!AA86</f>
        <v>1027008.3300000002</v>
      </c>
      <c r="C39" s="273">
        <f>data!AA85</f>
        <v>1060031.78</v>
      </c>
      <c r="D39" s="273">
        <f>'Prior Year'!AA60</f>
        <v>13874.32</v>
      </c>
      <c r="E39" s="1">
        <f>data!AA59</f>
        <v>15243.55</v>
      </c>
      <c r="F39" s="237">
        <f t="shared" si="0"/>
        <v>74.022246135306105</v>
      </c>
      <c r="G39" s="237">
        <f t="shared" si="5"/>
        <v>69.539692525691194</v>
      </c>
      <c r="H39" s="5" t="str">
        <f t="shared" si="2"/>
        <v/>
      </c>
      <c r="I39" s="273" t="str">
        <f t="shared" si="3"/>
        <v>Please provide explanation for the fluctuation noted here</v>
      </c>
      <c r="M39" s="6"/>
    </row>
    <row r="40" spans="1:13" x14ac:dyDescent="0.25">
      <c r="A40" s="1" t="s">
        <v>732</v>
      </c>
      <c r="B40" s="273">
        <f>'Prior Year'!AB86</f>
        <v>25508689.520000011</v>
      </c>
      <c r="C40" s="273">
        <f>data!AB85</f>
        <v>29334047.709999993</v>
      </c>
      <c r="D40" s="273" t="s">
        <v>723</v>
      </c>
      <c r="E40" s="4" t="s">
        <v>723</v>
      </c>
      <c r="F40" s="237" t="e">
        <f t="shared" si="0"/>
        <v>#VALUE!</v>
      </c>
      <c r="G40" s="237" t="str">
        <f>IFERROR(IF(C40=0,"",IF(E40=0,"",C40/E40)),"")</f>
        <v/>
      </c>
      <c r="H40" s="5" t="e">
        <f t="shared" si="2"/>
        <v>#VALUE!</v>
      </c>
      <c r="I40" s="273" t="e">
        <f t="shared" si="3"/>
        <v>#VALUE!</v>
      </c>
      <c r="M40" s="6"/>
    </row>
    <row r="41" spans="1:13" x14ac:dyDescent="0.25">
      <c r="A41" s="1" t="s">
        <v>733</v>
      </c>
      <c r="B41" s="273">
        <f>'Prior Year'!AC86</f>
        <v>3632417.81</v>
      </c>
      <c r="C41" s="273">
        <f>data!AC85</f>
        <v>4149252.8399999994</v>
      </c>
      <c r="D41" s="273">
        <f>'Prior Year'!AC60</f>
        <v>24515.949999999997</v>
      </c>
      <c r="E41" s="1">
        <f>data!AC59</f>
        <v>0</v>
      </c>
      <c r="F41" s="237">
        <f t="shared" si="0"/>
        <v>148.16549266905832</v>
      </c>
      <c r="G41" s="237" t="str">
        <f t="shared" si="5"/>
        <v/>
      </c>
      <c r="H41" s="5" t="str">
        <f t="shared" si="2"/>
        <v/>
      </c>
      <c r="I41" s="273" t="str">
        <f t="shared" si="3"/>
        <v>Please provide explanation for the fluctuation noted here</v>
      </c>
      <c r="M41" s="6"/>
    </row>
    <row r="42" spans="1:13" x14ac:dyDescent="0.25">
      <c r="A42" s="1" t="s">
        <v>734</v>
      </c>
      <c r="B42" s="273">
        <f>'Prior Year'!AD86</f>
        <v>0</v>
      </c>
      <c r="C42" s="273">
        <f>data!AD85</f>
        <v>0</v>
      </c>
      <c r="D42" s="273">
        <f>'Prior Year'!AD60</f>
        <v>0</v>
      </c>
      <c r="E42" s="1">
        <f>data!AD59</f>
        <v>0</v>
      </c>
      <c r="F42" s="237" t="str">
        <f t="shared" si="0"/>
        <v/>
      </c>
      <c r="G42" s="237" t="str">
        <f t="shared" si="5"/>
        <v/>
      </c>
      <c r="H42" s="5" t="str">
        <f t="shared" si="2"/>
        <v/>
      </c>
      <c r="I42" s="273" t="str">
        <f t="shared" si="3"/>
        <v>Please provide explanation for the fluctuation noted here</v>
      </c>
      <c r="M42" s="6"/>
    </row>
    <row r="43" spans="1:13" x14ac:dyDescent="0.25">
      <c r="A43" s="1" t="s">
        <v>735</v>
      </c>
      <c r="B43" s="273">
        <f>'Prior Year'!AE86</f>
        <v>7393320.6500000013</v>
      </c>
      <c r="C43" s="273">
        <f>data!AE85</f>
        <v>9159664.1300000008</v>
      </c>
      <c r="D43" s="273">
        <f>'Prior Year'!AE60</f>
        <v>50293</v>
      </c>
      <c r="E43" s="1">
        <f>data!AE59</f>
        <v>45187</v>
      </c>
      <c r="F43" s="237">
        <f t="shared" si="0"/>
        <v>147.00496391147877</v>
      </c>
      <c r="G43" s="237">
        <f t="shared" si="5"/>
        <v>202.70573682696352</v>
      </c>
      <c r="H43" s="5">
        <f t="shared" si="2"/>
        <v>0.37890402768321341</v>
      </c>
      <c r="I43" s="347" t="s">
        <v>1386</v>
      </c>
      <c r="M43" s="6"/>
    </row>
    <row r="44" spans="1:13" x14ac:dyDescent="0.25">
      <c r="A44" s="1" t="s">
        <v>736</v>
      </c>
      <c r="B44" s="273">
        <f>'Prior Year'!AF86</f>
        <v>0</v>
      </c>
      <c r="C44" s="273">
        <f>data!AF85</f>
        <v>0</v>
      </c>
      <c r="D44" s="273">
        <f>'Prior Year'!AF60</f>
        <v>0</v>
      </c>
      <c r="E44" s="1">
        <f>data!AF59</f>
        <v>0</v>
      </c>
      <c r="F44" s="237" t="str">
        <f t="shared" si="0"/>
        <v/>
      </c>
      <c r="G44" s="237" t="str">
        <f t="shared" si="5"/>
        <v/>
      </c>
      <c r="H44" s="5" t="str">
        <f t="shared" si="2"/>
        <v/>
      </c>
      <c r="I44" s="273" t="str">
        <f t="shared" si="3"/>
        <v>Please provide explanation for the fluctuation noted here</v>
      </c>
      <c r="M44" s="6"/>
    </row>
    <row r="45" spans="1:13" x14ac:dyDescent="0.25">
      <c r="A45" s="1" t="s">
        <v>737</v>
      </c>
      <c r="B45" s="273">
        <f>'Prior Year'!AG86</f>
        <v>18671980.219999999</v>
      </c>
      <c r="C45" s="273">
        <f>data!AG85</f>
        <v>21738840.800000001</v>
      </c>
      <c r="D45" s="273">
        <f>'Prior Year'!AG60</f>
        <v>113304</v>
      </c>
      <c r="E45" s="1">
        <f>data!AG59</f>
        <v>124924</v>
      </c>
      <c r="F45" s="237">
        <f t="shared" si="0"/>
        <v>164.79541957918519</v>
      </c>
      <c r="G45" s="237">
        <f t="shared" si="5"/>
        <v>174.01652844929717</v>
      </c>
      <c r="H45" s="5" t="str">
        <f t="shared" si="2"/>
        <v/>
      </c>
      <c r="I45" s="273" t="str">
        <f t="shared" si="3"/>
        <v>Please provide explanation for the fluctuation noted here</v>
      </c>
      <c r="M45" s="6"/>
    </row>
    <row r="46" spans="1:13" x14ac:dyDescent="0.25">
      <c r="A46" s="1" t="s">
        <v>738</v>
      </c>
      <c r="B46" s="273">
        <f>'Prior Year'!AH86</f>
        <v>0</v>
      </c>
      <c r="C46" s="273">
        <f>data!AH85</f>
        <v>0</v>
      </c>
      <c r="D46" s="273">
        <f>'Prior Year'!AH60</f>
        <v>0</v>
      </c>
      <c r="E46" s="1">
        <f>data!AH59</f>
        <v>0</v>
      </c>
      <c r="F46" s="237" t="str">
        <f t="shared" si="0"/>
        <v/>
      </c>
      <c r="G46" s="237" t="str">
        <f t="shared" si="5"/>
        <v/>
      </c>
      <c r="H46" s="5" t="str">
        <f t="shared" si="2"/>
        <v/>
      </c>
      <c r="I46" s="273" t="str">
        <f t="shared" si="3"/>
        <v>Please provide explanation for the fluctuation noted here</v>
      </c>
      <c r="M46" s="6"/>
    </row>
    <row r="47" spans="1:13" x14ac:dyDescent="0.25">
      <c r="A47" s="1" t="s">
        <v>739</v>
      </c>
      <c r="B47" s="273">
        <f>'Prior Year'!AI86</f>
        <v>0</v>
      </c>
      <c r="C47" s="273">
        <f>data!AI85</f>
        <v>0</v>
      </c>
      <c r="D47" s="273">
        <f>'Prior Year'!AI60</f>
        <v>0</v>
      </c>
      <c r="E47" s="1">
        <f>data!AI59</f>
        <v>0</v>
      </c>
      <c r="F47" s="237" t="str">
        <f t="shared" si="0"/>
        <v/>
      </c>
      <c r="G47" s="237" t="str">
        <f t="shared" si="5"/>
        <v/>
      </c>
      <c r="H47" s="5" t="str">
        <f t="shared" si="2"/>
        <v/>
      </c>
      <c r="I47" s="273" t="str">
        <f t="shared" ref="I47:I94" si="6">IF(H47&gt;ABS(25%),"Please provide explanation for the fluctuation noted here","")</f>
        <v>Please provide explanation for the fluctuation noted here</v>
      </c>
      <c r="M47" s="6"/>
    </row>
    <row r="48" spans="1:13" x14ac:dyDescent="0.25">
      <c r="A48" s="1" t="s">
        <v>740</v>
      </c>
      <c r="B48" s="273">
        <f>'Prior Year'!AJ86</f>
        <v>100109262.19000001</v>
      </c>
      <c r="C48" s="273">
        <f>data!AJ85</f>
        <v>106622224.21000004</v>
      </c>
      <c r="D48" s="273">
        <f>'Prior Year'!AJ60</f>
        <v>281820</v>
      </c>
      <c r="E48" s="1">
        <f>data!AJ59</f>
        <v>274398</v>
      </c>
      <c r="F48" s="237">
        <f t="shared" si="0"/>
        <v>355.22412245404871</v>
      </c>
      <c r="G48" s="237">
        <f t="shared" si="5"/>
        <v>388.56778916027099</v>
      </c>
      <c r="H48" s="5" t="str">
        <f t="shared" si="2"/>
        <v/>
      </c>
      <c r="I48" s="273" t="str">
        <f t="shared" si="3"/>
        <v>Please provide explanation for the fluctuation noted here</v>
      </c>
      <c r="M48" s="6"/>
    </row>
    <row r="49" spans="1:13" x14ac:dyDescent="0.25">
      <c r="A49" s="1" t="s">
        <v>741</v>
      </c>
      <c r="B49" s="273">
        <f>'Prior Year'!AK86</f>
        <v>0</v>
      </c>
      <c r="C49" s="273">
        <f>data!AK85</f>
        <v>1342.98</v>
      </c>
      <c r="D49" s="273">
        <f>'Prior Year'!AK60</f>
        <v>0</v>
      </c>
      <c r="E49" s="1">
        <f>data!AK59</f>
        <v>0</v>
      </c>
      <c r="F49" s="237" t="str">
        <f t="shared" si="0"/>
        <v/>
      </c>
      <c r="G49" s="237" t="str">
        <f t="shared" si="5"/>
        <v/>
      </c>
      <c r="H49" s="5" t="str">
        <f t="shared" si="2"/>
        <v/>
      </c>
      <c r="I49" s="273" t="str">
        <f t="shared" si="6"/>
        <v>Please provide explanation for the fluctuation noted here</v>
      </c>
      <c r="M49" s="6"/>
    </row>
    <row r="50" spans="1:13" x14ac:dyDescent="0.25">
      <c r="A50" s="1" t="s">
        <v>742</v>
      </c>
      <c r="B50" s="273">
        <f>'Prior Year'!AL86</f>
        <v>0</v>
      </c>
      <c r="C50" s="273">
        <f>data!AL85</f>
        <v>0</v>
      </c>
      <c r="D50" s="273">
        <f>'Prior Year'!AL60</f>
        <v>0</v>
      </c>
      <c r="E50" s="1">
        <f>data!AL59</f>
        <v>0</v>
      </c>
      <c r="F50" s="237" t="str">
        <f t="shared" si="0"/>
        <v/>
      </c>
      <c r="G50" s="237" t="str">
        <f t="shared" si="5"/>
        <v/>
      </c>
      <c r="H50" s="5" t="str">
        <f t="shared" si="2"/>
        <v/>
      </c>
      <c r="I50" s="273" t="str">
        <f t="shared" si="6"/>
        <v>Please provide explanation for the fluctuation noted here</v>
      </c>
      <c r="M50" s="6"/>
    </row>
    <row r="51" spans="1:13" x14ac:dyDescent="0.25">
      <c r="A51" s="1" t="s">
        <v>743</v>
      </c>
      <c r="B51" s="273">
        <f>'Prior Year'!AM86</f>
        <v>0</v>
      </c>
      <c r="C51" s="273">
        <f>data!AM85</f>
        <v>0</v>
      </c>
      <c r="D51" s="273">
        <f>'Prior Year'!AM60</f>
        <v>0</v>
      </c>
      <c r="E51" s="1">
        <f>data!AM59</f>
        <v>0</v>
      </c>
      <c r="F51" s="237" t="str">
        <f t="shared" si="0"/>
        <v/>
      </c>
      <c r="G51" s="237" t="str">
        <f t="shared" si="5"/>
        <v/>
      </c>
      <c r="H51" s="5" t="str">
        <f t="shared" si="2"/>
        <v/>
      </c>
      <c r="I51" s="273" t="str">
        <f t="shared" si="6"/>
        <v>Please provide explanation for the fluctuation noted here</v>
      </c>
      <c r="M51" s="6"/>
    </row>
    <row r="52" spans="1:13" x14ac:dyDescent="0.25">
      <c r="A52" s="1" t="s">
        <v>744</v>
      </c>
      <c r="B52" s="273">
        <f>'Prior Year'!AN86</f>
        <v>0</v>
      </c>
      <c r="C52" s="273">
        <f>data!AN85</f>
        <v>0</v>
      </c>
      <c r="D52" s="273">
        <f>'Prior Year'!AN60</f>
        <v>0</v>
      </c>
      <c r="E52" s="1">
        <f>data!AN59</f>
        <v>0</v>
      </c>
      <c r="F52" s="237" t="str">
        <f t="shared" si="0"/>
        <v/>
      </c>
      <c r="G52" s="237" t="str">
        <f t="shared" si="5"/>
        <v/>
      </c>
      <c r="H52" s="5" t="str">
        <f t="shared" si="2"/>
        <v/>
      </c>
      <c r="I52" s="273" t="str">
        <f t="shared" si="6"/>
        <v>Please provide explanation for the fluctuation noted here</v>
      </c>
      <c r="M52" s="6"/>
    </row>
    <row r="53" spans="1:13" x14ac:dyDescent="0.25">
      <c r="A53" s="1" t="s">
        <v>745</v>
      </c>
      <c r="B53" s="273">
        <f>'Prior Year'!AO86</f>
        <v>0</v>
      </c>
      <c r="C53" s="273">
        <f>data!AO85</f>
        <v>0</v>
      </c>
      <c r="D53" s="273">
        <f>'Prior Year'!AO60</f>
        <v>0</v>
      </c>
      <c r="E53" s="1">
        <f>data!AO59</f>
        <v>0</v>
      </c>
      <c r="F53" s="237" t="str">
        <f t="shared" si="0"/>
        <v/>
      </c>
      <c r="G53" s="237" t="str">
        <f t="shared" si="5"/>
        <v/>
      </c>
      <c r="H53" s="5" t="str">
        <f t="shared" si="2"/>
        <v/>
      </c>
      <c r="I53" s="273" t="str">
        <f t="shared" si="6"/>
        <v>Please provide explanation for the fluctuation noted here</v>
      </c>
      <c r="M53" s="6"/>
    </row>
    <row r="54" spans="1:13" x14ac:dyDescent="0.25">
      <c r="A54" s="1" t="s">
        <v>746</v>
      </c>
      <c r="B54" s="273">
        <f>'Prior Year'!AP86</f>
        <v>79820872.239999995</v>
      </c>
      <c r="C54" s="273">
        <f>data!AP85</f>
        <v>88967688.780000016</v>
      </c>
      <c r="D54" s="273">
        <f>'Prior Year'!AP60</f>
        <v>363714</v>
      </c>
      <c r="E54" s="1">
        <f>data!AP59</f>
        <v>371484</v>
      </c>
      <c r="F54" s="237">
        <f t="shared" si="0"/>
        <v>219.46054383389145</v>
      </c>
      <c r="G54" s="237">
        <f t="shared" si="5"/>
        <v>239.49265319636919</v>
      </c>
      <c r="H54" s="5" t="str">
        <f t="shared" si="2"/>
        <v/>
      </c>
      <c r="I54" s="273" t="str">
        <f t="shared" si="6"/>
        <v>Please provide explanation for the fluctuation noted here</v>
      </c>
      <c r="M54" s="6"/>
    </row>
    <row r="55" spans="1:13" x14ac:dyDescent="0.25">
      <c r="A55" s="1" t="s">
        <v>747</v>
      </c>
      <c r="B55" s="273">
        <f>'Prior Year'!AQ86</f>
        <v>0</v>
      </c>
      <c r="C55" s="273">
        <f>data!AQ85</f>
        <v>0</v>
      </c>
      <c r="D55" s="273">
        <f>'Prior Year'!AQ60</f>
        <v>0</v>
      </c>
      <c r="E55" s="1">
        <f>data!AQ59</f>
        <v>0</v>
      </c>
      <c r="F55" s="237" t="str">
        <f t="shared" si="0"/>
        <v/>
      </c>
      <c r="G55" s="237" t="str">
        <f t="shared" si="5"/>
        <v/>
      </c>
      <c r="H55" s="5" t="str">
        <f t="shared" si="2"/>
        <v/>
      </c>
      <c r="I55" s="273" t="str">
        <f t="shared" si="6"/>
        <v>Please provide explanation for the fluctuation noted here</v>
      </c>
      <c r="M55" s="6"/>
    </row>
    <row r="56" spans="1:13" x14ac:dyDescent="0.25">
      <c r="A56" s="1" t="s">
        <v>748</v>
      </c>
      <c r="B56" s="273">
        <f>'Prior Year'!AR86</f>
        <v>71372341.429999992</v>
      </c>
      <c r="C56" s="273">
        <f>data!AR85</f>
        <v>77488308.140000001</v>
      </c>
      <c r="D56" s="347">
        <f>'Prior Year'!AR60</f>
        <v>111169</v>
      </c>
      <c r="E56" s="348">
        <f>data!AR59</f>
        <v>264553</v>
      </c>
      <c r="F56" s="237">
        <f t="shared" si="0"/>
        <v>642.01658223065772</v>
      </c>
      <c r="G56" s="237">
        <f t="shared" si="5"/>
        <v>292.90277615449457</v>
      </c>
      <c r="H56" s="5">
        <f t="shared" si="2"/>
        <v>-0.54377692997147042</v>
      </c>
      <c r="I56" s="348" t="s">
        <v>1386</v>
      </c>
      <c r="J56" s="1" t="s">
        <v>1387</v>
      </c>
      <c r="M56" s="6"/>
    </row>
    <row r="57" spans="1:13" x14ac:dyDescent="0.25">
      <c r="A57" s="1" t="s">
        <v>749</v>
      </c>
      <c r="B57" s="273">
        <f>'Prior Year'!AS86</f>
        <v>0</v>
      </c>
      <c r="C57" s="273">
        <f>data!AS85</f>
        <v>0</v>
      </c>
      <c r="D57" s="273">
        <f>'Prior Year'!AS60</f>
        <v>0</v>
      </c>
      <c r="E57" s="1">
        <f>data!AS59</f>
        <v>0</v>
      </c>
      <c r="F57" s="237" t="str">
        <f t="shared" si="0"/>
        <v/>
      </c>
      <c r="G57" s="237" t="str">
        <f t="shared" si="5"/>
        <v/>
      </c>
      <c r="H57" s="5" t="str">
        <f t="shared" si="2"/>
        <v/>
      </c>
      <c r="I57" s="273" t="str">
        <f t="shared" si="6"/>
        <v>Please provide explanation for the fluctuation noted here</v>
      </c>
      <c r="M57" s="6"/>
    </row>
    <row r="58" spans="1:13" x14ac:dyDescent="0.25">
      <c r="A58" s="1" t="s">
        <v>750</v>
      </c>
      <c r="B58" s="273">
        <f>'Prior Year'!AT86</f>
        <v>0</v>
      </c>
      <c r="C58" s="273">
        <f>data!AT85</f>
        <v>0</v>
      </c>
      <c r="D58" s="273">
        <f>'Prior Year'!AT60</f>
        <v>0</v>
      </c>
      <c r="E58" s="1">
        <f>data!AT59</f>
        <v>0</v>
      </c>
      <c r="F58" s="237" t="str">
        <f t="shared" si="0"/>
        <v/>
      </c>
      <c r="G58" s="237" t="str">
        <f t="shared" si="5"/>
        <v/>
      </c>
      <c r="H58" s="5" t="str">
        <f t="shared" si="2"/>
        <v/>
      </c>
      <c r="I58" s="273" t="str">
        <f t="shared" si="6"/>
        <v>Please provide explanation for the fluctuation noted here</v>
      </c>
      <c r="M58" s="6"/>
    </row>
    <row r="59" spans="1:13" x14ac:dyDescent="0.25">
      <c r="A59" s="1" t="s">
        <v>751</v>
      </c>
      <c r="B59" s="273">
        <f>'Prior Year'!AU86</f>
        <v>0</v>
      </c>
      <c r="C59" s="273">
        <f>data!AU85</f>
        <v>0</v>
      </c>
      <c r="D59" s="273">
        <f>'Prior Year'!AU60</f>
        <v>0</v>
      </c>
      <c r="E59" s="1">
        <f>data!AU59</f>
        <v>0</v>
      </c>
      <c r="F59" s="237" t="str">
        <f t="shared" si="0"/>
        <v/>
      </c>
      <c r="G59" s="237" t="str">
        <f t="shared" si="5"/>
        <v/>
      </c>
      <c r="H59" s="5" t="str">
        <f t="shared" si="2"/>
        <v/>
      </c>
      <c r="I59" s="273" t="str">
        <f t="shared" si="6"/>
        <v>Please provide explanation for the fluctuation noted here</v>
      </c>
      <c r="M59" s="6"/>
    </row>
    <row r="60" spans="1:13" x14ac:dyDescent="0.25">
      <c r="A60" s="1" t="s">
        <v>752</v>
      </c>
      <c r="B60" s="273">
        <f>'Prior Year'!AV86</f>
        <v>4339394.4700000016</v>
      </c>
      <c r="C60" s="273">
        <f>data!AV85</f>
        <v>4417105.6599999983</v>
      </c>
      <c r="D60" s="273" t="s">
        <v>723</v>
      </c>
      <c r="E60" s="4" t="s">
        <v>723</v>
      </c>
      <c r="F60" s="237"/>
      <c r="G60" s="237"/>
      <c r="H60" s="5"/>
      <c r="I60" s="273" t="str">
        <f t="shared" si="6"/>
        <v/>
      </c>
      <c r="M60" s="6"/>
    </row>
    <row r="61" spans="1:13" x14ac:dyDescent="0.25">
      <c r="A61" s="1" t="s">
        <v>753</v>
      </c>
      <c r="B61" s="273">
        <f>'Prior Year'!AW86</f>
        <v>-1592350.4900000002</v>
      </c>
      <c r="C61" s="273">
        <f>data!AW85</f>
        <v>-648450.7799999998</v>
      </c>
      <c r="D61" s="273" t="s">
        <v>723</v>
      </c>
      <c r="E61" s="4" t="s">
        <v>723</v>
      </c>
      <c r="F61" s="237"/>
      <c r="G61" s="237"/>
      <c r="H61" s="5"/>
      <c r="I61" s="273" t="str">
        <f t="shared" si="6"/>
        <v/>
      </c>
      <c r="M61" s="6"/>
    </row>
    <row r="62" spans="1:13" x14ac:dyDescent="0.25">
      <c r="A62" s="1" t="s">
        <v>754</v>
      </c>
      <c r="B62" s="273">
        <f>'Prior Year'!AX86</f>
        <v>4731566.4300000006</v>
      </c>
      <c r="C62" s="273">
        <f>data!AX85</f>
        <v>2636272.52</v>
      </c>
      <c r="D62" s="273" t="s">
        <v>723</v>
      </c>
      <c r="E62" s="4" t="s">
        <v>723</v>
      </c>
      <c r="F62" s="237"/>
      <c r="G62" s="237"/>
      <c r="H62" s="5"/>
      <c r="I62" s="273" t="str">
        <f t="shared" si="6"/>
        <v/>
      </c>
      <c r="M62" s="6"/>
    </row>
    <row r="63" spans="1:13" x14ac:dyDescent="0.25">
      <c r="A63" s="1" t="s">
        <v>755</v>
      </c>
      <c r="B63" s="273">
        <f>'Prior Year'!AY86</f>
        <v>0</v>
      </c>
      <c r="C63" s="273">
        <f>data!AY85</f>
        <v>0</v>
      </c>
      <c r="D63" s="273">
        <f>'Prior Year'!AY60</f>
        <v>0</v>
      </c>
      <c r="E63" s="1">
        <f>data!AY59</f>
        <v>0</v>
      </c>
      <c r="F63" s="237" t="str">
        <f>IF(B63=0,"",IF(D63=0,"",B63/D63))</f>
        <v/>
      </c>
      <c r="G63" s="237" t="str">
        <f t="shared" si="5"/>
        <v/>
      </c>
      <c r="H63" s="5" t="str">
        <f>IF(B63=0,"",IF(C63=0,"",IF(D63=0,"",IF(E63=0,"",IF(G63/F63-1&lt;-0.25,G63/F63-1,IF(G63/F63-1&gt;0.25,G63/F63-1,""))))))</f>
        <v/>
      </c>
      <c r="I63" s="273" t="str">
        <f t="shared" si="6"/>
        <v>Please provide explanation for the fluctuation noted here</v>
      </c>
      <c r="M63" s="6"/>
    </row>
    <row r="64" spans="1:13" x14ac:dyDescent="0.25">
      <c r="A64" s="1" t="s">
        <v>756</v>
      </c>
      <c r="B64" s="273">
        <f>'Prior Year'!AZ86</f>
        <v>4125014.4799999995</v>
      </c>
      <c r="C64" s="273">
        <f>data!AZ85</f>
        <v>5150737.4800000004</v>
      </c>
      <c r="D64" s="273">
        <f>'Prior Year'!AZ60</f>
        <v>707764.02</v>
      </c>
      <c r="E64" s="1">
        <f>data!AZ59</f>
        <v>743097.14</v>
      </c>
      <c r="F64" s="237">
        <f>IF(B64=0,"",IF(D64=0,"",B64/D64))</f>
        <v>5.8282342185181992</v>
      </c>
      <c r="G64" s="237">
        <f t="shared" si="5"/>
        <v>6.9314457057390912</v>
      </c>
      <c r="H64" s="5" t="str">
        <f>IF(B64=0,"",IF(C64=0,"",IF(D64=0,"",IF(E64=0,"",IF(G64/F64-1&lt;-0.25,G64/F64-1,IF(G64/F64-1&gt;0.25,G64/F64-1,""))))))</f>
        <v/>
      </c>
      <c r="I64" s="273" t="str">
        <f t="shared" si="6"/>
        <v>Please provide explanation for the fluctuation noted here</v>
      </c>
      <c r="M64" s="6"/>
    </row>
    <row r="65" spans="1:13" x14ac:dyDescent="0.25">
      <c r="A65" s="1" t="s">
        <v>757</v>
      </c>
      <c r="B65" s="273">
        <f>'Prior Year'!BA86</f>
        <v>1241680.3500000001</v>
      </c>
      <c r="C65" s="273">
        <f>data!BA85</f>
        <v>421838.33999999997</v>
      </c>
      <c r="D65" s="273">
        <f>'Prior Year'!BA60</f>
        <v>0</v>
      </c>
      <c r="E65" s="1">
        <f>data!BA59</f>
        <v>0</v>
      </c>
      <c r="F65" s="237" t="str">
        <f>IF(B65=0,"",IF(D65=0,"",B65/D65))</f>
        <v/>
      </c>
      <c r="G65" s="237" t="str">
        <f t="shared" si="5"/>
        <v/>
      </c>
      <c r="H65" s="5" t="str">
        <f>IF(B65=0,"",IF(C65=0,"",IF(D65=0,"",IF(E65=0,"",IF(G65/F65-1&lt;-0.25,G65/F65-1,IF(G65/F65-1&gt;0.25,G65/F65-1,""))))))</f>
        <v/>
      </c>
      <c r="I65" s="273" t="str">
        <f t="shared" si="6"/>
        <v>Please provide explanation for the fluctuation noted here</v>
      </c>
      <c r="M65" s="6"/>
    </row>
    <row r="66" spans="1:13" x14ac:dyDescent="0.25">
      <c r="A66" s="1" t="s">
        <v>758</v>
      </c>
      <c r="B66" s="273">
        <f>'Prior Year'!BB86</f>
        <v>376507.22</v>
      </c>
      <c r="C66" s="273">
        <f>data!BB85</f>
        <v>325449.14</v>
      </c>
      <c r="D66" s="273" t="s">
        <v>723</v>
      </c>
      <c r="E66" s="4" t="s">
        <v>723</v>
      </c>
      <c r="F66" s="237"/>
      <c r="G66" s="237" t="str">
        <f t="shared" ref="G66:G68" si="7">IFERROR(IF(C66=0,"",IF(E66=0,"",C66/E66)),"")</f>
        <v/>
      </c>
      <c r="H66" s="5"/>
      <c r="I66" s="273" t="str">
        <f t="shared" si="6"/>
        <v/>
      </c>
      <c r="M66" s="6"/>
    </row>
    <row r="67" spans="1:13" x14ac:dyDescent="0.25">
      <c r="A67" s="1" t="s">
        <v>759</v>
      </c>
      <c r="B67" s="273">
        <f>'Prior Year'!BC86</f>
        <v>490955.84</v>
      </c>
      <c r="C67" s="273">
        <f>data!BC85</f>
        <v>516999.30000000005</v>
      </c>
      <c r="D67" s="273" t="s">
        <v>723</v>
      </c>
      <c r="E67" s="4" t="s">
        <v>723</v>
      </c>
      <c r="F67" s="237"/>
      <c r="G67" s="237" t="str">
        <f t="shared" si="7"/>
        <v/>
      </c>
      <c r="H67" s="5"/>
      <c r="I67" s="273" t="str">
        <f t="shared" si="6"/>
        <v/>
      </c>
      <c r="M67" s="6"/>
    </row>
    <row r="68" spans="1:13" x14ac:dyDescent="0.25">
      <c r="A68" s="1" t="s">
        <v>760</v>
      </c>
      <c r="B68" s="347">
        <f>'Prior Year'!BD86</f>
        <v>9480990.5800000001</v>
      </c>
      <c r="C68" s="347">
        <f>data!BD85</f>
        <v>3619365.1199999996</v>
      </c>
      <c r="D68" s="273" t="s">
        <v>723</v>
      </c>
      <c r="E68" s="4" t="s">
        <v>723</v>
      </c>
      <c r="F68" s="237"/>
      <c r="G68" s="237" t="str">
        <f t="shared" si="7"/>
        <v/>
      </c>
      <c r="H68" s="5"/>
      <c r="I68" s="347" t="s">
        <v>1389</v>
      </c>
      <c r="M68" s="6"/>
    </row>
    <row r="69" spans="1:13" x14ac:dyDescent="0.25">
      <c r="A69" s="1" t="s">
        <v>761</v>
      </c>
      <c r="B69" s="347">
        <f>'Prior Year'!BE86</f>
        <v>9730138.7699999996</v>
      </c>
      <c r="C69" s="347">
        <f>data!BE85</f>
        <v>15554884.559999999</v>
      </c>
      <c r="D69" s="273">
        <f>'Prior Year'!BE60</f>
        <v>679195</v>
      </c>
      <c r="E69" s="1">
        <f>data!BE59</f>
        <v>679195</v>
      </c>
      <c r="F69" s="237">
        <f>IF(B69=0,"",IF(D69=0,"",B69/D69))</f>
        <v>14.325987043485302</v>
      </c>
      <c r="G69" s="237">
        <f t="shared" si="5"/>
        <v>22.901942093213286</v>
      </c>
      <c r="H69" s="5">
        <f>IF(B69=0,"",IF(C69=0,"",IF(D69=0,"",IF(E69=0,"",IF(G69/F69-1&lt;-0.25,G69/F69-1,IF(G69/F69-1&gt;0.25,G69/F69-1,""))))))</f>
        <v>0.59862926189283927</v>
      </c>
      <c r="I69" s="347" t="s">
        <v>1389</v>
      </c>
      <c r="M69" s="6"/>
    </row>
    <row r="70" spans="1:13" x14ac:dyDescent="0.25">
      <c r="A70" s="1" t="s">
        <v>762</v>
      </c>
      <c r="B70" s="273">
        <f>'Prior Year'!BF86</f>
        <v>6375912.0799999991</v>
      </c>
      <c r="C70" s="273">
        <f>data!BF85</f>
        <v>6641232.46</v>
      </c>
      <c r="D70" s="273" t="s">
        <v>723</v>
      </c>
      <c r="E70" s="4" t="s">
        <v>723</v>
      </c>
      <c r="F70" s="237" t="str">
        <f t="shared" ref="F70:F94" si="8">IFERROR(IF(B70=0,"",IF(D70=0,"",B70/D70)),"")</f>
        <v/>
      </c>
      <c r="G70" s="237" t="str">
        <f t="shared" ref="G70:G94" si="9">IFERROR(IF(C70=0,"",IF(E70=0,"",C70/E70)),"")</f>
        <v/>
      </c>
      <c r="H70" s="5" t="str">
        <f t="shared" ref="H70:H94" si="10">IFERROR(IF(B70=0,"",IF(C70=0,"",IF(D70=0,"",IF(E70=0,"",IF(G70/F70-1&lt;-0.25,G70/F70-1,IF(G70/F70-1&gt;0.25,G70/F70-1,"")))))),"")</f>
        <v/>
      </c>
      <c r="I70" s="273" t="str">
        <f t="shared" si="6"/>
        <v>Please provide explanation for the fluctuation noted here</v>
      </c>
      <c r="M70" s="6"/>
    </row>
    <row r="71" spans="1:13" x14ac:dyDescent="0.25">
      <c r="A71" s="1" t="s">
        <v>763</v>
      </c>
      <c r="B71" s="273">
        <f>'Prior Year'!BG86</f>
        <v>2696893.66</v>
      </c>
      <c r="C71" s="273">
        <f>data!BG85</f>
        <v>4132193.1700000004</v>
      </c>
      <c r="D71" s="273" t="s">
        <v>723</v>
      </c>
      <c r="E71" s="4" t="s">
        <v>723</v>
      </c>
      <c r="F71" s="237" t="str">
        <f t="shared" si="8"/>
        <v/>
      </c>
      <c r="G71" s="237" t="str">
        <f t="shared" si="9"/>
        <v/>
      </c>
      <c r="H71" s="5" t="str">
        <f t="shared" si="10"/>
        <v/>
      </c>
      <c r="I71" s="273" t="str">
        <f t="shared" si="6"/>
        <v>Please provide explanation for the fluctuation noted here</v>
      </c>
      <c r="M71" s="6"/>
    </row>
    <row r="72" spans="1:13" x14ac:dyDescent="0.25">
      <c r="A72" s="1" t="s">
        <v>764</v>
      </c>
      <c r="B72" s="273">
        <f>'Prior Year'!BH86</f>
        <v>39890939.25</v>
      </c>
      <c r="C72" s="273">
        <f>data!BH85</f>
        <v>61892168.539999999</v>
      </c>
      <c r="D72" s="273" t="s">
        <v>723</v>
      </c>
      <c r="E72" s="4" t="s">
        <v>723</v>
      </c>
      <c r="F72" s="237" t="str">
        <f t="shared" si="8"/>
        <v/>
      </c>
      <c r="G72" s="237" t="str">
        <f t="shared" si="9"/>
        <v/>
      </c>
      <c r="H72" s="5" t="str">
        <f t="shared" si="10"/>
        <v/>
      </c>
      <c r="I72" s="273" t="str">
        <f t="shared" si="6"/>
        <v>Please provide explanation for the fluctuation noted here</v>
      </c>
      <c r="M72" s="6"/>
    </row>
    <row r="73" spans="1:13" x14ac:dyDescent="0.25">
      <c r="A73" s="1" t="s">
        <v>765</v>
      </c>
      <c r="B73" s="273">
        <f>'Prior Year'!BI86</f>
        <v>6604985.7800000012</v>
      </c>
      <c r="C73" s="273">
        <f>data!BI85</f>
        <v>6917154.1299999999</v>
      </c>
      <c r="D73" s="273" t="s">
        <v>723</v>
      </c>
      <c r="E73" s="4" t="s">
        <v>723</v>
      </c>
      <c r="F73" s="237" t="str">
        <f t="shared" si="8"/>
        <v/>
      </c>
      <c r="G73" s="237" t="str">
        <f t="shared" si="9"/>
        <v/>
      </c>
      <c r="H73" s="5" t="str">
        <f t="shared" si="10"/>
        <v/>
      </c>
      <c r="I73" s="273" t="str">
        <f t="shared" si="6"/>
        <v>Please provide explanation for the fluctuation noted here</v>
      </c>
      <c r="M73" s="6"/>
    </row>
    <row r="74" spans="1:13" x14ac:dyDescent="0.25">
      <c r="A74" s="1" t="s">
        <v>766</v>
      </c>
      <c r="B74" s="273">
        <f>'Prior Year'!BJ86</f>
        <v>2356091.35</v>
      </c>
      <c r="C74" s="273">
        <f>data!BJ85</f>
        <v>2434013.6600000006</v>
      </c>
      <c r="D74" s="273" t="s">
        <v>723</v>
      </c>
      <c r="E74" s="4" t="s">
        <v>723</v>
      </c>
      <c r="F74" s="237" t="str">
        <f t="shared" si="8"/>
        <v/>
      </c>
      <c r="G74" s="237" t="str">
        <f t="shared" si="9"/>
        <v/>
      </c>
      <c r="H74" s="5" t="str">
        <f t="shared" si="10"/>
        <v/>
      </c>
      <c r="I74" s="273" t="str">
        <f t="shared" si="6"/>
        <v>Please provide explanation for the fluctuation noted here</v>
      </c>
      <c r="M74" s="6"/>
    </row>
    <row r="75" spans="1:13" x14ac:dyDescent="0.25">
      <c r="A75" s="1" t="s">
        <v>767</v>
      </c>
      <c r="B75" s="273">
        <f>'Prior Year'!BK86</f>
        <v>10305075.460000001</v>
      </c>
      <c r="C75" s="273">
        <f>data!BK85</f>
        <v>10221516.35</v>
      </c>
      <c r="D75" s="273" t="s">
        <v>723</v>
      </c>
      <c r="E75" s="4" t="s">
        <v>723</v>
      </c>
      <c r="F75" s="237" t="str">
        <f t="shared" si="8"/>
        <v/>
      </c>
      <c r="G75" s="237" t="str">
        <f t="shared" si="9"/>
        <v/>
      </c>
      <c r="H75" s="5" t="str">
        <f t="shared" si="10"/>
        <v/>
      </c>
      <c r="I75" s="273" t="str">
        <f t="shared" si="6"/>
        <v>Please provide explanation for the fluctuation noted here</v>
      </c>
      <c r="M75" s="6"/>
    </row>
    <row r="76" spans="1:13" x14ac:dyDescent="0.25">
      <c r="A76" s="1" t="s">
        <v>768</v>
      </c>
      <c r="B76" s="273">
        <f>'Prior Year'!BL86</f>
        <v>5925287.3799999999</v>
      </c>
      <c r="C76" s="273">
        <f>data!BL85</f>
        <v>6659962.7199999997</v>
      </c>
      <c r="D76" s="273" t="s">
        <v>723</v>
      </c>
      <c r="E76" s="4" t="s">
        <v>723</v>
      </c>
      <c r="F76" s="237" t="str">
        <f t="shared" si="8"/>
        <v/>
      </c>
      <c r="G76" s="237" t="str">
        <f t="shared" si="9"/>
        <v/>
      </c>
      <c r="H76" s="5" t="str">
        <f t="shared" si="10"/>
        <v/>
      </c>
      <c r="I76" s="273" t="str">
        <f t="shared" si="6"/>
        <v>Please provide explanation for the fluctuation noted here</v>
      </c>
      <c r="M76" s="6"/>
    </row>
    <row r="77" spans="1:13" x14ac:dyDescent="0.25">
      <c r="A77" s="1" t="s">
        <v>769</v>
      </c>
      <c r="B77" s="273">
        <f>'Prior Year'!BM86</f>
        <v>5345751.5200000005</v>
      </c>
      <c r="C77" s="273">
        <f>data!BM85</f>
        <v>6013753.3500000006</v>
      </c>
      <c r="D77" s="273" t="s">
        <v>723</v>
      </c>
      <c r="E77" s="4" t="s">
        <v>723</v>
      </c>
      <c r="F77" s="237" t="str">
        <f t="shared" si="8"/>
        <v/>
      </c>
      <c r="G77" s="237" t="str">
        <f t="shared" si="9"/>
        <v/>
      </c>
      <c r="H77" s="5" t="str">
        <f t="shared" si="10"/>
        <v/>
      </c>
      <c r="I77" s="273" t="str">
        <f t="shared" si="6"/>
        <v>Please provide explanation for the fluctuation noted here</v>
      </c>
      <c r="M77" s="6"/>
    </row>
    <row r="78" spans="1:13" x14ac:dyDescent="0.25">
      <c r="A78" s="1" t="s">
        <v>770</v>
      </c>
      <c r="B78" s="273">
        <f>'Prior Year'!BN86</f>
        <v>12954862.439999999</v>
      </c>
      <c r="C78" s="273">
        <f>data!BN85</f>
        <v>17808258.809999999</v>
      </c>
      <c r="D78" s="273" t="s">
        <v>723</v>
      </c>
      <c r="E78" s="4" t="s">
        <v>723</v>
      </c>
      <c r="F78" s="237" t="str">
        <f t="shared" si="8"/>
        <v/>
      </c>
      <c r="G78" s="237" t="str">
        <f t="shared" si="9"/>
        <v/>
      </c>
      <c r="H78" s="5" t="str">
        <f t="shared" si="10"/>
        <v/>
      </c>
      <c r="I78" s="273" t="str">
        <f t="shared" si="6"/>
        <v>Please provide explanation for the fluctuation noted here</v>
      </c>
      <c r="M78" s="6"/>
    </row>
    <row r="79" spans="1:13" x14ac:dyDescent="0.25">
      <c r="A79" s="1" t="s">
        <v>771</v>
      </c>
      <c r="B79" s="273">
        <f>'Prior Year'!BO86</f>
        <v>1579781.26</v>
      </c>
      <c r="C79" s="273">
        <f>data!BO85</f>
        <v>1913161.17</v>
      </c>
      <c r="D79" s="273" t="s">
        <v>723</v>
      </c>
      <c r="E79" s="4" t="s">
        <v>723</v>
      </c>
      <c r="F79" s="237" t="str">
        <f t="shared" si="8"/>
        <v/>
      </c>
      <c r="G79" s="237" t="str">
        <f t="shared" si="9"/>
        <v/>
      </c>
      <c r="H79" s="5" t="str">
        <f t="shared" si="10"/>
        <v/>
      </c>
      <c r="I79" s="273" t="str">
        <f t="shared" si="6"/>
        <v>Please provide explanation for the fluctuation noted here</v>
      </c>
      <c r="M79" s="6"/>
    </row>
    <row r="80" spans="1:13" x14ac:dyDescent="0.25">
      <c r="A80" s="1" t="s">
        <v>772</v>
      </c>
      <c r="B80" s="273">
        <f>'Prior Year'!BP86</f>
        <v>7161145.7800000003</v>
      </c>
      <c r="C80" s="273">
        <f>data!BP85</f>
        <v>7087223.2800000003</v>
      </c>
      <c r="D80" s="273" t="s">
        <v>723</v>
      </c>
      <c r="E80" s="4" t="s">
        <v>723</v>
      </c>
      <c r="F80" s="237" t="str">
        <f t="shared" si="8"/>
        <v/>
      </c>
      <c r="G80" s="237" t="str">
        <f t="shared" si="9"/>
        <v/>
      </c>
      <c r="H80" s="5" t="str">
        <f t="shared" si="10"/>
        <v/>
      </c>
      <c r="I80" s="273" t="str">
        <f t="shared" si="6"/>
        <v>Please provide explanation for the fluctuation noted here</v>
      </c>
      <c r="M80" s="6"/>
    </row>
    <row r="81" spans="1:13" x14ac:dyDescent="0.25">
      <c r="A81" s="1" t="s">
        <v>773</v>
      </c>
      <c r="B81" s="273">
        <f>'Prior Year'!BQ86</f>
        <v>678573.21</v>
      </c>
      <c r="C81" s="273">
        <f>data!BQ85</f>
        <v>658343.96</v>
      </c>
      <c r="D81" s="273" t="s">
        <v>723</v>
      </c>
      <c r="E81" s="4" t="s">
        <v>723</v>
      </c>
      <c r="F81" s="237" t="str">
        <f t="shared" si="8"/>
        <v/>
      </c>
      <c r="G81" s="237" t="str">
        <f t="shared" si="9"/>
        <v/>
      </c>
      <c r="H81" s="5" t="str">
        <f t="shared" si="10"/>
        <v/>
      </c>
      <c r="I81" s="273" t="str">
        <f t="shared" si="6"/>
        <v>Please provide explanation for the fluctuation noted here</v>
      </c>
      <c r="M81" s="6"/>
    </row>
    <row r="82" spans="1:13" x14ac:dyDescent="0.25">
      <c r="A82" s="1" t="s">
        <v>774</v>
      </c>
      <c r="B82" s="273">
        <f>'Prior Year'!BR86</f>
        <v>12626886.880000001</v>
      </c>
      <c r="C82" s="273">
        <f>data!BR85</f>
        <v>11127644.640000001</v>
      </c>
      <c r="D82" s="273" t="s">
        <v>723</v>
      </c>
      <c r="E82" s="4" t="s">
        <v>723</v>
      </c>
      <c r="F82" s="237" t="str">
        <f t="shared" si="8"/>
        <v/>
      </c>
      <c r="G82" s="237" t="str">
        <f t="shared" si="9"/>
        <v/>
      </c>
      <c r="H82" s="5" t="str">
        <f t="shared" si="10"/>
        <v/>
      </c>
      <c r="I82" s="273" t="str">
        <f t="shared" si="6"/>
        <v>Please provide explanation for the fluctuation noted here</v>
      </c>
      <c r="M82" s="6"/>
    </row>
    <row r="83" spans="1:13" x14ac:dyDescent="0.25">
      <c r="A83" s="1" t="s">
        <v>775</v>
      </c>
      <c r="B83" s="273">
        <f>'Prior Year'!BS86</f>
        <v>202765.82999999996</v>
      </c>
      <c r="C83" s="273">
        <f>data!BS85</f>
        <v>322128.52999999997</v>
      </c>
      <c r="D83" s="273" t="s">
        <v>723</v>
      </c>
      <c r="E83" s="4" t="s">
        <v>723</v>
      </c>
      <c r="F83" s="237" t="str">
        <f t="shared" si="8"/>
        <v/>
      </c>
      <c r="G83" s="237" t="str">
        <f t="shared" si="9"/>
        <v/>
      </c>
      <c r="H83" s="5" t="str">
        <f t="shared" si="10"/>
        <v/>
      </c>
      <c r="I83" s="273" t="str">
        <f t="shared" si="6"/>
        <v>Please provide explanation for the fluctuation noted here</v>
      </c>
      <c r="M83" s="6"/>
    </row>
    <row r="84" spans="1:13" x14ac:dyDescent="0.25">
      <c r="A84" s="1" t="s">
        <v>776</v>
      </c>
      <c r="B84" s="273">
        <f>'Prior Year'!BT86</f>
        <v>195343.11000000004</v>
      </c>
      <c r="C84" s="273">
        <f>data!BT85</f>
        <v>219003.75</v>
      </c>
      <c r="D84" s="273" t="s">
        <v>723</v>
      </c>
      <c r="E84" s="4" t="s">
        <v>723</v>
      </c>
      <c r="F84" s="237" t="str">
        <f t="shared" si="8"/>
        <v/>
      </c>
      <c r="G84" s="237" t="str">
        <f t="shared" si="9"/>
        <v/>
      </c>
      <c r="H84" s="5" t="str">
        <f t="shared" si="10"/>
        <v/>
      </c>
      <c r="I84" s="273" t="str">
        <f t="shared" si="6"/>
        <v>Please provide explanation for the fluctuation noted here</v>
      </c>
      <c r="M84" s="6"/>
    </row>
    <row r="85" spans="1:13" x14ac:dyDescent="0.25">
      <c r="A85" s="1" t="s">
        <v>777</v>
      </c>
      <c r="B85" s="273">
        <f>'Prior Year'!BU86</f>
        <v>231032.7</v>
      </c>
      <c r="C85" s="273">
        <f>data!BU85</f>
        <v>246654.16</v>
      </c>
      <c r="D85" s="273" t="s">
        <v>723</v>
      </c>
      <c r="E85" s="4" t="s">
        <v>723</v>
      </c>
      <c r="F85" s="237" t="str">
        <f t="shared" si="8"/>
        <v/>
      </c>
      <c r="G85" s="237" t="str">
        <f t="shared" si="9"/>
        <v/>
      </c>
      <c r="H85" s="5" t="str">
        <f t="shared" si="10"/>
        <v/>
      </c>
      <c r="I85" s="273" t="str">
        <f t="shared" si="6"/>
        <v>Please provide explanation for the fluctuation noted here</v>
      </c>
      <c r="M85" s="6"/>
    </row>
    <row r="86" spans="1:13" x14ac:dyDescent="0.25">
      <c r="A86" s="1" t="s">
        <v>778</v>
      </c>
      <c r="B86" s="273">
        <f>'Prior Year'!BV86</f>
        <v>6502105.3199999994</v>
      </c>
      <c r="C86" s="273">
        <f>data!BV85</f>
        <v>6781634.0799999991</v>
      </c>
      <c r="D86" s="273" t="s">
        <v>723</v>
      </c>
      <c r="E86" s="4" t="s">
        <v>723</v>
      </c>
      <c r="F86" s="237" t="str">
        <f t="shared" si="8"/>
        <v/>
      </c>
      <c r="G86" s="237" t="str">
        <f t="shared" si="9"/>
        <v/>
      </c>
      <c r="H86" s="5" t="str">
        <f t="shared" si="10"/>
        <v/>
      </c>
      <c r="I86" s="273" t="str">
        <f t="shared" si="6"/>
        <v>Please provide explanation for the fluctuation noted here</v>
      </c>
      <c r="M86" s="6"/>
    </row>
    <row r="87" spans="1:13" x14ac:dyDescent="0.25">
      <c r="A87" s="1" t="s">
        <v>779</v>
      </c>
      <c r="B87" s="273">
        <f>'Prior Year'!BW86</f>
        <v>3662539.5999999996</v>
      </c>
      <c r="C87" s="273">
        <f>data!BW85</f>
        <v>5013506.2999999989</v>
      </c>
      <c r="D87" s="273" t="s">
        <v>723</v>
      </c>
      <c r="E87" s="4" t="s">
        <v>723</v>
      </c>
      <c r="F87" s="237" t="str">
        <f t="shared" si="8"/>
        <v/>
      </c>
      <c r="G87" s="237" t="str">
        <f t="shared" si="9"/>
        <v/>
      </c>
      <c r="H87" s="5" t="str">
        <f t="shared" si="10"/>
        <v/>
      </c>
      <c r="I87" s="273" t="str">
        <f t="shared" si="6"/>
        <v>Please provide explanation for the fluctuation noted here</v>
      </c>
      <c r="M87" s="6"/>
    </row>
    <row r="88" spans="1:13" x14ac:dyDescent="0.25">
      <c r="A88" s="1" t="s">
        <v>780</v>
      </c>
      <c r="B88" s="273">
        <f>'Prior Year'!BX86</f>
        <v>7372396.1600000011</v>
      </c>
      <c r="C88" s="273">
        <f>data!BX85</f>
        <v>9340724.9499999974</v>
      </c>
      <c r="D88" s="273" t="s">
        <v>723</v>
      </c>
      <c r="E88" s="4" t="s">
        <v>723</v>
      </c>
      <c r="F88" s="237" t="str">
        <f t="shared" si="8"/>
        <v/>
      </c>
      <c r="G88" s="237" t="str">
        <f t="shared" si="9"/>
        <v/>
      </c>
      <c r="H88" s="5" t="str">
        <f t="shared" si="10"/>
        <v/>
      </c>
      <c r="I88" s="273" t="str">
        <f t="shared" si="6"/>
        <v>Please provide explanation for the fluctuation noted here</v>
      </c>
      <c r="M88" s="6"/>
    </row>
    <row r="89" spans="1:13" x14ac:dyDescent="0.25">
      <c r="A89" s="1" t="s">
        <v>781</v>
      </c>
      <c r="B89" s="273">
        <f>'Prior Year'!BY86</f>
        <v>2070945.9000000001</v>
      </c>
      <c r="C89" s="273">
        <f>data!BY85</f>
        <v>2220454.5199999991</v>
      </c>
      <c r="D89" s="273" t="s">
        <v>723</v>
      </c>
      <c r="E89" s="4" t="s">
        <v>723</v>
      </c>
      <c r="F89" s="237" t="str">
        <f t="shared" si="8"/>
        <v/>
      </c>
      <c r="G89" s="237" t="str">
        <f t="shared" si="9"/>
        <v/>
      </c>
      <c r="H89" s="5" t="str">
        <f t="shared" si="10"/>
        <v/>
      </c>
      <c r="I89" s="273" t="str">
        <f t="shared" si="6"/>
        <v>Please provide explanation for the fluctuation noted here</v>
      </c>
      <c r="M89" s="6"/>
    </row>
    <row r="90" spans="1:13" x14ac:dyDescent="0.25">
      <c r="A90" s="1" t="s">
        <v>782</v>
      </c>
      <c r="B90" s="273">
        <f>'Prior Year'!BZ86</f>
        <v>4963605.21</v>
      </c>
      <c r="C90" s="273">
        <f>data!BZ85</f>
        <v>5429436.7400000002</v>
      </c>
      <c r="D90" s="273" t="s">
        <v>723</v>
      </c>
      <c r="E90" s="4" t="s">
        <v>723</v>
      </c>
      <c r="F90" s="237" t="str">
        <f t="shared" si="8"/>
        <v/>
      </c>
      <c r="G90" s="237" t="str">
        <f t="shared" si="9"/>
        <v/>
      </c>
      <c r="H90" s="5" t="str">
        <f t="shared" si="10"/>
        <v/>
      </c>
      <c r="I90" s="273" t="str">
        <f t="shared" si="6"/>
        <v>Please provide explanation for the fluctuation noted here</v>
      </c>
      <c r="M90" s="6"/>
    </row>
    <row r="91" spans="1:13" x14ac:dyDescent="0.25">
      <c r="A91" s="1" t="s">
        <v>783</v>
      </c>
      <c r="B91" s="273">
        <f>'Prior Year'!CA86</f>
        <v>2915201.06</v>
      </c>
      <c r="C91" s="273">
        <f>data!CA85</f>
        <v>3151275.0500000003</v>
      </c>
      <c r="D91" s="273" t="s">
        <v>723</v>
      </c>
      <c r="E91" s="4" t="s">
        <v>723</v>
      </c>
      <c r="F91" s="237" t="str">
        <f t="shared" si="8"/>
        <v/>
      </c>
      <c r="G91" s="237" t="str">
        <f t="shared" si="9"/>
        <v/>
      </c>
      <c r="H91" s="5" t="str">
        <f t="shared" si="10"/>
        <v/>
      </c>
      <c r="I91" s="273" t="str">
        <f t="shared" si="6"/>
        <v>Please provide explanation for the fluctuation noted here</v>
      </c>
      <c r="M91" s="6"/>
    </row>
    <row r="92" spans="1:13" x14ac:dyDescent="0.25">
      <c r="A92" s="1" t="s">
        <v>784</v>
      </c>
      <c r="B92" s="273">
        <f>'Prior Year'!CB86</f>
        <v>6559272.1799999997</v>
      </c>
      <c r="C92" s="273">
        <f>data!CB85</f>
        <v>7482430.5200000023</v>
      </c>
      <c r="D92" s="273" t="s">
        <v>723</v>
      </c>
      <c r="E92" s="4" t="s">
        <v>723</v>
      </c>
      <c r="F92" s="237" t="str">
        <f t="shared" si="8"/>
        <v/>
      </c>
      <c r="G92" s="237" t="str">
        <f t="shared" si="9"/>
        <v/>
      </c>
      <c r="H92" s="5" t="str">
        <f t="shared" si="10"/>
        <v/>
      </c>
      <c r="I92" s="273" t="str">
        <f t="shared" si="6"/>
        <v>Please provide explanation for the fluctuation noted here</v>
      </c>
      <c r="M92" s="6"/>
    </row>
    <row r="93" spans="1:13" x14ac:dyDescent="0.25">
      <c r="A93" s="1" t="s">
        <v>785</v>
      </c>
      <c r="B93" s="273">
        <f>'Prior Year'!CC86</f>
        <v>6284358.8300000001</v>
      </c>
      <c r="C93" s="273">
        <f>data!CC85</f>
        <v>2670269.2799999993</v>
      </c>
      <c r="D93" s="273" t="s">
        <v>723</v>
      </c>
      <c r="E93" s="4" t="s">
        <v>723</v>
      </c>
      <c r="F93" s="237" t="str">
        <f t="shared" si="8"/>
        <v/>
      </c>
      <c r="G93" s="237" t="str">
        <f t="shared" si="9"/>
        <v/>
      </c>
      <c r="H93" s="5" t="str">
        <f t="shared" si="10"/>
        <v/>
      </c>
      <c r="I93" s="273" t="str">
        <f t="shared" si="6"/>
        <v>Please provide explanation for the fluctuation noted here</v>
      </c>
      <c r="M93" s="6"/>
    </row>
    <row r="94" spans="1:13" x14ac:dyDescent="0.25">
      <c r="A94" s="1" t="s">
        <v>786</v>
      </c>
      <c r="B94" s="273">
        <f>'Prior Year'!CD86</f>
        <v>9138508.1300000008</v>
      </c>
      <c r="C94" s="273">
        <f>data!CD85</f>
        <v>10307896.32</v>
      </c>
      <c r="D94" s="273" t="s">
        <v>723</v>
      </c>
      <c r="E94" s="4" t="s">
        <v>723</v>
      </c>
      <c r="F94" s="237" t="str">
        <f t="shared" si="8"/>
        <v/>
      </c>
      <c r="G94" s="237" t="str">
        <f t="shared" si="9"/>
        <v/>
      </c>
      <c r="H94" s="5" t="str">
        <f t="shared" si="10"/>
        <v/>
      </c>
      <c r="I94" s="273" t="str">
        <f t="shared" si="6"/>
        <v>Please provide explanation for the fluctuation noted here</v>
      </c>
      <c r="M94" s="6"/>
    </row>
  </sheetData>
  <pageMargins left="0.7" right="0.7" top="0.75" bottom="0.75" header="0.3" footer="0.3"/>
  <pageSetup scale="5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41DED-37F7-4C82-BF8F-10C9AD620919}">
  <sheetPr codeName="Sheet10">
    <tabColor theme="0" tint="-0.249977111117893"/>
  </sheetPr>
  <dimension ref="A1:D35"/>
  <sheetViews>
    <sheetView workbookViewId="0">
      <selection activeCell="B25" sqref="B25"/>
    </sheetView>
  </sheetViews>
  <sheetFormatPr defaultColWidth="8.6640625" defaultRowHeight="15" x14ac:dyDescent="0.25"/>
  <cols>
    <col min="1" max="1" width="22.6640625" style="11" customWidth="1"/>
    <col min="2" max="3" width="8.6640625" style="11" customWidth="1"/>
    <col min="4" max="4" width="12.33203125" style="11" bestFit="1" customWidth="1"/>
    <col min="5" max="6" width="8.6640625" style="11" customWidth="1"/>
    <col min="7" max="16384" width="8.6640625" style="11"/>
  </cols>
  <sheetData>
    <row r="1" spans="1:4" x14ac:dyDescent="0.25">
      <c r="A1" s="330" t="s">
        <v>1345</v>
      </c>
    </row>
    <row r="3" spans="1:4" x14ac:dyDescent="0.25">
      <c r="A3" s="10" t="s">
        <v>787</v>
      </c>
    </row>
    <row r="4" spans="1:4" x14ac:dyDescent="0.25">
      <c r="A4" s="328" t="s">
        <v>1343</v>
      </c>
    </row>
    <row r="5" spans="1:4" x14ac:dyDescent="0.25">
      <c r="A5" s="329" t="s">
        <v>1341</v>
      </c>
    </row>
    <row r="6" spans="1:4" x14ac:dyDescent="0.25">
      <c r="A6" s="327"/>
    </row>
    <row r="7" spans="1:4" x14ac:dyDescent="0.25">
      <c r="A7" s="328" t="s">
        <v>1344</v>
      </c>
    </row>
    <row r="8" spans="1:4" x14ac:dyDescent="0.25">
      <c r="A8" s="329" t="s">
        <v>1342</v>
      </c>
    </row>
    <row r="11" spans="1:4" x14ac:dyDescent="0.25">
      <c r="A11" s="12" t="s">
        <v>788</v>
      </c>
      <c r="D11" s="274">
        <f>data!C380</f>
        <v>46215888</v>
      </c>
    </row>
    <row r="12" spans="1:4" x14ac:dyDescent="0.25">
      <c r="A12" s="12" t="s">
        <v>789</v>
      </c>
      <c r="D12" s="274" t="str">
        <f>IF(OR(data!C380&gt;1000000,data!C380/(data!D360+data!D383)&gt;0.01),"Yes","No")</f>
        <v>Yes</v>
      </c>
    </row>
    <row r="14" spans="1:4" x14ac:dyDescent="0.25">
      <c r="A14" s="12" t="s">
        <v>790</v>
      </c>
      <c r="D14" s="13" t="s">
        <v>791</v>
      </c>
    </row>
    <row r="15" spans="1:4" x14ac:dyDescent="0.25">
      <c r="A15" s="11" t="s">
        <v>792</v>
      </c>
      <c r="D15" s="14"/>
    </row>
    <row r="16" spans="1:4" x14ac:dyDescent="0.25">
      <c r="A16" s="11" t="s">
        <v>792</v>
      </c>
      <c r="D16" s="14"/>
    </row>
    <row r="17" spans="1:4" x14ac:dyDescent="0.25">
      <c r="A17" s="11" t="s">
        <v>792</v>
      </c>
      <c r="D17" s="14"/>
    </row>
    <row r="18" spans="1:4" x14ac:dyDescent="0.25">
      <c r="A18" s="11" t="s">
        <v>792</v>
      </c>
      <c r="D18" s="14"/>
    </row>
    <row r="19" spans="1:4" x14ac:dyDescent="0.25">
      <c r="A19" s="11" t="s">
        <v>792</v>
      </c>
      <c r="D19" s="14"/>
    </row>
    <row r="20" spans="1:4" x14ac:dyDescent="0.25">
      <c r="A20" s="11" t="s">
        <v>792</v>
      </c>
      <c r="D20" s="14"/>
    </row>
    <row r="21" spans="1:4" x14ac:dyDescent="0.25">
      <c r="A21" s="11" t="s">
        <v>792</v>
      </c>
      <c r="D21" s="14"/>
    </row>
    <row r="25" spans="1:4" x14ac:dyDescent="0.25">
      <c r="A25" s="12" t="s">
        <v>793</v>
      </c>
      <c r="D25" s="275">
        <f>data!C414</f>
        <v>9926497</v>
      </c>
    </row>
    <row r="26" spans="1:4" x14ac:dyDescent="0.25">
      <c r="A26" s="12" t="s">
        <v>789</v>
      </c>
      <c r="D26" s="275" t="str">
        <f>IF(OR(data!C414&gt;1000000,data!C414/(data!D416)&gt;0.01),"Yes","No")</f>
        <v>Yes</v>
      </c>
    </row>
    <row r="28" spans="1:4" x14ac:dyDescent="0.25">
      <c r="A28" s="12" t="s">
        <v>790</v>
      </c>
      <c r="D28" s="13" t="s">
        <v>791</v>
      </c>
    </row>
    <row r="29" spans="1:4" x14ac:dyDescent="0.25">
      <c r="A29" s="11" t="s">
        <v>794</v>
      </c>
      <c r="D29" s="14"/>
    </row>
    <row r="30" spans="1:4" x14ac:dyDescent="0.25">
      <c r="A30" s="11" t="s">
        <v>794</v>
      </c>
      <c r="D30" s="14"/>
    </row>
    <row r="31" spans="1:4" x14ac:dyDescent="0.25">
      <c r="A31" s="11" t="s">
        <v>794</v>
      </c>
      <c r="D31" s="14"/>
    </row>
    <row r="32" spans="1:4" x14ac:dyDescent="0.25">
      <c r="A32" s="11" t="s">
        <v>794</v>
      </c>
      <c r="D32" s="14"/>
    </row>
    <row r="33" spans="1:4" x14ac:dyDescent="0.25">
      <c r="A33" s="11" t="s">
        <v>794</v>
      </c>
      <c r="D33" s="14"/>
    </row>
    <row r="34" spans="1:4" x14ac:dyDescent="0.25">
      <c r="A34" s="11" t="s">
        <v>794</v>
      </c>
      <c r="D34" s="14"/>
    </row>
    <row r="35" spans="1:4" x14ac:dyDescent="0.25">
      <c r="A35" s="11" t="s">
        <v>794</v>
      </c>
      <c r="D35" s="14"/>
    </row>
  </sheetData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G40"/>
  <sheetViews>
    <sheetView topLeftCell="A3" workbookViewId="0">
      <selection activeCell="F26" sqref="F26"/>
    </sheetView>
  </sheetViews>
  <sheetFormatPr defaultColWidth="8.77734375" defaultRowHeight="18" customHeight="1" x14ac:dyDescent="0.25"/>
  <cols>
    <col min="1" max="1" width="4.77734375" style="1" customWidth="1"/>
    <col min="2" max="2" width="15.44140625" style="1" customWidth="1"/>
    <col min="3" max="3" width="4.77734375" style="1" customWidth="1"/>
    <col min="4" max="4" width="15.77734375" style="1" customWidth="1"/>
    <col min="5" max="5" width="4.77734375" style="1" customWidth="1"/>
    <col min="6" max="7" width="13.77734375" style="1" customWidth="1"/>
    <col min="8" max="9" width="8.77734375" style="1" customWidth="1"/>
    <col min="10" max="16384" width="8.77734375" style="1"/>
  </cols>
  <sheetData>
    <row r="1" spans="1:7" ht="20.100000000000001" customHeight="1" x14ac:dyDescent="0.25">
      <c r="G1" s="74" t="s">
        <v>795</v>
      </c>
    </row>
    <row r="2" spans="1:7" ht="20.100000000000001" customHeight="1" x14ac:dyDescent="0.25">
      <c r="A2" s="75" t="s">
        <v>796</v>
      </c>
      <c r="B2" s="75"/>
      <c r="C2" s="75"/>
      <c r="D2" s="75"/>
      <c r="E2" s="75"/>
      <c r="F2" s="75"/>
    </row>
    <row r="3" spans="1:7" ht="20.100000000000001" customHeight="1" x14ac:dyDescent="0.25">
      <c r="B3" s="75"/>
      <c r="C3" s="75"/>
      <c r="D3" s="75"/>
      <c r="E3" s="75"/>
      <c r="F3" s="75"/>
      <c r="G3" s="75"/>
    </row>
    <row r="4" spans="1:7" ht="20.100000000000001" customHeight="1" x14ac:dyDescent="0.25">
      <c r="A4" s="76">
        <v>1</v>
      </c>
      <c r="B4" s="78" t="str">
        <f>"Fiscal Year Ended:  "&amp;data!C96</f>
        <v>Fiscal Year Ended:  12/31/2022</v>
      </c>
      <c r="C4" s="77"/>
      <c r="D4" s="78"/>
      <c r="E4" s="79"/>
      <c r="F4" s="77" t="str">
        <f>"License Number:  "&amp;"H-"&amp;FIXED(data!C97,0)</f>
        <v>License Number:  H-164</v>
      </c>
      <c r="G4" s="80"/>
    </row>
    <row r="5" spans="1:7" ht="20.100000000000001" customHeight="1" x14ac:dyDescent="0.25">
      <c r="A5" s="76">
        <v>2</v>
      </c>
      <c r="B5" s="77" t="s">
        <v>285</v>
      </c>
      <c r="C5" s="80"/>
      <c r="D5" s="77" t="str">
        <f>"  "&amp;data!C98</f>
        <v xml:space="preserve">  EvergreenHealth Kirkland / King Country Public Hos #2</v>
      </c>
      <c r="E5" s="79"/>
      <c r="F5" s="79"/>
      <c r="G5" s="80"/>
    </row>
    <row r="6" spans="1:7" ht="20.100000000000001" customHeight="1" x14ac:dyDescent="0.25">
      <c r="A6" s="76">
        <v>3</v>
      </c>
      <c r="B6" s="77" t="s">
        <v>290</v>
      </c>
      <c r="C6" s="80"/>
      <c r="D6" s="77" t="str">
        <f>"  "&amp;data!C103</f>
        <v xml:space="preserve">  King</v>
      </c>
      <c r="E6" s="79"/>
      <c r="F6" s="79"/>
      <c r="G6" s="80"/>
    </row>
    <row r="7" spans="1:7" ht="20.100000000000001" customHeight="1" x14ac:dyDescent="0.25">
      <c r="A7" s="76">
        <v>4</v>
      </c>
      <c r="B7" s="77" t="s">
        <v>797</v>
      </c>
      <c r="C7" s="80"/>
      <c r="D7" s="77" t="str">
        <f>"  "&amp;data!C104</f>
        <v xml:space="preserve">  Jeff Tomlin, MD</v>
      </c>
      <c r="E7" s="79"/>
      <c r="F7" s="79"/>
      <c r="G7" s="80"/>
    </row>
    <row r="8" spans="1:7" ht="20.100000000000001" customHeight="1" x14ac:dyDescent="0.25">
      <c r="A8" s="76">
        <v>5</v>
      </c>
      <c r="B8" s="77" t="s">
        <v>798</v>
      </c>
      <c r="C8" s="80"/>
      <c r="D8" s="77" t="str">
        <f>"  "&amp;data!C105</f>
        <v xml:space="preserve">  Tina Mycroft</v>
      </c>
      <c r="E8" s="79"/>
      <c r="F8" s="79"/>
      <c r="G8" s="80"/>
    </row>
    <row r="9" spans="1:7" ht="20.100000000000001" customHeight="1" x14ac:dyDescent="0.25">
      <c r="A9" s="76">
        <v>6</v>
      </c>
      <c r="B9" s="77" t="s">
        <v>799</v>
      </c>
      <c r="C9" s="80"/>
      <c r="D9" s="77" t="str">
        <f>"  "&amp;data!C106</f>
        <v xml:space="preserve">  Virgil Snyder</v>
      </c>
      <c r="E9" s="79"/>
      <c r="F9" s="79"/>
      <c r="G9" s="80"/>
    </row>
    <row r="10" spans="1:7" ht="20.100000000000001" customHeight="1" x14ac:dyDescent="0.25">
      <c r="A10" s="76">
        <v>7</v>
      </c>
      <c r="B10" s="77" t="s">
        <v>800</v>
      </c>
      <c r="C10" s="80"/>
      <c r="D10" s="77" t="str">
        <f>"  "&amp;data!C107</f>
        <v xml:space="preserve">  425-899-1000</v>
      </c>
      <c r="E10" s="79"/>
      <c r="F10" s="79"/>
      <c r="G10" s="80"/>
    </row>
    <row r="11" spans="1:7" ht="20.100000000000001" customHeight="1" x14ac:dyDescent="0.25">
      <c r="A11" s="76">
        <v>8</v>
      </c>
      <c r="B11" s="77" t="s">
        <v>801</v>
      </c>
      <c r="C11" s="80"/>
      <c r="D11" s="77" t="str">
        <f>"  "&amp;data!C108</f>
        <v xml:space="preserve">  425-899-1684</v>
      </c>
      <c r="E11" s="79"/>
      <c r="F11" s="79"/>
      <c r="G11" s="80"/>
    </row>
    <row r="12" spans="1:7" ht="20.100000000000001" customHeight="1" x14ac:dyDescent="0.25">
      <c r="A12" s="81"/>
      <c r="B12" s="82"/>
      <c r="C12" s="82"/>
      <c r="D12" s="82"/>
      <c r="E12" s="82"/>
      <c r="F12" s="82"/>
      <c r="G12" s="83"/>
    </row>
    <row r="13" spans="1:7" ht="20.100000000000001" customHeight="1" x14ac:dyDescent="0.25">
      <c r="A13" s="84"/>
      <c r="G13" s="85"/>
    </row>
    <row r="14" spans="1:7" ht="20.100000000000001" customHeight="1" x14ac:dyDescent="0.25">
      <c r="A14" s="76">
        <v>9</v>
      </c>
      <c r="B14" s="77" t="s">
        <v>802</v>
      </c>
      <c r="C14" s="77"/>
      <c r="D14" s="77"/>
      <c r="E14" s="77"/>
      <c r="F14" s="77"/>
      <c r="G14" s="83"/>
    </row>
    <row r="15" spans="1:7" ht="20.100000000000001" customHeight="1" x14ac:dyDescent="0.25">
      <c r="A15" s="86" t="s">
        <v>299</v>
      </c>
      <c r="B15" s="87"/>
      <c r="C15" s="88" t="s">
        <v>301</v>
      </c>
      <c r="D15" s="87"/>
      <c r="E15" s="88" t="s">
        <v>303</v>
      </c>
      <c r="F15" s="89"/>
      <c r="G15" s="90"/>
    </row>
    <row r="16" spans="1:7" ht="20.100000000000001" customHeight="1" x14ac:dyDescent="0.25">
      <c r="A16" s="91" t="str">
        <f>IF(data!C113&gt;0," X","")</f>
        <v/>
      </c>
      <c r="B16" s="80" t="s">
        <v>288</v>
      </c>
      <c r="C16" s="92" t="str">
        <f>IF(data!C117&gt;0," X","")</f>
        <v/>
      </c>
      <c r="D16" s="93" t="s">
        <v>803</v>
      </c>
      <c r="E16" s="276" t="str">
        <f>IF(data!C120&gt;0," X","")</f>
        <v/>
      </c>
      <c r="F16" s="94" t="s">
        <v>304</v>
      </c>
      <c r="G16" s="80"/>
    </row>
    <row r="17" spans="1:7" ht="20.100000000000001" customHeight="1" x14ac:dyDescent="0.25">
      <c r="A17" s="91" t="str">
        <f>IF(data!C114&gt;0," X","")</f>
        <v/>
      </c>
      <c r="B17" s="80" t="s">
        <v>290</v>
      </c>
      <c r="C17" s="92" t="str">
        <f>IF(data!C118&gt;0," X","")</f>
        <v/>
      </c>
      <c r="D17" s="93" t="s">
        <v>384</v>
      </c>
      <c r="E17" s="276" t="str">
        <f>IF(data!C121&gt;0," X","")</f>
        <v/>
      </c>
      <c r="F17" s="94" t="s">
        <v>305</v>
      </c>
      <c r="G17" s="80"/>
    </row>
    <row r="18" spans="1:7" ht="20.100000000000001" customHeight="1" x14ac:dyDescent="0.25">
      <c r="A18" s="76"/>
      <c r="B18" s="80" t="s">
        <v>804</v>
      </c>
      <c r="C18" s="80"/>
      <c r="D18" s="80"/>
      <c r="E18" s="276" t="str">
        <f>IF(data!C122&gt;0," X","")</f>
        <v/>
      </c>
      <c r="F18" s="94" t="s">
        <v>306</v>
      </c>
      <c r="G18" s="80"/>
    </row>
    <row r="19" spans="1:7" ht="20.100000000000001" customHeight="1" x14ac:dyDescent="0.25">
      <c r="A19" s="91" t="str">
        <f>IF(data!C115&gt;0," X","")</f>
        <v xml:space="preserve"> X</v>
      </c>
      <c r="B19" s="93" t="s">
        <v>805</v>
      </c>
      <c r="C19" s="80"/>
      <c r="D19" s="80"/>
      <c r="E19" s="80"/>
      <c r="F19" s="94"/>
      <c r="G19" s="80"/>
    </row>
    <row r="20" spans="1:7" ht="20.100000000000001" customHeight="1" x14ac:dyDescent="0.25">
      <c r="A20" s="81"/>
      <c r="B20" s="82"/>
      <c r="C20" s="82"/>
      <c r="D20" s="82"/>
      <c r="E20" s="82"/>
      <c r="F20" s="82"/>
      <c r="G20" s="83"/>
    </row>
    <row r="21" spans="1:7" ht="20.100000000000001" customHeight="1" x14ac:dyDescent="0.25">
      <c r="A21" s="84"/>
      <c r="G21" s="95"/>
    </row>
    <row r="22" spans="1:7" ht="20.100000000000001" customHeight="1" x14ac:dyDescent="0.25">
      <c r="A22" s="76">
        <v>10</v>
      </c>
      <c r="B22" s="77" t="s">
        <v>806</v>
      </c>
      <c r="C22" s="77"/>
      <c r="D22" s="77"/>
      <c r="E22" s="77"/>
      <c r="F22" s="91" t="s">
        <v>309</v>
      </c>
      <c r="G22" s="92" t="s">
        <v>227</v>
      </c>
    </row>
    <row r="23" spans="1:7" ht="20.100000000000001" customHeight="1" x14ac:dyDescent="0.25">
      <c r="A23" s="76"/>
      <c r="B23" s="77" t="s">
        <v>807</v>
      </c>
      <c r="C23" s="77"/>
      <c r="D23" s="77"/>
      <c r="E23" s="77"/>
      <c r="F23" s="76">
        <f>data!C127</f>
        <v>15400</v>
      </c>
      <c r="G23" s="80">
        <f>data!D127</f>
        <v>73661</v>
      </c>
    </row>
    <row r="24" spans="1:7" ht="20.100000000000001" customHeight="1" x14ac:dyDescent="0.25">
      <c r="A24" s="76"/>
      <c r="B24" s="77" t="s">
        <v>808</v>
      </c>
      <c r="C24" s="77"/>
      <c r="D24" s="77"/>
      <c r="E24" s="77"/>
      <c r="F24" s="76">
        <f>data!C128</f>
        <v>0</v>
      </c>
      <c r="G24" s="80">
        <f>data!D128</f>
        <v>0</v>
      </c>
    </row>
    <row r="25" spans="1:7" ht="20.100000000000001" customHeight="1" x14ac:dyDescent="0.25">
      <c r="A25" s="76"/>
      <c r="B25" s="77" t="s">
        <v>809</v>
      </c>
      <c r="C25" s="77"/>
      <c r="D25" s="77"/>
      <c r="E25" s="77"/>
      <c r="F25" s="76">
        <f>data!C129</f>
        <v>0</v>
      </c>
      <c r="G25" s="80">
        <f>data!D129</f>
        <v>0</v>
      </c>
    </row>
    <row r="26" spans="1:7" ht="20.100000000000001" customHeight="1" x14ac:dyDescent="0.25">
      <c r="A26" s="76">
        <v>11</v>
      </c>
      <c r="B26" s="77" t="s">
        <v>313</v>
      </c>
      <c r="C26" s="77"/>
      <c r="D26" s="77"/>
      <c r="E26" s="77"/>
      <c r="F26" s="76">
        <f>data!C130</f>
        <v>4583</v>
      </c>
      <c r="G26" s="80">
        <f>data!D130</f>
        <v>6362</v>
      </c>
    </row>
    <row r="27" spans="1:7" ht="20.100000000000001" customHeight="1" x14ac:dyDescent="0.25">
      <c r="A27" s="81"/>
      <c r="B27" s="82"/>
      <c r="C27" s="82"/>
      <c r="D27" s="82"/>
      <c r="E27" s="82"/>
      <c r="F27" s="82"/>
      <c r="G27" s="83"/>
    </row>
    <row r="28" spans="1:7" ht="20.100000000000001" customHeight="1" x14ac:dyDescent="0.25">
      <c r="A28" s="84"/>
      <c r="G28" s="95"/>
    </row>
    <row r="29" spans="1:7" ht="20.100000000000001" customHeight="1" x14ac:dyDescent="0.25">
      <c r="A29" s="76">
        <v>12</v>
      </c>
      <c r="B29" s="96" t="s">
        <v>810</v>
      </c>
      <c r="C29" s="80"/>
      <c r="D29" s="92" t="s">
        <v>179</v>
      </c>
      <c r="E29" s="96" t="s">
        <v>810</v>
      </c>
      <c r="F29" s="80"/>
      <c r="G29" s="92" t="s">
        <v>179</v>
      </c>
    </row>
    <row r="30" spans="1:7" ht="20.100000000000001" customHeight="1" x14ac:dyDescent="0.25">
      <c r="A30" s="76"/>
      <c r="B30" s="77" t="s">
        <v>315</v>
      </c>
      <c r="C30" s="80"/>
      <c r="D30" s="80">
        <f>data!C132</f>
        <v>20</v>
      </c>
      <c r="E30" s="77" t="s">
        <v>321</v>
      </c>
      <c r="F30" s="80"/>
      <c r="G30" s="80">
        <f>data!C139</f>
        <v>0</v>
      </c>
    </row>
    <row r="31" spans="1:7" ht="20.100000000000001" customHeight="1" x14ac:dyDescent="0.25">
      <c r="A31" s="76"/>
      <c r="B31" s="96" t="s">
        <v>811</v>
      </c>
      <c r="C31" s="80"/>
      <c r="D31" s="80">
        <f>data!C133</f>
        <v>31</v>
      </c>
      <c r="E31" s="77" t="s">
        <v>322</v>
      </c>
      <c r="F31" s="80"/>
      <c r="G31" s="80">
        <f>data!C140</f>
        <v>0</v>
      </c>
    </row>
    <row r="32" spans="1:7" ht="20.100000000000001" customHeight="1" x14ac:dyDescent="0.25">
      <c r="A32" s="76"/>
      <c r="B32" s="96" t="s">
        <v>812</v>
      </c>
      <c r="C32" s="80"/>
      <c r="D32" s="80">
        <f>data!C134</f>
        <v>209</v>
      </c>
      <c r="E32" s="77" t="s">
        <v>813</v>
      </c>
      <c r="F32" s="80"/>
      <c r="G32" s="80">
        <f>data!C141</f>
        <v>0</v>
      </c>
    </row>
    <row r="33" spans="1:7" ht="20.100000000000001" customHeight="1" x14ac:dyDescent="0.25">
      <c r="A33" s="76"/>
      <c r="B33" s="96" t="s">
        <v>814</v>
      </c>
      <c r="C33" s="80"/>
      <c r="D33" s="80">
        <f>data!C135</f>
        <v>1</v>
      </c>
      <c r="E33" s="77" t="s">
        <v>815</v>
      </c>
      <c r="F33" s="80"/>
      <c r="G33" s="80">
        <f>data!C142</f>
        <v>43</v>
      </c>
    </row>
    <row r="34" spans="1:7" ht="20.100000000000001" customHeight="1" x14ac:dyDescent="0.25">
      <c r="A34" s="76"/>
      <c r="B34" s="96" t="s">
        <v>816</v>
      </c>
      <c r="C34" s="80"/>
      <c r="D34" s="80">
        <f>data!C136</f>
        <v>36</v>
      </c>
      <c r="E34" s="77" t="s">
        <v>324</v>
      </c>
      <c r="F34" s="80"/>
      <c r="G34" s="80">
        <f>data!E143</f>
        <v>354</v>
      </c>
    </row>
    <row r="35" spans="1:7" ht="20.100000000000001" customHeight="1" x14ac:dyDescent="0.25">
      <c r="A35" s="76"/>
      <c r="B35" s="96" t="s">
        <v>817</v>
      </c>
      <c r="C35" s="80"/>
      <c r="D35" s="80">
        <f>data!C137</f>
        <v>14</v>
      </c>
      <c r="E35" s="77" t="s">
        <v>818</v>
      </c>
      <c r="F35" s="97"/>
      <c r="G35" s="80"/>
    </row>
    <row r="36" spans="1:7" ht="20.100000000000001" customHeight="1" x14ac:dyDescent="0.25">
      <c r="A36" s="76"/>
      <c r="B36" s="77" t="s">
        <v>108</v>
      </c>
      <c r="C36" s="80"/>
      <c r="D36" s="80">
        <f>data!C138</f>
        <v>0</v>
      </c>
      <c r="E36" s="77" t="s">
        <v>325</v>
      </c>
      <c r="F36" s="80"/>
      <c r="G36" s="80">
        <f>data!C144</f>
        <v>318</v>
      </c>
    </row>
    <row r="37" spans="1:7" ht="20.100000000000001" customHeight="1" x14ac:dyDescent="0.25">
      <c r="A37" s="76"/>
      <c r="E37" s="77" t="s">
        <v>326</v>
      </c>
      <c r="F37" s="80"/>
      <c r="G37" s="80">
        <f>data!C145</f>
        <v>0</v>
      </c>
    </row>
    <row r="38" spans="1:7" ht="20.100000000000001" customHeight="1" x14ac:dyDescent="0.25">
      <c r="A38" s="76"/>
      <c r="B38" s="77"/>
      <c r="C38" s="77"/>
      <c r="D38" s="77"/>
      <c r="E38" s="77"/>
      <c r="F38" s="77"/>
      <c r="G38" s="80"/>
    </row>
    <row r="39" spans="1:7" ht="20.100000000000001" customHeight="1" x14ac:dyDescent="0.25">
      <c r="A39" s="98">
        <v>13</v>
      </c>
      <c r="B39" s="99" t="s">
        <v>321</v>
      </c>
      <c r="C39" s="95"/>
      <c r="D39" s="95"/>
      <c r="E39" s="100"/>
      <c r="F39" s="100"/>
      <c r="G39" s="101"/>
    </row>
    <row r="40" spans="1:7" ht="20.100000000000001" customHeight="1" x14ac:dyDescent="0.25">
      <c r="A40" s="102"/>
      <c r="B40" s="103" t="s">
        <v>819</v>
      </c>
      <c r="C40" s="104" t="s">
        <v>284</v>
      </c>
      <c r="D40" s="85">
        <f>data!C147</f>
        <v>0</v>
      </c>
      <c r="E40" s="105"/>
      <c r="F40" s="105"/>
      <c r="G40" s="106"/>
    </row>
  </sheetData>
  <phoneticPr fontId="0" type="noConversion"/>
  <printOptions horizontalCentered="1" verticalCentered="1" gridLines="1" gridLinesSet="0"/>
  <pageMargins left="0" right="0" top="0" bottom="0" header="0" footer="0"/>
  <pageSetup scale="9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G33"/>
  <sheetViews>
    <sheetView zoomScaleNormal="100" workbookViewId="0">
      <selection activeCell="N34" sqref="N34"/>
    </sheetView>
  </sheetViews>
  <sheetFormatPr defaultColWidth="8.77734375" defaultRowHeight="20.100000000000001" customHeight="1" x14ac:dyDescent="0.25"/>
  <cols>
    <col min="1" max="1" width="10.33203125" style="1" customWidth="1"/>
    <col min="2" max="2" width="10.77734375" style="1" customWidth="1"/>
    <col min="3" max="3" width="12.77734375" style="1" customWidth="1"/>
    <col min="4" max="4" width="11.77734375" style="1" customWidth="1"/>
    <col min="5" max="6" width="13.77734375" style="1" customWidth="1"/>
    <col min="7" max="7" width="14.77734375" style="1" customWidth="1"/>
    <col min="8" max="9" width="8.77734375" style="1" customWidth="1"/>
    <col min="10" max="16384" width="8.77734375" style="1"/>
  </cols>
  <sheetData>
    <row r="1" spans="1:7" ht="20.100000000000001" customHeight="1" x14ac:dyDescent="0.25">
      <c r="A1" s="133" t="s">
        <v>820</v>
      </c>
      <c r="G1" s="74" t="s">
        <v>821</v>
      </c>
    </row>
    <row r="2" spans="1:7" ht="20.100000000000001" customHeight="1" x14ac:dyDescent="0.25">
      <c r="A2" s="1" t="str">
        <f>"Hospital: "&amp;data!C98</f>
        <v>Hospital: EvergreenHealth Kirkland / King Country Public Hos #2</v>
      </c>
      <c r="G2" s="4" t="s">
        <v>822</v>
      </c>
    </row>
    <row r="3" spans="1:7" ht="20.100000000000001" customHeight="1" x14ac:dyDescent="0.25">
      <c r="G3" s="4" t="str">
        <f>"FYE: "&amp;data!C96</f>
        <v>FYE: 12/31/2022</v>
      </c>
    </row>
    <row r="4" spans="1:7" ht="20.100000000000001" customHeight="1" x14ac:dyDescent="0.25">
      <c r="A4" s="134" t="s">
        <v>823</v>
      </c>
      <c r="B4" s="135"/>
      <c r="C4" s="135"/>
      <c r="D4" s="135"/>
      <c r="E4" s="135"/>
      <c r="F4" s="135"/>
      <c r="G4" s="136"/>
    </row>
    <row r="5" spans="1:7" ht="20.100000000000001" customHeight="1" x14ac:dyDescent="0.25">
      <c r="A5" s="137"/>
      <c r="B5" s="87" t="s">
        <v>824</v>
      </c>
      <c r="C5" s="87"/>
      <c r="D5" s="87"/>
      <c r="E5" s="138" t="s">
        <v>336</v>
      </c>
      <c r="F5" s="87"/>
      <c r="G5" s="87"/>
    </row>
    <row r="6" spans="1:7" ht="20.100000000000001" customHeight="1" x14ac:dyDescent="0.25">
      <c r="A6" s="139" t="s">
        <v>825</v>
      </c>
      <c r="B6" s="92" t="s">
        <v>309</v>
      </c>
      <c r="C6" s="92" t="s">
        <v>826</v>
      </c>
      <c r="D6" s="92" t="s">
        <v>332</v>
      </c>
      <c r="E6" s="92" t="s">
        <v>180</v>
      </c>
      <c r="F6" s="92" t="s">
        <v>143</v>
      </c>
      <c r="G6" s="92" t="s">
        <v>215</v>
      </c>
    </row>
    <row r="7" spans="1:7" ht="20.100000000000001" customHeight="1" x14ac:dyDescent="0.25">
      <c r="A7" s="76" t="s">
        <v>330</v>
      </c>
      <c r="B7" s="140">
        <f>data!B154</f>
        <v>5870</v>
      </c>
      <c r="C7" s="140">
        <f>data!B155</f>
        <v>42239</v>
      </c>
      <c r="D7" s="140">
        <f>data!B156</f>
        <v>0</v>
      </c>
      <c r="E7" s="140">
        <f>data!B157</f>
        <v>465234431</v>
      </c>
      <c r="F7" s="140">
        <f>data!B158</f>
        <v>509720552</v>
      </c>
      <c r="G7" s="140">
        <f>data!B157+data!B158</f>
        <v>974954983</v>
      </c>
    </row>
    <row r="8" spans="1:7" ht="20.100000000000001" customHeight="1" x14ac:dyDescent="0.25">
      <c r="A8" s="76" t="s">
        <v>331</v>
      </c>
      <c r="B8" s="140">
        <f>data!C154</f>
        <v>2235</v>
      </c>
      <c r="C8" s="140">
        <f>data!C155</f>
        <v>11220</v>
      </c>
      <c r="D8" s="140">
        <f>data!C156</f>
        <v>0</v>
      </c>
      <c r="E8" s="140">
        <f>data!C157</f>
        <v>114671148</v>
      </c>
      <c r="F8" s="140">
        <f>data!C158</f>
        <v>109263614</v>
      </c>
      <c r="G8" s="140">
        <f>data!C157+data!C158</f>
        <v>223934762</v>
      </c>
    </row>
    <row r="9" spans="1:7" ht="20.100000000000001" customHeight="1" x14ac:dyDescent="0.25">
      <c r="A9" s="76" t="s">
        <v>827</v>
      </c>
      <c r="B9" s="140">
        <f>data!D154</f>
        <v>7295</v>
      </c>
      <c r="C9" s="140">
        <f>data!D155</f>
        <v>20202</v>
      </c>
      <c r="D9" s="140">
        <f>data!D156</f>
        <v>0</v>
      </c>
      <c r="E9" s="140">
        <f>data!D157</f>
        <v>331337608</v>
      </c>
      <c r="F9" s="140">
        <f>data!D158</f>
        <v>701293360</v>
      </c>
      <c r="G9" s="140">
        <f>data!D157+data!D158</f>
        <v>1032630968</v>
      </c>
    </row>
    <row r="10" spans="1:7" ht="20.100000000000001" customHeight="1" x14ac:dyDescent="0.25">
      <c r="A10" s="91" t="s">
        <v>215</v>
      </c>
      <c r="B10" s="140">
        <f>data!E154</f>
        <v>15400</v>
      </c>
      <c r="C10" s="140">
        <f>data!E155</f>
        <v>73661</v>
      </c>
      <c r="D10" s="140">
        <f>data!E156</f>
        <v>0</v>
      </c>
      <c r="E10" s="140">
        <f>data!E157</f>
        <v>911243187</v>
      </c>
      <c r="F10" s="140">
        <f>data!E158</f>
        <v>1320277526</v>
      </c>
      <c r="G10" s="140">
        <f>E10+F10</f>
        <v>2231520713</v>
      </c>
    </row>
    <row r="11" spans="1:7" ht="20.100000000000001" customHeight="1" x14ac:dyDescent="0.25">
      <c r="A11" s="141"/>
      <c r="B11" s="142"/>
      <c r="C11" s="142"/>
      <c r="D11" s="142"/>
      <c r="E11" s="142"/>
      <c r="F11" s="142"/>
      <c r="G11" s="143"/>
    </row>
    <row r="12" spans="1:7" ht="20.100000000000001" customHeight="1" x14ac:dyDescent="0.25">
      <c r="A12" s="81"/>
      <c r="B12" s="82"/>
      <c r="C12" s="82"/>
      <c r="D12" s="82"/>
      <c r="E12" s="82"/>
      <c r="F12" s="82"/>
      <c r="G12" s="83"/>
    </row>
    <row r="13" spans="1:7" ht="20.100000000000001" customHeight="1" x14ac:dyDescent="0.25">
      <c r="A13" s="144" t="s">
        <v>828</v>
      </c>
      <c r="B13" s="75"/>
      <c r="C13" s="75"/>
      <c r="D13" s="75"/>
      <c r="E13" s="75"/>
      <c r="F13" s="75"/>
      <c r="G13" s="145"/>
    </row>
    <row r="14" spans="1:7" ht="20.100000000000001" customHeight="1" x14ac:dyDescent="0.25">
      <c r="A14" s="137"/>
      <c r="B14" s="146" t="s">
        <v>824</v>
      </c>
      <c r="C14" s="146"/>
      <c r="D14" s="146"/>
      <c r="E14" s="146" t="s">
        <v>336</v>
      </c>
      <c r="F14" s="146"/>
      <c r="G14" s="146"/>
    </row>
    <row r="15" spans="1:7" ht="20.100000000000001" customHeight="1" x14ac:dyDescent="0.25">
      <c r="A15" s="139" t="s">
        <v>825</v>
      </c>
      <c r="B15" s="92" t="s">
        <v>309</v>
      </c>
      <c r="C15" s="92" t="s">
        <v>826</v>
      </c>
      <c r="D15" s="92" t="s">
        <v>332</v>
      </c>
      <c r="E15" s="92" t="s">
        <v>180</v>
      </c>
      <c r="F15" s="92" t="s">
        <v>143</v>
      </c>
      <c r="G15" s="92" t="s">
        <v>215</v>
      </c>
    </row>
    <row r="16" spans="1:7" ht="20.100000000000001" customHeight="1" x14ac:dyDescent="0.25">
      <c r="A16" s="76" t="s">
        <v>330</v>
      </c>
      <c r="B16" s="140">
        <f>data!B160</f>
        <v>0</v>
      </c>
      <c r="C16" s="140">
        <f>data!B161</f>
        <v>0</v>
      </c>
      <c r="D16" s="140">
        <f>data!B162</f>
        <v>0</v>
      </c>
      <c r="E16" s="140">
        <f>data!B163</f>
        <v>0</v>
      </c>
      <c r="F16" s="140">
        <f>data!B164</f>
        <v>0</v>
      </c>
      <c r="G16" s="140">
        <f>data!C163+data!C164</f>
        <v>0</v>
      </c>
    </row>
    <row r="17" spans="1:7" ht="20.100000000000001" customHeight="1" x14ac:dyDescent="0.25">
      <c r="A17" s="76" t="s">
        <v>331</v>
      </c>
      <c r="B17" s="140">
        <f>data!C160</f>
        <v>0</v>
      </c>
      <c r="C17" s="140">
        <f>data!C161</f>
        <v>0</v>
      </c>
      <c r="D17" s="140">
        <f>data!C162</f>
        <v>0</v>
      </c>
      <c r="E17" s="140">
        <f>data!C163</f>
        <v>0</v>
      </c>
      <c r="F17" s="140">
        <f>data!C164</f>
        <v>0</v>
      </c>
      <c r="G17" s="140">
        <f>data!C163+data!C164</f>
        <v>0</v>
      </c>
    </row>
    <row r="18" spans="1:7" ht="20.100000000000001" customHeight="1" x14ac:dyDescent="0.25">
      <c r="A18" s="76" t="s">
        <v>827</v>
      </c>
      <c r="B18" s="140">
        <f>data!D160</f>
        <v>0</v>
      </c>
      <c r="C18" s="140">
        <f>data!D161</f>
        <v>0</v>
      </c>
      <c r="D18" s="140">
        <f>data!D162</f>
        <v>0</v>
      </c>
      <c r="E18" s="140">
        <f>data!D163</f>
        <v>0</v>
      </c>
      <c r="F18" s="140">
        <f>data!D164</f>
        <v>0</v>
      </c>
      <c r="G18" s="140">
        <f>data!D163+data!D164</f>
        <v>0</v>
      </c>
    </row>
    <row r="19" spans="1:7" ht="20.100000000000001" customHeight="1" x14ac:dyDescent="0.25">
      <c r="A19" s="91" t="s">
        <v>215</v>
      </c>
      <c r="B19" s="140">
        <f>data!E160</f>
        <v>0</v>
      </c>
      <c r="C19" s="140">
        <f>data!E161</f>
        <v>0</v>
      </c>
      <c r="D19" s="140">
        <f>data!E162</f>
        <v>0</v>
      </c>
      <c r="E19" s="140">
        <f>data!E163</f>
        <v>0</v>
      </c>
      <c r="F19" s="140">
        <f>data!E164</f>
        <v>0</v>
      </c>
      <c r="G19" s="140">
        <f>data!E163+data!E164</f>
        <v>0</v>
      </c>
    </row>
    <row r="20" spans="1:7" ht="20.100000000000001" customHeight="1" x14ac:dyDescent="0.25">
      <c r="A20" s="141"/>
      <c r="B20" s="142"/>
      <c r="C20" s="142"/>
      <c r="D20" s="142"/>
      <c r="E20" s="142"/>
      <c r="F20" s="142"/>
      <c r="G20" s="143"/>
    </row>
    <row r="21" spans="1:7" ht="20.100000000000001" customHeight="1" x14ac:dyDescent="0.25">
      <c r="A21" s="81"/>
      <c r="B21" s="82"/>
      <c r="C21" s="82"/>
      <c r="D21" s="82"/>
      <c r="E21" s="82"/>
      <c r="F21" s="82"/>
      <c r="G21" s="83"/>
    </row>
    <row r="22" spans="1:7" ht="20.100000000000001" customHeight="1" x14ac:dyDescent="0.25">
      <c r="A22" s="144" t="s">
        <v>829</v>
      </c>
      <c r="B22" s="75"/>
      <c r="C22" s="75"/>
      <c r="D22" s="75"/>
      <c r="E22" s="75"/>
      <c r="F22" s="75"/>
      <c r="G22" s="145"/>
    </row>
    <row r="23" spans="1:7" ht="20.100000000000001" customHeight="1" x14ac:dyDescent="0.25">
      <c r="A23" s="137"/>
      <c r="B23" s="87" t="s">
        <v>824</v>
      </c>
      <c r="C23" s="87"/>
      <c r="D23" s="87"/>
      <c r="E23" s="87" t="s">
        <v>336</v>
      </c>
      <c r="F23" s="87"/>
      <c r="G23" s="87"/>
    </row>
    <row r="24" spans="1:7" ht="20.100000000000001" customHeight="1" x14ac:dyDescent="0.25">
      <c r="A24" s="139" t="s">
        <v>825</v>
      </c>
      <c r="B24" s="92" t="s">
        <v>309</v>
      </c>
      <c r="C24" s="92" t="s">
        <v>826</v>
      </c>
      <c r="D24" s="92" t="s">
        <v>332</v>
      </c>
      <c r="E24" s="92" t="s">
        <v>180</v>
      </c>
      <c r="F24" s="92" t="s">
        <v>143</v>
      </c>
      <c r="G24" s="92" t="s">
        <v>215</v>
      </c>
    </row>
    <row r="25" spans="1:7" ht="20.100000000000001" customHeight="1" x14ac:dyDescent="0.25">
      <c r="A25" s="76" t="s">
        <v>330</v>
      </c>
      <c r="B25" s="140">
        <f>data!B166</f>
        <v>0</v>
      </c>
      <c r="C25" s="140">
        <f>data!B167</f>
        <v>0</v>
      </c>
      <c r="D25" s="140">
        <f>data!B168</f>
        <v>0</v>
      </c>
      <c r="E25" s="140">
        <f>data!B169</f>
        <v>0</v>
      </c>
      <c r="F25" s="140">
        <f>data!B170</f>
        <v>0</v>
      </c>
      <c r="G25" s="140">
        <f>data!B169+data!B170</f>
        <v>0</v>
      </c>
    </row>
    <row r="26" spans="1:7" ht="20.100000000000001" customHeight="1" x14ac:dyDescent="0.25">
      <c r="A26" s="76" t="s">
        <v>331</v>
      </c>
      <c r="B26" s="140">
        <f>data!C166</f>
        <v>0</v>
      </c>
      <c r="C26" s="140">
        <f>data!C167</f>
        <v>0</v>
      </c>
      <c r="D26" s="140">
        <f>data!C168</f>
        <v>0</v>
      </c>
      <c r="E26" s="140">
        <f>data!C169</f>
        <v>0</v>
      </c>
      <c r="F26" s="140">
        <f>data!C170</f>
        <v>0</v>
      </c>
      <c r="G26" s="140">
        <f>data!C169+data!C170</f>
        <v>0</v>
      </c>
    </row>
    <row r="27" spans="1:7" ht="20.100000000000001" customHeight="1" x14ac:dyDescent="0.25">
      <c r="A27" s="76" t="s">
        <v>827</v>
      </c>
      <c r="B27" s="140">
        <f>data!D166</f>
        <v>0</v>
      </c>
      <c r="C27" s="140">
        <f>data!D167</f>
        <v>0</v>
      </c>
      <c r="D27" s="140">
        <f>data!D168</f>
        <v>0</v>
      </c>
      <c r="E27" s="140">
        <f>data!D169</f>
        <v>0</v>
      </c>
      <c r="F27" s="140">
        <f>data!D170</f>
        <v>0</v>
      </c>
      <c r="G27" s="140">
        <f>data!D169+data!D170</f>
        <v>0</v>
      </c>
    </row>
    <row r="28" spans="1:7" ht="20.100000000000001" customHeight="1" x14ac:dyDescent="0.25">
      <c r="A28" s="91" t="s">
        <v>215</v>
      </c>
      <c r="B28" s="140">
        <f>data!E166</f>
        <v>0</v>
      </c>
      <c r="C28" s="140">
        <f>data!E167</f>
        <v>0</v>
      </c>
      <c r="D28" s="140">
        <f>data!E168</f>
        <v>0</v>
      </c>
      <c r="E28" s="140">
        <f>data!E169</f>
        <v>0</v>
      </c>
      <c r="F28" s="140">
        <f>data!E170</f>
        <v>0</v>
      </c>
      <c r="G28" s="140">
        <f>data!E169+data!E170</f>
        <v>0</v>
      </c>
    </row>
    <row r="29" spans="1:7" ht="20.100000000000001" customHeight="1" x14ac:dyDescent="0.25">
      <c r="A29" s="141"/>
      <c r="B29" s="142"/>
      <c r="C29" s="142"/>
      <c r="D29" s="142"/>
      <c r="E29" s="142"/>
      <c r="F29" s="142"/>
      <c r="G29" s="143"/>
    </row>
    <row r="30" spans="1:7" ht="20.100000000000001" customHeight="1" x14ac:dyDescent="0.25">
      <c r="A30" s="81"/>
      <c r="B30" s="94"/>
      <c r="C30" s="82"/>
      <c r="D30" s="82"/>
      <c r="E30" s="82"/>
      <c r="F30" s="82"/>
      <c r="G30" s="83"/>
    </row>
    <row r="31" spans="1:7" ht="20.100000000000001" customHeight="1" x14ac:dyDescent="0.25">
      <c r="A31" s="147" t="s">
        <v>830</v>
      </c>
      <c r="B31" s="148"/>
      <c r="C31" s="79"/>
      <c r="D31" s="78"/>
      <c r="E31" s="78"/>
      <c r="F31" s="78"/>
      <c r="G31" s="149"/>
    </row>
    <row r="32" spans="1:7" ht="20.100000000000001" customHeight="1" x14ac:dyDescent="0.25">
      <c r="A32" s="150"/>
      <c r="B32" s="151" t="s">
        <v>831</v>
      </c>
      <c r="C32" s="152">
        <f>data!B173</f>
        <v>8244324</v>
      </c>
      <c r="D32" s="79"/>
      <c r="E32" s="79"/>
      <c r="F32" s="79"/>
      <c r="G32" s="97"/>
    </row>
    <row r="33" spans="1:7" ht="20.100000000000001" customHeight="1" x14ac:dyDescent="0.25">
      <c r="A33" s="150"/>
      <c r="B33" s="153" t="s">
        <v>832</v>
      </c>
      <c r="C33" s="148">
        <f>data!C173</f>
        <v>19111557</v>
      </c>
      <c r="D33" s="148"/>
      <c r="E33" s="148"/>
      <c r="F33" s="148"/>
      <c r="G33" s="85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C41"/>
  <sheetViews>
    <sheetView workbookViewId="0">
      <selection activeCell="N34" sqref="N34"/>
    </sheetView>
  </sheetViews>
  <sheetFormatPr defaultColWidth="8.77734375" defaultRowHeight="15" x14ac:dyDescent="0.25"/>
  <cols>
    <col min="1" max="1" width="5.77734375" style="1" customWidth="1"/>
    <col min="2" max="2" width="54.109375" style="1" customWidth="1"/>
    <col min="3" max="3" width="13.77734375" style="1" customWidth="1"/>
    <col min="4" max="5" width="8.77734375" style="1" customWidth="1"/>
    <col min="6" max="16384" width="8.77734375" style="1"/>
  </cols>
  <sheetData>
    <row r="1" spans="1:3" ht="20.100000000000001" customHeight="1" x14ac:dyDescent="0.25">
      <c r="A1" s="154" t="s">
        <v>339</v>
      </c>
      <c r="B1" s="75"/>
      <c r="C1" s="74" t="s">
        <v>833</v>
      </c>
    </row>
    <row r="2" spans="1:3" ht="20.100000000000001" customHeight="1" x14ac:dyDescent="0.25">
      <c r="A2" s="99"/>
    </row>
    <row r="3" spans="1:3" ht="20.100000000000001" customHeight="1" x14ac:dyDescent="0.25">
      <c r="A3" s="133" t="str">
        <f>"Hospital: "&amp;data!C98</f>
        <v>Hospital: EvergreenHealth Kirkland / King Country Public Hos #2</v>
      </c>
      <c r="B3" s="82"/>
      <c r="C3" s="155" t="str">
        <f>"FYE: "&amp;data!C96</f>
        <v>FYE: 12/31/2022</v>
      </c>
    </row>
    <row r="4" spans="1:3" ht="20.100000000000001" customHeight="1" x14ac:dyDescent="0.25">
      <c r="A4" s="82"/>
    </row>
    <row r="5" spans="1:3" ht="20.100000000000001" customHeight="1" x14ac:dyDescent="0.25">
      <c r="A5" s="76">
        <v>1</v>
      </c>
      <c r="B5" s="88" t="s">
        <v>340</v>
      </c>
      <c r="C5" s="136"/>
    </row>
    <row r="6" spans="1:3" ht="20.100000000000001" customHeight="1" x14ac:dyDescent="0.25">
      <c r="A6" s="156">
        <v>2</v>
      </c>
      <c r="B6" s="77" t="s">
        <v>834</v>
      </c>
      <c r="C6" s="76">
        <f>data!C181</f>
        <v>30570782</v>
      </c>
    </row>
    <row r="7" spans="1:3" ht="20.100000000000001" customHeight="1" x14ac:dyDescent="0.25">
      <c r="A7" s="157">
        <v>3</v>
      </c>
      <c r="B7" s="96" t="s">
        <v>342</v>
      </c>
      <c r="C7" s="76">
        <f>data!C182</f>
        <v>275693</v>
      </c>
    </row>
    <row r="8" spans="1:3" ht="20.100000000000001" customHeight="1" x14ac:dyDescent="0.25">
      <c r="A8" s="157">
        <v>4</v>
      </c>
      <c r="B8" s="77" t="s">
        <v>343</v>
      </c>
      <c r="C8" s="76">
        <f>data!C183</f>
        <v>3756315</v>
      </c>
    </row>
    <row r="9" spans="1:3" ht="20.100000000000001" customHeight="1" x14ac:dyDescent="0.25">
      <c r="A9" s="157">
        <v>5</v>
      </c>
      <c r="B9" s="77" t="s">
        <v>344</v>
      </c>
      <c r="C9" s="76">
        <f>data!C184</f>
        <v>49357293</v>
      </c>
    </row>
    <row r="10" spans="1:3" ht="20.100000000000001" customHeight="1" x14ac:dyDescent="0.25">
      <c r="A10" s="157">
        <v>6</v>
      </c>
      <c r="B10" s="77" t="s">
        <v>345</v>
      </c>
      <c r="C10" s="76">
        <f>data!C185</f>
        <v>238608</v>
      </c>
    </row>
    <row r="11" spans="1:3" ht="20.100000000000001" customHeight="1" x14ac:dyDescent="0.25">
      <c r="A11" s="157">
        <v>7</v>
      </c>
      <c r="B11" s="77" t="s">
        <v>346</v>
      </c>
      <c r="C11" s="76">
        <f>data!C186</f>
        <v>22327180</v>
      </c>
    </row>
    <row r="12" spans="1:3" ht="20.100000000000001" customHeight="1" x14ac:dyDescent="0.25">
      <c r="A12" s="157">
        <v>8</v>
      </c>
      <c r="B12" s="77" t="s">
        <v>347</v>
      </c>
      <c r="C12" s="76">
        <f>data!C187</f>
        <v>505481</v>
      </c>
    </row>
    <row r="13" spans="1:3" ht="20.100000000000001" customHeight="1" x14ac:dyDescent="0.25">
      <c r="A13" s="157">
        <v>9</v>
      </c>
      <c r="B13" s="77" t="s">
        <v>347</v>
      </c>
      <c r="C13" s="76">
        <f>data!C188</f>
        <v>0</v>
      </c>
    </row>
    <row r="14" spans="1:3" ht="20.100000000000001" customHeight="1" x14ac:dyDescent="0.25">
      <c r="A14" s="157">
        <v>10</v>
      </c>
      <c r="B14" s="77" t="s">
        <v>835</v>
      </c>
      <c r="C14" s="76">
        <f>data!D189</f>
        <v>107031352</v>
      </c>
    </row>
    <row r="15" spans="1:3" ht="20.100000000000001" customHeight="1" x14ac:dyDescent="0.25">
      <c r="A15" s="81"/>
      <c r="B15" s="82"/>
      <c r="C15" s="83"/>
    </row>
    <row r="16" spans="1:3" ht="20.100000000000001" customHeight="1" x14ac:dyDescent="0.25">
      <c r="A16" s="81"/>
      <c r="B16" s="82"/>
      <c r="C16" s="83"/>
    </row>
    <row r="17" spans="1:3" ht="20.100000000000001" customHeight="1" x14ac:dyDescent="0.25">
      <c r="A17" s="158">
        <v>11</v>
      </c>
      <c r="B17" s="89" t="s">
        <v>348</v>
      </c>
      <c r="C17" s="90"/>
    </row>
    <row r="18" spans="1:3" ht="20.100000000000001" customHeight="1" x14ac:dyDescent="0.25">
      <c r="A18" s="76">
        <v>12</v>
      </c>
      <c r="B18" s="77" t="s">
        <v>836</v>
      </c>
      <c r="C18" s="76">
        <f>data!C191</f>
        <v>4134904</v>
      </c>
    </row>
    <row r="19" spans="1:3" ht="20.100000000000001" customHeight="1" x14ac:dyDescent="0.25">
      <c r="A19" s="76">
        <v>13</v>
      </c>
      <c r="B19" s="77" t="s">
        <v>837</v>
      </c>
      <c r="C19" s="76">
        <f>data!C192</f>
        <v>2067092</v>
      </c>
    </row>
    <row r="20" spans="1:3" ht="20.100000000000001" customHeight="1" x14ac:dyDescent="0.25">
      <c r="A20" s="76">
        <v>14</v>
      </c>
      <c r="B20" s="77" t="s">
        <v>838</v>
      </c>
      <c r="C20" s="76">
        <f>data!D193</f>
        <v>6201996</v>
      </c>
    </row>
    <row r="21" spans="1:3" ht="20.100000000000001" customHeight="1" x14ac:dyDescent="0.25">
      <c r="A21" s="81"/>
      <c r="B21" s="82"/>
      <c r="C21" s="83"/>
    </row>
    <row r="22" spans="1:3" ht="20.100000000000001" customHeight="1" x14ac:dyDescent="0.25">
      <c r="A22" s="81"/>
      <c r="C22" s="159"/>
    </row>
    <row r="23" spans="1:3" ht="20.100000000000001" customHeight="1" x14ac:dyDescent="0.25">
      <c r="A23" s="137">
        <v>15</v>
      </c>
      <c r="B23" s="160" t="s">
        <v>351</v>
      </c>
      <c r="C23" s="136"/>
    </row>
    <row r="24" spans="1:3" ht="20.100000000000001" customHeight="1" x14ac:dyDescent="0.25">
      <c r="A24" s="76">
        <v>16</v>
      </c>
      <c r="B24" s="88" t="s">
        <v>839</v>
      </c>
      <c r="C24" s="161"/>
    </row>
    <row r="25" spans="1:3" ht="20.100000000000001" customHeight="1" x14ac:dyDescent="0.25">
      <c r="A25" s="76">
        <v>17</v>
      </c>
      <c r="B25" s="77" t="s">
        <v>840</v>
      </c>
      <c r="C25" s="76">
        <f>data!C195</f>
        <v>1326450</v>
      </c>
    </row>
    <row r="26" spans="1:3" ht="20.100000000000001" customHeight="1" x14ac:dyDescent="0.25">
      <c r="A26" s="76">
        <v>18</v>
      </c>
      <c r="B26" s="77" t="s">
        <v>353</v>
      </c>
      <c r="C26" s="76">
        <f>data!C196</f>
        <v>2128942</v>
      </c>
    </row>
    <row r="27" spans="1:3" ht="20.100000000000001" customHeight="1" x14ac:dyDescent="0.25">
      <c r="A27" s="76">
        <v>19</v>
      </c>
      <c r="B27" s="77" t="s">
        <v>841</v>
      </c>
      <c r="C27" s="76">
        <f>data!D197</f>
        <v>3455392</v>
      </c>
    </row>
    <row r="28" spans="1:3" ht="20.100000000000001" customHeight="1" x14ac:dyDescent="0.25">
      <c r="A28" s="81"/>
      <c r="B28" s="82"/>
      <c r="C28" s="83"/>
    </row>
    <row r="29" spans="1:3" ht="20.100000000000001" customHeight="1" x14ac:dyDescent="0.25">
      <c r="A29" s="81"/>
      <c r="B29" s="82"/>
      <c r="C29" s="83"/>
    </row>
    <row r="30" spans="1:3" ht="20.100000000000001" customHeight="1" x14ac:dyDescent="0.25">
      <c r="A30" s="137">
        <v>20</v>
      </c>
      <c r="B30" s="160" t="s">
        <v>842</v>
      </c>
      <c r="C30" s="146"/>
    </row>
    <row r="31" spans="1:3" ht="20.100000000000001" customHeight="1" x14ac:dyDescent="0.25">
      <c r="A31" s="76">
        <v>21</v>
      </c>
      <c r="B31" s="77" t="s">
        <v>355</v>
      </c>
      <c r="C31" s="76">
        <f>data!C199</f>
        <v>486226</v>
      </c>
    </row>
    <row r="32" spans="1:3" ht="20.100000000000001" customHeight="1" x14ac:dyDescent="0.25">
      <c r="A32" s="76">
        <v>22</v>
      </c>
      <c r="B32" s="77" t="s">
        <v>843</v>
      </c>
      <c r="C32" s="76">
        <f>data!C200</f>
        <v>8615470</v>
      </c>
    </row>
    <row r="33" spans="1:3" ht="20.100000000000001" customHeight="1" x14ac:dyDescent="0.25">
      <c r="A33" s="76">
        <v>23</v>
      </c>
      <c r="B33" s="77" t="s">
        <v>144</v>
      </c>
      <c r="C33" s="76">
        <f>data!C201</f>
        <v>0</v>
      </c>
    </row>
    <row r="34" spans="1:3" ht="20.100000000000001" customHeight="1" x14ac:dyDescent="0.25">
      <c r="A34" s="76">
        <v>24</v>
      </c>
      <c r="B34" s="77" t="s">
        <v>844</v>
      </c>
      <c r="C34" s="76">
        <f>data!D202</f>
        <v>9101696</v>
      </c>
    </row>
    <row r="35" spans="1:3" ht="20.100000000000001" customHeight="1" x14ac:dyDescent="0.25">
      <c r="A35" s="81"/>
      <c r="B35" s="82"/>
      <c r="C35" s="83"/>
    </row>
    <row r="36" spans="1:3" ht="20.100000000000001" customHeight="1" x14ac:dyDescent="0.25">
      <c r="A36" s="81"/>
      <c r="B36" s="82"/>
      <c r="C36" s="83"/>
    </row>
    <row r="37" spans="1:3" ht="20.100000000000001" customHeight="1" x14ac:dyDescent="0.25">
      <c r="A37" s="137">
        <v>25</v>
      </c>
      <c r="B37" s="160" t="s">
        <v>357</v>
      </c>
      <c r="C37" s="136"/>
    </row>
    <row r="38" spans="1:3" ht="20.100000000000001" customHeight="1" x14ac:dyDescent="0.25">
      <c r="A38" s="76">
        <v>26</v>
      </c>
      <c r="B38" s="77" t="s">
        <v>845</v>
      </c>
      <c r="C38" s="76">
        <f>data!C204</f>
        <v>15301422</v>
      </c>
    </row>
    <row r="39" spans="1:3" ht="20.100000000000001" customHeight="1" x14ac:dyDescent="0.25">
      <c r="A39" s="76">
        <v>27</v>
      </c>
      <c r="B39" s="77" t="s">
        <v>359</v>
      </c>
      <c r="C39" s="76">
        <f>data!C205</f>
        <v>0</v>
      </c>
    </row>
    <row r="40" spans="1:3" ht="20.100000000000001" customHeight="1" x14ac:dyDescent="0.25">
      <c r="A40" s="76">
        <v>28</v>
      </c>
      <c r="B40" s="77" t="s">
        <v>846</v>
      </c>
      <c r="C40" s="76">
        <f>data!D206</f>
        <v>15301422</v>
      </c>
    </row>
    <row r="41" spans="1:3" x14ac:dyDescent="0.25">
      <c r="A41" s="82"/>
      <c r="B41" s="82"/>
      <c r="C41" s="82"/>
    </row>
  </sheetData>
  <phoneticPr fontId="0" type="noConversion"/>
  <printOptions horizontalCentered="1" verticalCentered="1" gridLines="1" gridLinesSet="0"/>
  <pageMargins left="0" right="0" top="0" bottom="0" header="0" footer="0"/>
  <pageSetup scale="97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F32"/>
  <sheetViews>
    <sheetView showFormulas="1" tabSelected="1" workbookViewId="0">
      <selection activeCell="E18" sqref="E18"/>
    </sheetView>
  </sheetViews>
  <sheetFormatPr defaultColWidth="8.77734375" defaultRowHeight="20.100000000000001" customHeight="1" x14ac:dyDescent="0.25"/>
  <cols>
    <col min="1" max="1" width="5.77734375" style="1" customWidth="1"/>
    <col min="2" max="2" width="22.5546875" style="1" customWidth="1"/>
    <col min="3" max="5" width="13.77734375" style="1" customWidth="1"/>
    <col min="6" max="6" width="15.77734375" style="1" customWidth="1"/>
    <col min="7" max="8" width="8.77734375" style="1" customWidth="1"/>
    <col min="9" max="16384" width="8.77734375" style="1"/>
  </cols>
  <sheetData>
    <row r="1" spans="1:6" ht="20.100000000000001" customHeight="1" x14ac:dyDescent="0.25">
      <c r="A1" s="154" t="s">
        <v>360</v>
      </c>
      <c r="B1" s="75"/>
      <c r="C1" s="75"/>
      <c r="D1" s="75"/>
      <c r="E1" s="75"/>
      <c r="F1" s="74" t="s">
        <v>847</v>
      </c>
    </row>
    <row r="3" spans="1:6" ht="20.100000000000001" customHeight="1" x14ac:dyDescent="0.25">
      <c r="A3" s="133" t="str">
        <f>"Hospital: "&amp;data!C98</f>
        <v>Hospital: EvergreenHealth Kirkland / King Country Public Hos #2</v>
      </c>
      <c r="F3" s="155" t="str">
        <f>"FYE: "&amp;data!C96</f>
        <v>FYE: 12/31/2022</v>
      </c>
    </row>
    <row r="4" spans="1:6" ht="20.100000000000001" customHeight="1" x14ac:dyDescent="0.25">
      <c r="A4" s="161" t="s">
        <v>361</v>
      </c>
      <c r="B4" s="87"/>
      <c r="C4" s="87"/>
      <c r="D4" s="88"/>
      <c r="E4" s="88"/>
      <c r="F4" s="87"/>
    </row>
    <row r="5" spans="1:6" ht="20.100000000000001" customHeight="1" x14ac:dyDescent="0.25">
      <c r="A5" s="137"/>
      <c r="B5" s="163"/>
      <c r="C5" s="164" t="s">
        <v>848</v>
      </c>
      <c r="D5" s="164"/>
      <c r="E5" s="164"/>
      <c r="F5" s="164" t="s">
        <v>849</v>
      </c>
    </row>
    <row r="6" spans="1:6" ht="20.100000000000001" customHeight="1" x14ac:dyDescent="0.25">
      <c r="A6" s="165"/>
      <c r="B6" s="83"/>
      <c r="C6" s="166" t="s">
        <v>850</v>
      </c>
      <c r="D6" s="166" t="s">
        <v>363</v>
      </c>
      <c r="E6" s="166" t="s">
        <v>851</v>
      </c>
      <c r="F6" s="166" t="s">
        <v>850</v>
      </c>
    </row>
    <row r="7" spans="1:6" ht="20.100000000000001" customHeight="1" x14ac:dyDescent="0.25">
      <c r="A7" s="76">
        <v>1</v>
      </c>
      <c r="B7" s="80" t="s">
        <v>366</v>
      </c>
      <c r="C7" s="80">
        <f>data!B211</f>
        <v>4913659.68</v>
      </c>
      <c r="D7" s="80">
        <f>data!C211</f>
        <v>0</v>
      </c>
      <c r="E7" s="80">
        <f>data!D211</f>
        <v>0</v>
      </c>
      <c r="F7" s="80">
        <f>data!E211</f>
        <v>4913659.68</v>
      </c>
    </row>
    <row r="8" spans="1:6" ht="20.100000000000001" customHeight="1" x14ac:dyDescent="0.25">
      <c r="A8" s="76">
        <v>2</v>
      </c>
      <c r="B8" s="80" t="s">
        <v>367</v>
      </c>
      <c r="C8" s="80">
        <f>data!B212</f>
        <v>13121106</v>
      </c>
      <c r="D8" s="80">
        <f>data!C212</f>
        <v>-29508</v>
      </c>
      <c r="E8" s="80">
        <f>data!D212</f>
        <v>0</v>
      </c>
      <c r="F8" s="80">
        <f>data!E212</f>
        <v>13091598</v>
      </c>
    </row>
    <row r="9" spans="1:6" ht="20.100000000000001" customHeight="1" x14ac:dyDescent="0.25">
      <c r="A9" s="76">
        <v>3</v>
      </c>
      <c r="B9" s="80" t="s">
        <v>368</v>
      </c>
      <c r="C9" s="80">
        <f>data!B213</f>
        <v>358326297</v>
      </c>
      <c r="D9" s="80">
        <f>data!C213</f>
        <v>14550192.65</v>
      </c>
      <c r="E9" s="80">
        <f>data!D213</f>
        <v>-13742.95</v>
      </c>
      <c r="F9" s="80">
        <f>data!E213</f>
        <v>372890232.59999996</v>
      </c>
    </row>
    <row r="10" spans="1:6" ht="20.100000000000001" customHeight="1" x14ac:dyDescent="0.25">
      <c r="A10" s="76">
        <v>4</v>
      </c>
      <c r="B10" s="80" t="s">
        <v>852</v>
      </c>
      <c r="C10" s="80">
        <f>data!B214</f>
        <v>133768501</v>
      </c>
      <c r="D10" s="80">
        <f>data!C214</f>
        <v>4709430</v>
      </c>
      <c r="E10" s="80">
        <f>data!D214</f>
        <v>0</v>
      </c>
      <c r="F10" s="80">
        <f>data!E214</f>
        <v>138477931</v>
      </c>
    </row>
    <row r="11" spans="1:6" ht="20.100000000000001" customHeight="1" x14ac:dyDescent="0.25">
      <c r="A11" s="76">
        <v>5</v>
      </c>
      <c r="B11" s="80" t="s">
        <v>853</v>
      </c>
      <c r="C11" s="80">
        <f>data!B215</f>
        <v>10601</v>
      </c>
      <c r="D11" s="80">
        <f>data!C215</f>
        <v>-10601</v>
      </c>
      <c r="E11" s="80">
        <f>data!D215</f>
        <v>0</v>
      </c>
      <c r="F11" s="80">
        <f>data!E215</f>
        <v>0</v>
      </c>
    </row>
    <row r="12" spans="1:6" ht="20.100000000000001" customHeight="1" x14ac:dyDescent="0.25">
      <c r="A12" s="76">
        <v>6</v>
      </c>
      <c r="B12" s="80" t="s">
        <v>854</v>
      </c>
      <c r="C12" s="80">
        <f>data!B216</f>
        <v>289158126</v>
      </c>
      <c r="D12" s="80">
        <f>data!C216</f>
        <v>62355095.07</v>
      </c>
      <c r="E12" s="80">
        <f>data!D216</f>
        <v>8233705</v>
      </c>
      <c r="F12" s="80">
        <f>data!E216</f>
        <v>343279516.06999999</v>
      </c>
    </row>
    <row r="13" spans="1:6" ht="20.100000000000001" customHeight="1" x14ac:dyDescent="0.25">
      <c r="A13" s="76">
        <v>7</v>
      </c>
      <c r="B13" s="80" t="s">
        <v>855</v>
      </c>
      <c r="C13" s="80">
        <f>data!B217</f>
        <v>0</v>
      </c>
      <c r="D13" s="80">
        <f>data!C217</f>
        <v>0</v>
      </c>
      <c r="E13" s="80">
        <f>data!D217</f>
        <v>0</v>
      </c>
      <c r="F13" s="80">
        <f>data!E217</f>
        <v>0</v>
      </c>
    </row>
    <row r="14" spans="1:6" ht="20.100000000000001" customHeight="1" x14ac:dyDescent="0.25">
      <c r="A14" s="76">
        <v>8</v>
      </c>
      <c r="B14" s="80" t="s">
        <v>373</v>
      </c>
      <c r="C14" s="80">
        <f>data!B218</f>
        <v>39855644</v>
      </c>
      <c r="D14" s="80">
        <f>data!C218</f>
        <v>1362467.64</v>
      </c>
      <c r="E14" s="80">
        <f>data!D218</f>
        <v>0</v>
      </c>
      <c r="F14" s="80">
        <f>data!E218</f>
        <v>41218111.640000001</v>
      </c>
    </row>
    <row r="15" spans="1:6" ht="20.100000000000001" customHeight="1" x14ac:dyDescent="0.25">
      <c r="A15" s="76">
        <v>9</v>
      </c>
      <c r="B15" s="80" t="s">
        <v>856</v>
      </c>
      <c r="C15" s="80">
        <f>data!B219</f>
        <v>33286256</v>
      </c>
      <c r="D15" s="80">
        <f>data!C219</f>
        <v>71492833</v>
      </c>
      <c r="E15" s="80">
        <f>data!D219</f>
        <v>94905895</v>
      </c>
      <c r="F15" s="80">
        <f>data!E219</f>
        <v>9873194</v>
      </c>
    </row>
    <row r="16" spans="1:6" ht="20.100000000000001" customHeight="1" x14ac:dyDescent="0.25">
      <c r="A16" s="76">
        <v>10</v>
      </c>
      <c r="B16" s="80" t="s">
        <v>587</v>
      </c>
      <c r="C16" s="80">
        <f>data!B220</f>
        <v>872440190.68000007</v>
      </c>
      <c r="D16" s="80">
        <f>data!C220</f>
        <v>154429909.36000001</v>
      </c>
      <c r="E16" s="80">
        <f>data!D220</f>
        <v>103125857.05</v>
      </c>
      <c r="F16" s="80">
        <f>data!E220</f>
        <v>923744242.98999989</v>
      </c>
    </row>
    <row r="17" spans="1:6" ht="20.100000000000001" customHeight="1" x14ac:dyDescent="0.25">
      <c r="A17" s="81"/>
      <c r="B17" s="82"/>
      <c r="C17" s="82"/>
      <c r="D17" s="82"/>
      <c r="E17" s="82"/>
      <c r="F17" s="83"/>
    </row>
    <row r="18" spans="1:6" ht="20.100000000000001" customHeight="1" x14ac:dyDescent="0.25">
      <c r="A18" s="84"/>
      <c r="F18" s="95"/>
    </row>
    <row r="19" spans="1:6" ht="20.100000000000001" customHeight="1" x14ac:dyDescent="0.25">
      <c r="A19" s="84"/>
      <c r="F19" s="95"/>
    </row>
    <row r="20" spans="1:6" ht="20.100000000000001" customHeight="1" x14ac:dyDescent="0.25">
      <c r="A20" s="161" t="s">
        <v>375</v>
      </c>
      <c r="B20" s="87"/>
      <c r="C20" s="87"/>
      <c r="D20" s="87"/>
      <c r="E20" s="87"/>
      <c r="F20" s="87"/>
    </row>
    <row r="21" spans="1:6" ht="20.100000000000001" customHeight="1" x14ac:dyDescent="0.25">
      <c r="A21" s="167"/>
      <c r="B21" s="159"/>
      <c r="C21" s="166" t="s">
        <v>848</v>
      </c>
      <c r="D21" s="4" t="s">
        <v>215</v>
      </c>
      <c r="E21" s="166"/>
      <c r="F21" s="166" t="s">
        <v>849</v>
      </c>
    </row>
    <row r="22" spans="1:6" ht="20.100000000000001" customHeight="1" x14ac:dyDescent="0.25">
      <c r="A22" s="167"/>
      <c r="B22" s="159"/>
      <c r="C22" s="166" t="s">
        <v>850</v>
      </c>
      <c r="D22" s="166" t="s">
        <v>857</v>
      </c>
      <c r="E22" s="166" t="s">
        <v>851</v>
      </c>
      <c r="F22" s="166" t="s">
        <v>850</v>
      </c>
    </row>
    <row r="23" spans="1:6" ht="20.100000000000001" customHeight="1" x14ac:dyDescent="0.25">
      <c r="A23" s="76">
        <v>11</v>
      </c>
      <c r="B23" s="168" t="s">
        <v>366</v>
      </c>
      <c r="C23" s="168"/>
      <c r="D23" s="168"/>
      <c r="E23" s="168"/>
      <c r="F23" s="168"/>
    </row>
    <row r="24" spans="1:6" ht="20.100000000000001" customHeight="1" x14ac:dyDescent="0.25">
      <c r="A24" s="76">
        <v>12</v>
      </c>
      <c r="B24" s="80" t="s">
        <v>367</v>
      </c>
      <c r="C24" s="80">
        <f>data!B225</f>
        <v>11661059</v>
      </c>
      <c r="D24" s="80">
        <f>data!C225</f>
        <v>307772</v>
      </c>
      <c r="E24" s="80">
        <f>data!D225</f>
        <v>0</v>
      </c>
      <c r="F24" s="80">
        <f>data!E225</f>
        <v>11968831</v>
      </c>
    </row>
    <row r="25" spans="1:6" ht="20.100000000000001" customHeight="1" x14ac:dyDescent="0.25">
      <c r="A25" s="76">
        <v>13</v>
      </c>
      <c r="B25" s="80" t="s">
        <v>368</v>
      </c>
      <c r="C25" s="80">
        <f>data!B226</f>
        <v>193751009</v>
      </c>
      <c r="D25" s="80">
        <f>data!C226</f>
        <v>4923261</v>
      </c>
      <c r="E25" s="80">
        <f>data!D226</f>
        <v>-12435</v>
      </c>
      <c r="F25" s="80">
        <f>data!E226</f>
        <v>198686705</v>
      </c>
    </row>
    <row r="26" spans="1:6" ht="20.100000000000001" customHeight="1" x14ac:dyDescent="0.25">
      <c r="A26" s="76">
        <v>14</v>
      </c>
      <c r="B26" s="80" t="s">
        <v>852</v>
      </c>
      <c r="C26" s="80">
        <f>data!B227</f>
        <v>100317998</v>
      </c>
      <c r="D26" s="80">
        <f>data!C227</f>
        <v>3398738</v>
      </c>
      <c r="E26" s="80">
        <f>data!D227</f>
        <v>0</v>
      </c>
      <c r="F26" s="80">
        <f>data!E227</f>
        <v>103716736</v>
      </c>
    </row>
    <row r="27" spans="1:6" ht="20.100000000000001" customHeight="1" x14ac:dyDescent="0.25">
      <c r="A27" s="76">
        <v>15</v>
      </c>
      <c r="B27" s="80" t="s">
        <v>853</v>
      </c>
      <c r="C27" s="80">
        <f>data!B228</f>
        <v>9276</v>
      </c>
      <c r="D27" s="80">
        <f>data!C228</f>
        <v>88</v>
      </c>
      <c r="E27" s="80">
        <f>data!D228</f>
        <v>9364</v>
      </c>
      <c r="F27" s="80">
        <f>data!E228</f>
        <v>0</v>
      </c>
    </row>
    <row r="28" spans="1:6" ht="20.100000000000001" customHeight="1" x14ac:dyDescent="0.25">
      <c r="A28" s="76">
        <v>16</v>
      </c>
      <c r="B28" s="80" t="s">
        <v>854</v>
      </c>
      <c r="C28" s="80">
        <f>data!B229</f>
        <v>217975145</v>
      </c>
      <c r="D28" s="80">
        <f>data!C229</f>
        <v>20305940</v>
      </c>
      <c r="E28" s="80">
        <f>data!D229</f>
        <v>8177862</v>
      </c>
      <c r="F28" s="80">
        <f>data!E229</f>
        <v>230103223</v>
      </c>
    </row>
    <row r="29" spans="1:6" ht="20.100000000000001" customHeight="1" x14ac:dyDescent="0.25">
      <c r="A29" s="76">
        <v>17</v>
      </c>
      <c r="B29" s="80" t="s">
        <v>855</v>
      </c>
      <c r="C29" s="80">
        <f>data!B230</f>
        <v>0</v>
      </c>
      <c r="D29" s="80">
        <f>data!C230</f>
        <v>0</v>
      </c>
      <c r="E29" s="80">
        <f>data!D230</f>
        <v>0</v>
      </c>
      <c r="F29" s="80">
        <f>data!E230</f>
        <v>0</v>
      </c>
    </row>
    <row r="30" spans="1:6" ht="20.100000000000001" customHeight="1" x14ac:dyDescent="0.25">
      <c r="A30" s="76">
        <v>18</v>
      </c>
      <c r="B30" s="80" t="s">
        <v>373</v>
      </c>
      <c r="C30" s="80">
        <f>data!B231</f>
        <v>26283556</v>
      </c>
      <c r="D30" s="80">
        <f>data!C231</f>
        <v>2407939</v>
      </c>
      <c r="E30" s="80">
        <f>data!D231</f>
        <v>0</v>
      </c>
      <c r="F30" s="80">
        <f>data!E231</f>
        <v>28691495</v>
      </c>
    </row>
    <row r="31" spans="1:6" ht="20.100000000000001" customHeight="1" x14ac:dyDescent="0.25">
      <c r="A31" s="76">
        <v>19</v>
      </c>
      <c r="B31" s="80" t="s">
        <v>856</v>
      </c>
      <c r="C31" s="80">
        <f>data!B232</f>
        <v>0</v>
      </c>
      <c r="D31" s="80">
        <f>data!C232</f>
        <v>0</v>
      </c>
      <c r="E31" s="80">
        <f>data!D232</f>
        <v>0</v>
      </c>
      <c r="F31" s="80">
        <f>data!E232</f>
        <v>0</v>
      </c>
    </row>
    <row r="32" spans="1:6" ht="20.100000000000001" customHeight="1" x14ac:dyDescent="0.25">
      <c r="A32" s="76">
        <v>20</v>
      </c>
      <c r="B32" s="80" t="s">
        <v>587</v>
      </c>
      <c r="C32" s="80">
        <f>data!B233</f>
        <v>549998043</v>
      </c>
      <c r="D32" s="80">
        <f>data!C233</f>
        <v>31343738</v>
      </c>
      <c r="E32" s="80">
        <f>data!D233</f>
        <v>8174791</v>
      </c>
      <c r="F32" s="80">
        <f>data!E233</f>
        <v>573166990</v>
      </c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E34"/>
  <sheetViews>
    <sheetView topLeftCell="A16" workbookViewId="0">
      <selection activeCell="E27" sqref="E27"/>
    </sheetView>
  </sheetViews>
  <sheetFormatPr defaultColWidth="8.77734375" defaultRowHeight="20.100000000000001" customHeight="1" x14ac:dyDescent="0.25"/>
  <cols>
    <col min="1" max="1" width="5.77734375" style="1" customWidth="1"/>
    <col min="2" max="2" width="7.77734375" style="1" customWidth="1"/>
    <col min="3" max="3" width="40.77734375" style="1" customWidth="1"/>
    <col min="4" max="4" width="15.77734375" style="1" customWidth="1"/>
    <col min="5" max="6" width="8.77734375" style="1" customWidth="1"/>
    <col min="7" max="16384" width="8.77734375" style="1"/>
  </cols>
  <sheetData>
    <row r="1" spans="1:4" ht="20.100000000000001" customHeight="1" x14ac:dyDescent="0.25">
      <c r="A1" s="75" t="s">
        <v>858</v>
      </c>
      <c r="B1" s="75"/>
      <c r="C1" s="75"/>
      <c r="D1" s="74" t="s">
        <v>859</v>
      </c>
    </row>
    <row r="2" spans="1:4" ht="20.100000000000001" customHeight="1" x14ac:dyDescent="0.25">
      <c r="A2" s="133" t="str">
        <f>"Hospital: "&amp;data!C98</f>
        <v>Hospital: EvergreenHealth Kirkland / King Country Public Hos #2</v>
      </c>
      <c r="B2" s="82"/>
      <c r="C2" s="82"/>
      <c r="D2" s="155" t="str">
        <f>"FYE: "&amp;data!C96</f>
        <v>FYE: 12/31/2022</v>
      </c>
    </row>
    <row r="3" spans="1:4" ht="20.100000000000001" customHeight="1" x14ac:dyDescent="0.25">
      <c r="A3" s="137"/>
      <c r="B3" s="163"/>
      <c r="C3" s="163"/>
      <c r="D3" s="163"/>
    </row>
    <row r="4" spans="1:4" ht="20.100000000000001" customHeight="1" x14ac:dyDescent="0.25">
      <c r="A4" s="157"/>
      <c r="B4" s="169" t="s">
        <v>860</v>
      </c>
      <c r="C4" s="169" t="s">
        <v>861</v>
      </c>
      <c r="D4" s="170"/>
    </row>
    <row r="5" spans="1:4" ht="20.100000000000001" customHeight="1" x14ac:dyDescent="0.25">
      <c r="A5" s="137">
        <v>1</v>
      </c>
      <c r="B5" s="171"/>
      <c r="C5" s="93" t="s">
        <v>377</v>
      </c>
      <c r="D5" s="80">
        <f>data!D237</f>
        <v>27655075</v>
      </c>
    </row>
    <row r="6" spans="1:4" ht="20.100000000000001" customHeight="1" x14ac:dyDescent="0.25">
      <c r="A6" s="76">
        <v>2</v>
      </c>
      <c r="B6" s="82"/>
      <c r="C6" s="155" t="s">
        <v>473</v>
      </c>
      <c r="D6" s="166"/>
    </row>
    <row r="7" spans="1:4" ht="20.100000000000001" customHeight="1" x14ac:dyDescent="0.25">
      <c r="A7" s="76">
        <v>3</v>
      </c>
      <c r="B7" s="171">
        <v>5810</v>
      </c>
      <c r="C7" s="80" t="s">
        <v>330</v>
      </c>
      <c r="D7" s="80">
        <f>data!C239</f>
        <v>701166906</v>
      </c>
    </row>
    <row r="8" spans="1:4" ht="20.100000000000001" customHeight="1" x14ac:dyDescent="0.25">
      <c r="A8" s="76">
        <v>4</v>
      </c>
      <c r="B8" s="171">
        <v>5820</v>
      </c>
      <c r="C8" s="80" t="s">
        <v>331</v>
      </c>
      <c r="D8" s="80">
        <f>data!C240</f>
        <v>146233985</v>
      </c>
    </row>
    <row r="9" spans="1:4" ht="20.100000000000001" customHeight="1" x14ac:dyDescent="0.25">
      <c r="A9" s="76">
        <v>5</v>
      </c>
      <c r="B9" s="171">
        <v>5830</v>
      </c>
      <c r="C9" s="80" t="s">
        <v>343</v>
      </c>
      <c r="D9" s="80">
        <f>data!C241</f>
        <v>10384128</v>
      </c>
    </row>
    <row r="10" spans="1:4" ht="20.100000000000001" customHeight="1" x14ac:dyDescent="0.25">
      <c r="A10" s="76">
        <v>6</v>
      </c>
      <c r="B10" s="171">
        <v>5840</v>
      </c>
      <c r="C10" s="80" t="s">
        <v>382</v>
      </c>
      <c r="D10" s="80">
        <f>data!C242</f>
        <v>13560161</v>
      </c>
    </row>
    <row r="11" spans="1:4" ht="20.100000000000001" customHeight="1" x14ac:dyDescent="0.25">
      <c r="A11" s="76">
        <v>7</v>
      </c>
      <c r="B11" s="171">
        <v>5850</v>
      </c>
      <c r="C11" s="80" t="s">
        <v>862</v>
      </c>
      <c r="D11" s="80">
        <f>data!C243</f>
        <v>529162487</v>
      </c>
    </row>
    <row r="12" spans="1:4" ht="20.100000000000001" customHeight="1" x14ac:dyDescent="0.25">
      <c r="A12" s="76">
        <v>8</v>
      </c>
      <c r="B12" s="171">
        <v>5860</v>
      </c>
      <c r="C12" s="80" t="s">
        <v>144</v>
      </c>
      <c r="D12" s="80">
        <f>data!C244</f>
        <v>-326607</v>
      </c>
    </row>
    <row r="13" spans="1:4" ht="20.100000000000001" customHeight="1" x14ac:dyDescent="0.25">
      <c r="A13" s="76">
        <v>9</v>
      </c>
      <c r="B13" s="80"/>
      <c r="C13" s="80" t="s">
        <v>863</v>
      </c>
      <c r="D13" s="80">
        <f>data!D245</f>
        <v>1400181060</v>
      </c>
    </row>
    <row r="14" spans="1:4" ht="20.100000000000001" customHeight="1" x14ac:dyDescent="0.25">
      <c r="A14" s="165">
        <v>10</v>
      </c>
      <c r="B14" s="92"/>
      <c r="C14" s="92"/>
      <c r="D14" s="92"/>
    </row>
    <row r="15" spans="1:4" ht="20.100000000000001" customHeight="1" x14ac:dyDescent="0.25">
      <c r="A15" s="76">
        <v>11</v>
      </c>
      <c r="B15" s="172"/>
      <c r="C15" s="172" t="s">
        <v>386</v>
      </c>
      <c r="D15" s="166"/>
    </row>
    <row r="16" spans="1:4" ht="20.100000000000001" customHeight="1" x14ac:dyDescent="0.25">
      <c r="A16" s="165">
        <v>12</v>
      </c>
      <c r="B16" s="92"/>
      <c r="C16" s="77" t="s">
        <v>864</v>
      </c>
      <c r="D16" s="76">
        <f>data!C247</f>
        <v>3117</v>
      </c>
    </row>
    <row r="17" spans="1:5" ht="20.100000000000001" customHeight="1" x14ac:dyDescent="0.25">
      <c r="A17" s="76">
        <v>13</v>
      </c>
      <c r="B17" s="172"/>
      <c r="C17" s="82"/>
      <c r="D17" s="83"/>
    </row>
    <row r="18" spans="1:5" ht="20.100000000000001" customHeight="1" x14ac:dyDescent="0.25">
      <c r="A18" s="76">
        <v>14</v>
      </c>
      <c r="B18" s="173">
        <v>5900</v>
      </c>
      <c r="C18" s="80" t="s">
        <v>388</v>
      </c>
      <c r="D18" s="80">
        <f>data!C249</f>
        <v>3198411</v>
      </c>
    </row>
    <row r="19" spans="1:5" ht="20.100000000000001" customHeight="1" x14ac:dyDescent="0.25">
      <c r="A19" s="174">
        <v>15</v>
      </c>
      <c r="B19" s="171">
        <v>5910</v>
      </c>
      <c r="C19" s="93" t="s">
        <v>865</v>
      </c>
      <c r="D19" s="80">
        <f>data!C250</f>
        <v>4634098</v>
      </c>
    </row>
    <row r="20" spans="1:5" ht="20.100000000000001" customHeight="1" x14ac:dyDescent="0.25">
      <c r="A20" s="76">
        <v>16</v>
      </c>
      <c r="B20" s="80"/>
      <c r="C20" s="80"/>
      <c r="D20" s="92"/>
    </row>
    <row r="21" spans="1:5" ht="20.100000000000001" customHeight="1" x14ac:dyDescent="0.25">
      <c r="A21" s="76">
        <v>17</v>
      </c>
      <c r="B21" s="92"/>
      <c r="C21" s="92"/>
      <c r="D21" s="92"/>
    </row>
    <row r="22" spans="1:5" ht="20.100000000000001" customHeight="1" x14ac:dyDescent="0.25">
      <c r="A22" s="165">
        <v>18</v>
      </c>
      <c r="B22" s="92"/>
      <c r="C22" s="92" t="s">
        <v>866</v>
      </c>
      <c r="D22" s="80">
        <f>data!D252</f>
        <v>7832509</v>
      </c>
    </row>
    <row r="23" spans="1:5" ht="20.100000000000001" customHeight="1" x14ac:dyDescent="0.25">
      <c r="A23" s="174">
        <v>19</v>
      </c>
      <c r="B23" s="172"/>
      <c r="C23" s="172"/>
      <c r="D23" s="166"/>
    </row>
    <row r="24" spans="1:5" ht="20.100000000000001" customHeight="1" x14ac:dyDescent="0.25">
      <c r="A24" s="175">
        <v>20</v>
      </c>
      <c r="B24" s="171">
        <v>5970</v>
      </c>
      <c r="C24" s="80" t="s">
        <v>392</v>
      </c>
      <c r="D24" s="80">
        <f>data!C254</f>
        <v>6546869</v>
      </c>
    </row>
    <row r="25" spans="1:5" ht="20.100000000000001" customHeight="1" x14ac:dyDescent="0.25">
      <c r="A25" s="174">
        <v>21</v>
      </c>
      <c r="B25" s="82"/>
      <c r="C25" s="82"/>
      <c r="D25" s="166"/>
    </row>
    <row r="26" spans="1:5" ht="20.100000000000001" customHeight="1" x14ac:dyDescent="0.25">
      <c r="A26" s="76">
        <v>22</v>
      </c>
      <c r="B26" s="171">
        <v>5980</v>
      </c>
      <c r="C26" s="80" t="s">
        <v>867</v>
      </c>
      <c r="D26" s="80">
        <f>data!C255</f>
        <v>0</v>
      </c>
    </row>
    <row r="27" spans="1:5" ht="20.100000000000001" customHeight="1" x14ac:dyDescent="0.25">
      <c r="A27" s="157">
        <v>23</v>
      </c>
      <c r="B27" s="176" t="s">
        <v>868</v>
      </c>
      <c r="C27" s="92"/>
      <c r="D27" s="80">
        <f>data!D258</f>
        <v>1442215513</v>
      </c>
      <c r="E27" s="342" t="s">
        <v>1374</v>
      </c>
    </row>
    <row r="28" spans="1:5" ht="20.100000000000001" customHeight="1" x14ac:dyDescent="0.25">
      <c r="A28" s="85">
        <v>24</v>
      </c>
      <c r="B28" s="151" t="s">
        <v>869</v>
      </c>
      <c r="C28" s="94"/>
      <c r="D28" s="170"/>
    </row>
    <row r="29" spans="1:5" ht="20.100000000000001" customHeight="1" x14ac:dyDescent="0.25">
      <c r="A29" s="177"/>
      <c r="B29" s="178"/>
      <c r="C29" s="178"/>
      <c r="D29" s="92"/>
    </row>
    <row r="30" spans="1:5" ht="20.100000000000001" customHeight="1" x14ac:dyDescent="0.25">
      <c r="A30" s="179"/>
      <c r="B30" s="77"/>
      <c r="C30" s="77"/>
      <c r="D30" s="92"/>
    </row>
    <row r="31" spans="1:5" ht="20.100000000000001" customHeight="1" x14ac:dyDescent="0.25">
      <c r="A31" s="179"/>
      <c r="B31" s="77"/>
      <c r="C31" s="77"/>
      <c r="D31" s="92"/>
    </row>
    <row r="32" spans="1:5" ht="20.100000000000001" customHeight="1" x14ac:dyDescent="0.25">
      <c r="A32" s="179"/>
      <c r="B32" s="77"/>
      <c r="C32" s="77"/>
      <c r="D32" s="92"/>
    </row>
    <row r="33" spans="1:4" ht="20.100000000000001" customHeight="1" x14ac:dyDescent="0.25">
      <c r="A33" s="179"/>
      <c r="B33" s="77"/>
      <c r="C33" s="77"/>
      <c r="D33" s="80"/>
    </row>
    <row r="34" spans="1:4" ht="20.100000000000001" customHeight="1" x14ac:dyDescent="0.25">
      <c r="A34" s="180"/>
      <c r="B34" s="79"/>
      <c r="C34" s="79"/>
      <c r="D34" s="97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C179"/>
  <sheetViews>
    <sheetView topLeftCell="A151" workbookViewId="0">
      <selection activeCell="B178" sqref="B178"/>
    </sheetView>
  </sheetViews>
  <sheetFormatPr defaultColWidth="57.44140625" defaultRowHeight="15" x14ac:dyDescent="0.25"/>
  <cols>
    <col min="1" max="1" width="5.77734375" style="11" customWidth="1"/>
    <col min="2" max="2" width="55.77734375" style="11" customWidth="1"/>
    <col min="3" max="3" width="22" style="11" customWidth="1"/>
    <col min="4" max="4" width="5.6640625" style="11" customWidth="1"/>
    <col min="5" max="6" width="57.44140625" style="11" customWidth="1"/>
    <col min="7" max="16384" width="57.44140625" style="11"/>
  </cols>
  <sheetData>
    <row r="1" spans="1:3" ht="20.100000000000001" customHeight="1" x14ac:dyDescent="0.25">
      <c r="A1" s="181" t="s">
        <v>870</v>
      </c>
      <c r="B1" s="182"/>
      <c r="C1" s="182"/>
    </row>
    <row r="2" spans="1:3" ht="20.100000000000001" customHeight="1" x14ac:dyDescent="0.25">
      <c r="A2" s="181"/>
      <c r="B2" s="182"/>
      <c r="C2" s="107" t="s">
        <v>871</v>
      </c>
    </row>
    <row r="3" spans="1:3" ht="20.100000000000001" customHeight="1" x14ac:dyDescent="0.25">
      <c r="A3" s="133" t="str">
        <f>"Hospital: "&amp;data!C98</f>
        <v>Hospital: EvergreenHealth Kirkland / King Country Public Hos #2</v>
      </c>
      <c r="B3" s="183"/>
      <c r="C3" s="155" t="str">
        <f>"FYE: "&amp;data!C96</f>
        <v>FYE: 12/31/2022</v>
      </c>
    </row>
    <row r="4" spans="1:3" ht="20.100000000000001" customHeight="1" x14ac:dyDescent="0.25">
      <c r="A4" s="184"/>
      <c r="B4" s="185" t="s">
        <v>872</v>
      </c>
      <c r="C4" s="186"/>
    </row>
    <row r="5" spans="1:3" ht="20.100000000000001" customHeight="1" x14ac:dyDescent="0.25">
      <c r="A5" s="187">
        <v>1</v>
      </c>
      <c r="B5" s="188" t="s">
        <v>396</v>
      </c>
      <c r="C5" s="188"/>
    </row>
    <row r="6" spans="1:3" ht="20.100000000000001" customHeight="1" x14ac:dyDescent="0.25">
      <c r="A6" s="187">
        <v>2</v>
      </c>
      <c r="B6" s="189" t="s">
        <v>397</v>
      </c>
      <c r="C6" s="189">
        <f>data!C266</f>
        <v>59659988</v>
      </c>
    </row>
    <row r="7" spans="1:3" ht="20.100000000000001" customHeight="1" x14ac:dyDescent="0.25">
      <c r="A7" s="187">
        <v>3</v>
      </c>
      <c r="B7" s="189" t="s">
        <v>398</v>
      </c>
      <c r="C7" s="189">
        <f>data!C267</f>
        <v>0</v>
      </c>
    </row>
    <row r="8" spans="1:3" ht="20.100000000000001" customHeight="1" x14ac:dyDescent="0.25">
      <c r="A8" s="187">
        <v>4</v>
      </c>
      <c r="B8" s="189" t="s">
        <v>399</v>
      </c>
      <c r="C8" s="189">
        <f>data!C268</f>
        <v>475450756</v>
      </c>
    </row>
    <row r="9" spans="1:3" ht="20.100000000000001" customHeight="1" x14ac:dyDescent="0.25">
      <c r="A9" s="187">
        <v>5</v>
      </c>
      <c r="B9" s="189" t="s">
        <v>873</v>
      </c>
      <c r="C9" s="189">
        <f>data!C269</f>
        <v>325352180</v>
      </c>
    </row>
    <row r="10" spans="1:3" ht="20.100000000000001" customHeight="1" x14ac:dyDescent="0.25">
      <c r="A10" s="187">
        <v>6</v>
      </c>
      <c r="B10" s="189" t="s">
        <v>874</v>
      </c>
      <c r="C10" s="189">
        <f>data!C270</f>
        <v>5353269</v>
      </c>
    </row>
    <row r="11" spans="1:3" ht="20.100000000000001" customHeight="1" x14ac:dyDescent="0.25">
      <c r="A11" s="187">
        <v>7</v>
      </c>
      <c r="B11" s="189" t="s">
        <v>875</v>
      </c>
      <c r="C11" s="189">
        <f>data!C271</f>
        <v>17091770</v>
      </c>
    </row>
    <row r="12" spans="1:3" ht="20.100000000000001" customHeight="1" x14ac:dyDescent="0.25">
      <c r="A12" s="187">
        <v>8</v>
      </c>
      <c r="B12" s="189" t="s">
        <v>403</v>
      </c>
      <c r="C12" s="189">
        <f>data!C272</f>
        <v>723678</v>
      </c>
    </row>
    <row r="13" spans="1:3" ht="20.100000000000001" customHeight="1" x14ac:dyDescent="0.25">
      <c r="A13" s="187">
        <v>9</v>
      </c>
      <c r="B13" s="189" t="s">
        <v>404</v>
      </c>
      <c r="C13" s="189">
        <f>data!C273</f>
        <v>7804552</v>
      </c>
    </row>
    <row r="14" spans="1:3" ht="20.100000000000001" customHeight="1" x14ac:dyDescent="0.25">
      <c r="A14" s="187">
        <v>10</v>
      </c>
      <c r="B14" s="189" t="s">
        <v>405</v>
      </c>
      <c r="C14" s="189">
        <f>data!C274</f>
        <v>13050291</v>
      </c>
    </row>
    <row r="15" spans="1:3" ht="20.100000000000001" customHeight="1" x14ac:dyDescent="0.25">
      <c r="A15" s="187">
        <v>11</v>
      </c>
      <c r="B15" s="189" t="s">
        <v>876</v>
      </c>
      <c r="C15" s="189">
        <f>data!C275</f>
        <v>0</v>
      </c>
    </row>
    <row r="16" spans="1:3" ht="20.100000000000001" customHeight="1" x14ac:dyDescent="0.25">
      <c r="A16" s="187">
        <v>12</v>
      </c>
      <c r="B16" s="189" t="s">
        <v>877</v>
      </c>
      <c r="C16" s="189">
        <f>data!D276</f>
        <v>253782124</v>
      </c>
    </row>
    <row r="17" spans="1:3" ht="20.100000000000001" customHeight="1" x14ac:dyDescent="0.25">
      <c r="A17" s="187">
        <v>13</v>
      </c>
      <c r="B17" s="189"/>
      <c r="C17" s="189"/>
    </row>
    <row r="18" spans="1:3" ht="20.100000000000001" customHeight="1" x14ac:dyDescent="0.25">
      <c r="A18" s="187">
        <v>14</v>
      </c>
      <c r="B18" s="190" t="s">
        <v>878</v>
      </c>
      <c r="C18" s="188"/>
    </row>
    <row r="19" spans="1:3" ht="20.100000000000001" customHeight="1" x14ac:dyDescent="0.25">
      <c r="A19" s="187">
        <v>15</v>
      </c>
      <c r="B19" s="189" t="s">
        <v>397</v>
      </c>
      <c r="C19" s="189">
        <f>data!C278</f>
        <v>136340703</v>
      </c>
    </row>
    <row r="20" spans="1:3" ht="20.100000000000001" customHeight="1" x14ac:dyDescent="0.25">
      <c r="A20" s="187">
        <v>16</v>
      </c>
      <c r="B20" s="189" t="s">
        <v>398</v>
      </c>
      <c r="C20" s="189">
        <f>data!C279</f>
        <v>0</v>
      </c>
    </row>
    <row r="21" spans="1:3" ht="20.100000000000001" customHeight="1" x14ac:dyDescent="0.25">
      <c r="A21" s="187">
        <v>17</v>
      </c>
      <c r="B21" s="189" t="s">
        <v>409</v>
      </c>
      <c r="C21" s="189">
        <f>data!C280</f>
        <v>0</v>
      </c>
    </row>
    <row r="22" spans="1:3" ht="20.100000000000001" customHeight="1" x14ac:dyDescent="0.25">
      <c r="A22" s="187">
        <v>18</v>
      </c>
      <c r="B22" s="189" t="s">
        <v>879</v>
      </c>
      <c r="C22" s="189">
        <f>data!D281</f>
        <v>136340703</v>
      </c>
    </row>
    <row r="23" spans="1:3" ht="20.100000000000001" customHeight="1" x14ac:dyDescent="0.25">
      <c r="A23" s="187">
        <v>19</v>
      </c>
      <c r="B23" s="191"/>
      <c r="C23" s="189"/>
    </row>
    <row r="24" spans="1:3" ht="20.100000000000001" customHeight="1" x14ac:dyDescent="0.25">
      <c r="A24" s="187">
        <v>20</v>
      </c>
      <c r="B24" s="190" t="s">
        <v>880</v>
      </c>
      <c r="C24" s="188"/>
    </row>
    <row r="25" spans="1:3" ht="20.100000000000001" customHeight="1" x14ac:dyDescent="0.25">
      <c r="A25" s="187">
        <v>21</v>
      </c>
      <c r="B25" s="189" t="s">
        <v>366</v>
      </c>
      <c r="C25" s="189">
        <f>data!C283</f>
        <v>4913660</v>
      </c>
    </row>
    <row r="26" spans="1:3" ht="20.100000000000001" customHeight="1" x14ac:dyDescent="0.25">
      <c r="A26" s="187">
        <v>22</v>
      </c>
      <c r="B26" s="189" t="s">
        <v>367</v>
      </c>
      <c r="C26" s="189">
        <f>data!C284</f>
        <v>13091598</v>
      </c>
    </row>
    <row r="27" spans="1:3" ht="20.100000000000001" customHeight="1" x14ac:dyDescent="0.25">
      <c r="A27" s="187">
        <v>23</v>
      </c>
      <c r="B27" s="189" t="s">
        <v>368</v>
      </c>
      <c r="C27" s="189">
        <f>data!C285</f>
        <v>372890232</v>
      </c>
    </row>
    <row r="28" spans="1:3" ht="20.100000000000001" customHeight="1" x14ac:dyDescent="0.25">
      <c r="A28" s="187">
        <v>24</v>
      </c>
      <c r="B28" s="189" t="s">
        <v>881</v>
      </c>
      <c r="C28" s="189">
        <f>data!C286</f>
        <v>138477930</v>
      </c>
    </row>
    <row r="29" spans="1:3" ht="20.100000000000001" customHeight="1" x14ac:dyDescent="0.25">
      <c r="A29" s="187">
        <v>25</v>
      </c>
      <c r="B29" s="189" t="s">
        <v>370</v>
      </c>
      <c r="C29" s="189">
        <f>data!C287</f>
        <v>0</v>
      </c>
    </row>
    <row r="30" spans="1:3" ht="20.100000000000001" customHeight="1" x14ac:dyDescent="0.25">
      <c r="A30" s="187">
        <v>26</v>
      </c>
      <c r="B30" s="189" t="s">
        <v>414</v>
      </c>
      <c r="C30" s="189">
        <f>data!C288</f>
        <v>347157163</v>
      </c>
    </row>
    <row r="31" spans="1:3" ht="20.100000000000001" customHeight="1" x14ac:dyDescent="0.25">
      <c r="A31" s="187">
        <v>27</v>
      </c>
      <c r="B31" s="189" t="s">
        <v>373</v>
      </c>
      <c r="C31" s="189">
        <f>data!C289</f>
        <v>41218112</v>
      </c>
    </row>
    <row r="32" spans="1:3" ht="20.100000000000001" customHeight="1" x14ac:dyDescent="0.25">
      <c r="A32" s="187">
        <v>28</v>
      </c>
      <c r="B32" s="189" t="s">
        <v>374</v>
      </c>
      <c r="C32" s="189">
        <f>data!C290</f>
        <v>9873194</v>
      </c>
    </row>
    <row r="33" spans="1:3" ht="20.100000000000001" customHeight="1" x14ac:dyDescent="0.25">
      <c r="A33" s="187">
        <v>29</v>
      </c>
      <c r="B33" s="189" t="s">
        <v>587</v>
      </c>
      <c r="C33" s="189">
        <f>data!D291</f>
        <v>927621889</v>
      </c>
    </row>
    <row r="34" spans="1:3" ht="20.100000000000001" customHeight="1" x14ac:dyDescent="0.25">
      <c r="A34" s="187">
        <v>30</v>
      </c>
      <c r="B34" s="189" t="s">
        <v>882</v>
      </c>
      <c r="C34" s="189">
        <f>data!C292</f>
        <v>573166990</v>
      </c>
    </row>
    <row r="35" spans="1:3" ht="20.100000000000001" customHeight="1" x14ac:dyDescent="0.25">
      <c r="A35" s="187">
        <v>31</v>
      </c>
      <c r="B35" s="189" t="s">
        <v>883</v>
      </c>
      <c r="C35" s="189">
        <f>data!D293</f>
        <v>354454899</v>
      </c>
    </row>
    <row r="36" spans="1:3" ht="20.100000000000001" customHeight="1" x14ac:dyDescent="0.25">
      <c r="A36" s="187">
        <v>32</v>
      </c>
      <c r="B36" s="191"/>
      <c r="C36" s="189"/>
    </row>
    <row r="37" spans="1:3" ht="20.100000000000001" customHeight="1" x14ac:dyDescent="0.25">
      <c r="A37" s="187">
        <v>33</v>
      </c>
      <c r="B37" s="190" t="s">
        <v>884</v>
      </c>
      <c r="C37" s="188"/>
    </row>
    <row r="38" spans="1:3" ht="20.100000000000001" customHeight="1" x14ac:dyDescent="0.25">
      <c r="A38" s="187">
        <v>34</v>
      </c>
      <c r="B38" s="189" t="s">
        <v>885</v>
      </c>
      <c r="C38" s="189">
        <f>data!C295</f>
        <v>0</v>
      </c>
    </row>
    <row r="39" spans="1:3" ht="20.100000000000001" customHeight="1" x14ac:dyDescent="0.25">
      <c r="A39" s="187">
        <v>35</v>
      </c>
      <c r="B39" s="189" t="s">
        <v>886</v>
      </c>
      <c r="C39" s="189">
        <f>data!C296</f>
        <v>0</v>
      </c>
    </row>
    <row r="40" spans="1:3" ht="20.100000000000001" customHeight="1" x14ac:dyDescent="0.25">
      <c r="A40" s="187">
        <v>36</v>
      </c>
      <c r="B40" s="189" t="s">
        <v>421</v>
      </c>
      <c r="C40" s="189">
        <f>data!C297</f>
        <v>6269808</v>
      </c>
    </row>
    <row r="41" spans="1:3" ht="20.100000000000001" customHeight="1" x14ac:dyDescent="0.25">
      <c r="A41" s="187">
        <v>37</v>
      </c>
      <c r="B41" s="189" t="s">
        <v>409</v>
      </c>
      <c r="C41" s="189">
        <f>data!C298</f>
        <v>281193756</v>
      </c>
    </row>
    <row r="42" spans="1:3" ht="20.100000000000001" customHeight="1" x14ac:dyDescent="0.25">
      <c r="A42" s="187">
        <v>38</v>
      </c>
      <c r="B42" s="189" t="s">
        <v>887</v>
      </c>
      <c r="C42" s="189">
        <f>data!D299</f>
        <v>287463564</v>
      </c>
    </row>
    <row r="43" spans="1:3" ht="20.100000000000001" customHeight="1" x14ac:dyDescent="0.25">
      <c r="A43" s="187">
        <v>39</v>
      </c>
      <c r="B43" s="191"/>
      <c r="C43" s="189"/>
    </row>
    <row r="44" spans="1:3" ht="20.100000000000001" customHeight="1" x14ac:dyDescent="0.25">
      <c r="A44" s="187">
        <v>40</v>
      </c>
      <c r="B44" s="190" t="s">
        <v>888</v>
      </c>
      <c r="C44" s="188"/>
    </row>
    <row r="45" spans="1:3" ht="20.100000000000001" customHeight="1" x14ac:dyDescent="0.25">
      <c r="A45" s="187">
        <v>41</v>
      </c>
      <c r="B45" s="189" t="s">
        <v>424</v>
      </c>
      <c r="C45" s="189">
        <f>data!C302</f>
        <v>24815152</v>
      </c>
    </row>
    <row r="46" spans="1:3" ht="20.100000000000001" customHeight="1" x14ac:dyDescent="0.25">
      <c r="A46" s="187">
        <v>42</v>
      </c>
      <c r="B46" s="189" t="s">
        <v>425</v>
      </c>
      <c r="C46" s="189">
        <f>data!C303</f>
        <v>0</v>
      </c>
    </row>
    <row r="47" spans="1:3" ht="20.100000000000001" customHeight="1" x14ac:dyDescent="0.25">
      <c r="A47" s="187">
        <v>43</v>
      </c>
      <c r="B47" s="189" t="s">
        <v>889</v>
      </c>
      <c r="C47" s="189">
        <f>data!C304</f>
        <v>0</v>
      </c>
    </row>
    <row r="48" spans="1:3" ht="20.100000000000001" customHeight="1" x14ac:dyDescent="0.25">
      <c r="A48" s="187">
        <v>44</v>
      </c>
      <c r="B48" s="189" t="s">
        <v>427</v>
      </c>
      <c r="C48" s="189">
        <f>data!C305</f>
        <v>0</v>
      </c>
    </row>
    <row r="49" spans="1:3" ht="20.100000000000001" customHeight="1" x14ac:dyDescent="0.25">
      <c r="A49" s="187">
        <v>45</v>
      </c>
      <c r="B49" s="189" t="s">
        <v>890</v>
      </c>
      <c r="C49" s="189">
        <f>data!D306</f>
        <v>24815152</v>
      </c>
    </row>
    <row r="50" spans="1:3" ht="20.100000000000001" customHeight="1" x14ac:dyDescent="0.25">
      <c r="A50" s="192">
        <v>46</v>
      </c>
      <c r="B50" s="193" t="s">
        <v>891</v>
      </c>
      <c r="C50" s="189">
        <f>data!D308</f>
        <v>1056856442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181" t="s">
        <v>892</v>
      </c>
      <c r="B53" s="182"/>
      <c r="C53" s="182"/>
    </row>
    <row r="54" spans="1:3" ht="20.100000000000001" customHeight="1" x14ac:dyDescent="0.25">
      <c r="A54" s="181"/>
      <c r="B54" s="182"/>
      <c r="C54" s="107" t="s">
        <v>893</v>
      </c>
    </row>
    <row r="55" spans="1:3" ht="20.100000000000001" customHeight="1" x14ac:dyDescent="0.25">
      <c r="A55" s="133" t="str">
        <f>"Hospital: "&amp;data!C98</f>
        <v>Hospital: EvergreenHealth Kirkland / King Country Public Hos #2</v>
      </c>
      <c r="B55" s="183"/>
      <c r="C55" s="155" t="str">
        <f>"FYE: "&amp;data!C96</f>
        <v>FYE: 12/31/2022</v>
      </c>
    </row>
    <row r="56" spans="1:3" ht="20.100000000000001" customHeight="1" x14ac:dyDescent="0.25">
      <c r="A56" s="194"/>
      <c r="B56" s="195" t="s">
        <v>894</v>
      </c>
      <c r="C56" s="186"/>
    </row>
    <row r="57" spans="1:3" ht="20.100000000000001" customHeight="1" x14ac:dyDescent="0.25">
      <c r="A57" s="196">
        <v>1</v>
      </c>
      <c r="B57" s="181" t="s">
        <v>431</v>
      </c>
      <c r="C57" s="197"/>
    </row>
    <row r="58" spans="1:3" ht="20.100000000000001" customHeight="1" x14ac:dyDescent="0.25">
      <c r="A58" s="187">
        <v>2</v>
      </c>
      <c r="B58" s="189" t="s">
        <v>432</v>
      </c>
      <c r="C58" s="189">
        <f>data!C314</f>
        <v>0</v>
      </c>
    </row>
    <row r="59" spans="1:3" ht="20.100000000000001" customHeight="1" x14ac:dyDescent="0.25">
      <c r="A59" s="187">
        <v>3</v>
      </c>
      <c r="B59" s="189" t="s">
        <v>895</v>
      </c>
      <c r="C59" s="189">
        <f>data!C315</f>
        <v>62540470</v>
      </c>
    </row>
    <row r="60" spans="1:3" ht="20.100000000000001" customHeight="1" x14ac:dyDescent="0.25">
      <c r="A60" s="187">
        <v>4</v>
      </c>
      <c r="B60" s="189" t="s">
        <v>896</v>
      </c>
      <c r="C60" s="189">
        <f>data!C316</f>
        <v>48225041</v>
      </c>
    </row>
    <row r="61" spans="1:3" ht="20.100000000000001" customHeight="1" x14ac:dyDescent="0.25">
      <c r="A61" s="187">
        <v>5</v>
      </c>
      <c r="B61" s="189" t="s">
        <v>435</v>
      </c>
      <c r="C61" s="189">
        <f>data!C317</f>
        <v>651131</v>
      </c>
    </row>
    <row r="62" spans="1:3" ht="20.100000000000001" customHeight="1" x14ac:dyDescent="0.25">
      <c r="A62" s="187">
        <v>6</v>
      </c>
      <c r="B62" s="189" t="s">
        <v>897</v>
      </c>
      <c r="C62" s="189">
        <f>data!C318</f>
        <v>0</v>
      </c>
    </row>
    <row r="63" spans="1:3" ht="20.100000000000001" customHeight="1" x14ac:dyDescent="0.25">
      <c r="A63" s="187">
        <v>7</v>
      </c>
      <c r="B63" s="189" t="s">
        <v>898</v>
      </c>
      <c r="C63" s="189">
        <f>data!C319</f>
        <v>6060598</v>
      </c>
    </row>
    <row r="64" spans="1:3" ht="20.100000000000001" customHeight="1" x14ac:dyDescent="0.25">
      <c r="A64" s="187">
        <v>8</v>
      </c>
      <c r="B64" s="189" t="s">
        <v>438</v>
      </c>
      <c r="C64" s="189">
        <f>data!C320</f>
        <v>0</v>
      </c>
    </row>
    <row r="65" spans="1:3" ht="20.100000000000001" customHeight="1" x14ac:dyDescent="0.25">
      <c r="A65" s="187">
        <v>9</v>
      </c>
      <c r="B65" s="189" t="s">
        <v>439</v>
      </c>
      <c r="C65" s="189">
        <f>data!C321</f>
        <v>0</v>
      </c>
    </row>
    <row r="66" spans="1:3" ht="20.100000000000001" customHeight="1" x14ac:dyDescent="0.25">
      <c r="A66" s="187">
        <v>10</v>
      </c>
      <c r="B66" s="189" t="s">
        <v>440</v>
      </c>
      <c r="C66" s="189">
        <f>data!C322</f>
        <v>3464065</v>
      </c>
    </row>
    <row r="67" spans="1:3" ht="20.100000000000001" customHeight="1" x14ac:dyDescent="0.25">
      <c r="A67" s="187">
        <v>11</v>
      </c>
      <c r="B67" s="189" t="s">
        <v>899</v>
      </c>
      <c r="C67" s="189">
        <f>data!C323</f>
        <v>20449335</v>
      </c>
    </row>
    <row r="68" spans="1:3" ht="20.100000000000001" customHeight="1" x14ac:dyDescent="0.25">
      <c r="A68" s="187">
        <v>12</v>
      </c>
      <c r="B68" s="189" t="s">
        <v>900</v>
      </c>
      <c r="C68" s="189">
        <f>data!D324</f>
        <v>141390640</v>
      </c>
    </row>
    <row r="69" spans="1:3" ht="20.100000000000001" customHeight="1" x14ac:dyDescent="0.25">
      <c r="A69" s="187">
        <v>13</v>
      </c>
      <c r="B69" s="191"/>
      <c r="C69" s="189"/>
    </row>
    <row r="70" spans="1:3" ht="20.100000000000001" customHeight="1" x14ac:dyDescent="0.25">
      <c r="A70" s="187">
        <v>14</v>
      </c>
      <c r="B70" s="190" t="s">
        <v>901</v>
      </c>
      <c r="C70" s="188"/>
    </row>
    <row r="71" spans="1:3" ht="20.100000000000001" customHeight="1" x14ac:dyDescent="0.25">
      <c r="A71" s="187">
        <v>15</v>
      </c>
      <c r="B71" s="189" t="s">
        <v>444</v>
      </c>
      <c r="C71" s="189">
        <f>data!C326</f>
        <v>0</v>
      </c>
    </row>
    <row r="72" spans="1:3" ht="20.100000000000001" customHeight="1" x14ac:dyDescent="0.25">
      <c r="A72" s="187">
        <v>16</v>
      </c>
      <c r="B72" s="189" t="s">
        <v>902</v>
      </c>
      <c r="C72" s="189">
        <f>data!C327</f>
        <v>42759758</v>
      </c>
    </row>
    <row r="73" spans="1:3" ht="20.100000000000001" customHeight="1" x14ac:dyDescent="0.25">
      <c r="A73" s="187">
        <v>17</v>
      </c>
      <c r="B73" s="189" t="s">
        <v>446</v>
      </c>
      <c r="C73" s="189">
        <f>data!C328</f>
        <v>48371</v>
      </c>
    </row>
    <row r="74" spans="1:3" ht="20.100000000000001" customHeight="1" x14ac:dyDescent="0.25">
      <c r="A74" s="187">
        <v>18</v>
      </c>
      <c r="B74" s="189" t="s">
        <v>903</v>
      </c>
      <c r="C74" s="189">
        <f>data!D329</f>
        <v>42808129</v>
      </c>
    </row>
    <row r="75" spans="1:3" ht="20.100000000000001" customHeight="1" x14ac:dyDescent="0.25">
      <c r="A75" s="187">
        <v>19</v>
      </c>
      <c r="B75" s="191"/>
      <c r="C75" s="189"/>
    </row>
    <row r="76" spans="1:3" ht="20.100000000000001" customHeight="1" x14ac:dyDescent="0.25">
      <c r="A76" s="187">
        <v>20</v>
      </c>
      <c r="B76" s="190" t="s">
        <v>448</v>
      </c>
      <c r="C76" s="188"/>
    </row>
    <row r="77" spans="1:3" ht="20.100000000000001" customHeight="1" x14ac:dyDescent="0.25">
      <c r="A77" s="187">
        <v>21</v>
      </c>
      <c r="B77" s="189" t="s">
        <v>449</v>
      </c>
      <c r="C77" s="189">
        <f>data!C331</f>
        <v>0</v>
      </c>
    </row>
    <row r="78" spans="1:3" ht="20.100000000000001" customHeight="1" x14ac:dyDescent="0.25">
      <c r="A78" s="187">
        <v>22</v>
      </c>
      <c r="B78" s="189" t="s">
        <v>904</v>
      </c>
      <c r="C78" s="189">
        <f>data!C332</f>
        <v>0</v>
      </c>
    </row>
    <row r="79" spans="1:3" ht="20.100000000000001" customHeight="1" x14ac:dyDescent="0.25">
      <c r="A79" s="187">
        <v>23</v>
      </c>
      <c r="B79" s="189" t="s">
        <v>451</v>
      </c>
      <c r="C79" s="189">
        <f>data!C333</f>
        <v>0</v>
      </c>
    </row>
    <row r="80" spans="1:3" ht="20.100000000000001" customHeight="1" x14ac:dyDescent="0.25">
      <c r="A80" s="187">
        <v>24</v>
      </c>
      <c r="B80" s="189" t="s">
        <v>905</v>
      </c>
      <c r="C80" s="189">
        <f>data!C334</f>
        <v>254728033</v>
      </c>
    </row>
    <row r="81" spans="1:3" ht="20.100000000000001" customHeight="1" x14ac:dyDescent="0.25">
      <c r="A81" s="187">
        <v>25</v>
      </c>
      <c r="B81" s="189" t="s">
        <v>453</v>
      </c>
      <c r="C81" s="189">
        <f>data!C335</f>
        <v>263490730</v>
      </c>
    </row>
    <row r="82" spans="1:3" ht="20.100000000000001" customHeight="1" x14ac:dyDescent="0.25">
      <c r="A82" s="187">
        <v>26</v>
      </c>
      <c r="B82" s="189" t="s">
        <v>906</v>
      </c>
      <c r="C82" s="189">
        <f>data!C336</f>
        <v>0</v>
      </c>
    </row>
    <row r="83" spans="1:3" ht="20.100000000000001" customHeight="1" x14ac:dyDescent="0.25">
      <c r="A83" s="187">
        <v>27</v>
      </c>
      <c r="B83" s="189" t="s">
        <v>455</v>
      </c>
      <c r="C83" s="189">
        <f>data!C337</f>
        <v>0</v>
      </c>
    </row>
    <row r="84" spans="1:3" ht="20.100000000000001" customHeight="1" x14ac:dyDescent="0.25">
      <c r="A84" s="187">
        <v>28</v>
      </c>
      <c r="B84" s="189" t="s">
        <v>456</v>
      </c>
      <c r="C84" s="189">
        <f>data!C338</f>
        <v>12664729</v>
      </c>
    </row>
    <row r="85" spans="1:3" ht="20.100000000000001" customHeight="1" x14ac:dyDescent="0.25">
      <c r="A85" s="187">
        <v>29</v>
      </c>
      <c r="B85" s="189" t="s">
        <v>587</v>
      </c>
      <c r="C85" s="189">
        <f>data!D339</f>
        <v>530883492</v>
      </c>
    </row>
    <row r="86" spans="1:3" ht="20.100000000000001" customHeight="1" x14ac:dyDescent="0.25">
      <c r="A86" s="187">
        <v>30</v>
      </c>
      <c r="B86" s="189" t="s">
        <v>907</v>
      </c>
      <c r="C86" s="189">
        <f>data!D340</f>
        <v>20449335</v>
      </c>
    </row>
    <row r="87" spans="1:3" ht="20.100000000000001" customHeight="1" x14ac:dyDescent="0.25">
      <c r="A87" s="187">
        <v>31</v>
      </c>
      <c r="B87" s="189" t="s">
        <v>908</v>
      </c>
      <c r="C87" s="189">
        <f>data!D341</f>
        <v>510434157</v>
      </c>
    </row>
    <row r="88" spans="1:3" ht="20.100000000000001" customHeight="1" x14ac:dyDescent="0.25">
      <c r="A88" s="187">
        <v>32</v>
      </c>
      <c r="B88" s="191"/>
      <c r="C88" s="189"/>
    </row>
    <row r="89" spans="1:3" ht="20.100000000000001" customHeight="1" x14ac:dyDescent="0.25">
      <c r="A89" s="187">
        <v>33</v>
      </c>
      <c r="B89" s="198" t="s">
        <v>909</v>
      </c>
      <c r="C89" s="189">
        <f>data!C343</f>
        <v>362223516</v>
      </c>
    </row>
    <row r="90" spans="1:3" ht="20.100000000000001" customHeight="1" x14ac:dyDescent="0.25">
      <c r="A90" s="187">
        <v>34</v>
      </c>
      <c r="B90" s="189"/>
      <c r="C90" s="189"/>
    </row>
    <row r="91" spans="1:3" ht="20.100000000000001" customHeight="1" x14ac:dyDescent="0.25">
      <c r="A91" s="187">
        <v>35</v>
      </c>
      <c r="B91" s="190" t="s">
        <v>910</v>
      </c>
      <c r="C91" s="188"/>
    </row>
    <row r="92" spans="1:3" ht="20.100000000000001" customHeight="1" x14ac:dyDescent="0.25">
      <c r="A92" s="187">
        <v>36</v>
      </c>
      <c r="B92" s="189" t="s">
        <v>460</v>
      </c>
      <c r="C92" s="189">
        <f>data!C345</f>
        <v>0</v>
      </c>
    </row>
    <row r="93" spans="1:3" ht="20.100000000000001" customHeight="1" x14ac:dyDescent="0.25">
      <c r="A93" s="187">
        <v>37</v>
      </c>
      <c r="B93" s="191"/>
      <c r="C93" s="189"/>
    </row>
    <row r="94" spans="1:3" ht="20.100000000000001" customHeight="1" x14ac:dyDescent="0.25">
      <c r="A94" s="187">
        <v>38</v>
      </c>
      <c r="B94" s="189" t="s">
        <v>461</v>
      </c>
      <c r="C94" s="189">
        <f>data!C346</f>
        <v>0</v>
      </c>
    </row>
    <row r="95" spans="1:3" ht="20.100000000000001" customHeight="1" x14ac:dyDescent="0.25">
      <c r="A95" s="187">
        <v>39</v>
      </c>
      <c r="B95" s="191"/>
      <c r="C95" s="189"/>
    </row>
    <row r="96" spans="1:3" ht="20.100000000000001" customHeight="1" x14ac:dyDescent="0.25">
      <c r="A96" s="187">
        <v>40</v>
      </c>
      <c r="B96" s="189" t="s">
        <v>911</v>
      </c>
      <c r="C96" s="189">
        <f>data!C347</f>
        <v>0</v>
      </c>
    </row>
    <row r="97" spans="1:3" ht="20.100000000000001" customHeight="1" x14ac:dyDescent="0.25">
      <c r="A97" s="187">
        <v>41</v>
      </c>
      <c r="B97" s="191"/>
      <c r="C97" s="189"/>
    </row>
    <row r="98" spans="1:3" ht="20.100000000000001" customHeight="1" x14ac:dyDescent="0.25">
      <c r="A98" s="187">
        <v>42</v>
      </c>
      <c r="B98" s="189" t="s">
        <v>912</v>
      </c>
      <c r="C98" s="189">
        <f>data!C348</f>
        <v>0</v>
      </c>
    </row>
    <row r="99" spans="1:3" ht="20.100000000000001" customHeight="1" x14ac:dyDescent="0.25">
      <c r="A99" s="187">
        <v>43</v>
      </c>
      <c r="B99" s="189" t="s">
        <v>913</v>
      </c>
      <c r="C99" s="189"/>
    </row>
    <row r="100" spans="1:3" ht="20.100000000000001" customHeight="1" x14ac:dyDescent="0.25">
      <c r="A100" s="187">
        <v>44</v>
      </c>
      <c r="B100" s="191"/>
      <c r="C100" s="189"/>
    </row>
    <row r="101" spans="1:3" ht="20.100000000000001" customHeight="1" x14ac:dyDescent="0.25">
      <c r="A101" s="187">
        <v>45</v>
      </c>
      <c r="B101" s="189" t="s">
        <v>914</v>
      </c>
      <c r="C101" s="189">
        <f>data!C349</f>
        <v>0</v>
      </c>
    </row>
    <row r="102" spans="1:3" ht="20.100000000000001" customHeight="1" x14ac:dyDescent="0.25">
      <c r="A102" s="187">
        <v>46</v>
      </c>
      <c r="B102" s="189" t="s">
        <v>915</v>
      </c>
      <c r="C102" s="189">
        <f>data!C343+data!C345+data!C346+data!C347+data!C348-data!C349</f>
        <v>362223516</v>
      </c>
    </row>
    <row r="103" spans="1:3" ht="20.100000000000001" customHeight="1" x14ac:dyDescent="0.25">
      <c r="A103" s="187">
        <v>47</v>
      </c>
      <c r="B103" s="189" t="s">
        <v>916</v>
      </c>
      <c r="C103" s="189">
        <f>data!D352</f>
        <v>1056856442</v>
      </c>
    </row>
    <row r="104" spans="1:3" ht="20.100000000000001" customHeight="1" x14ac:dyDescent="0.25"/>
    <row r="105" spans="1:3" ht="20.100000000000001" customHeight="1" x14ac:dyDescent="0.25"/>
    <row r="106" spans="1:3" ht="20.100000000000001" customHeight="1" x14ac:dyDescent="0.25">
      <c r="A106" s="181" t="s">
        <v>917</v>
      </c>
      <c r="B106" s="182"/>
      <c r="C106" s="182"/>
    </row>
    <row r="107" spans="1:3" ht="20.100000000000001" customHeight="1" x14ac:dyDescent="0.25">
      <c r="A107" s="183"/>
      <c r="C107" s="107" t="s">
        <v>918</v>
      </c>
    </row>
    <row r="108" spans="1:3" ht="20.100000000000001" customHeight="1" x14ac:dyDescent="0.25">
      <c r="A108" s="133" t="str">
        <f>"Hospital: "&amp;data!C98</f>
        <v>Hospital: EvergreenHealth Kirkland / King Country Public Hos #2</v>
      </c>
      <c r="B108" s="183"/>
      <c r="C108" s="155" t="str">
        <f>"FYE: "&amp;data!C96</f>
        <v>FYE: 12/31/2022</v>
      </c>
    </row>
    <row r="109" spans="1:3" ht="20.100000000000001" customHeight="1" x14ac:dyDescent="0.25">
      <c r="A109" s="184"/>
      <c r="B109" s="199"/>
      <c r="C109" s="200"/>
    </row>
    <row r="110" spans="1:3" ht="20.100000000000001" customHeight="1" x14ac:dyDescent="0.25">
      <c r="A110" s="187">
        <v>1</v>
      </c>
      <c r="B110" s="190" t="s">
        <v>919</v>
      </c>
      <c r="C110" s="188"/>
    </row>
    <row r="111" spans="1:3" ht="20.100000000000001" customHeight="1" x14ac:dyDescent="0.25">
      <c r="A111" s="187">
        <v>2</v>
      </c>
      <c r="B111" s="189" t="s">
        <v>469</v>
      </c>
      <c r="C111" s="189">
        <f>data!C358</f>
        <v>911243186</v>
      </c>
    </row>
    <row r="112" spans="1:3" ht="20.100000000000001" customHeight="1" x14ac:dyDescent="0.25">
      <c r="A112" s="187">
        <v>3</v>
      </c>
      <c r="B112" s="189" t="s">
        <v>470</v>
      </c>
      <c r="C112" s="189">
        <f>data!C359</f>
        <v>1320277527</v>
      </c>
    </row>
    <row r="113" spans="1:3" ht="20.100000000000001" customHeight="1" x14ac:dyDescent="0.25">
      <c r="A113" s="187">
        <v>4</v>
      </c>
      <c r="B113" s="189" t="s">
        <v>920</v>
      </c>
      <c r="C113" s="189">
        <f>data!D360</f>
        <v>2231520713</v>
      </c>
    </row>
    <row r="114" spans="1:3" ht="20.100000000000001" customHeight="1" x14ac:dyDescent="0.25">
      <c r="A114" s="187">
        <v>5</v>
      </c>
      <c r="B114" s="191"/>
      <c r="C114" s="189"/>
    </row>
    <row r="115" spans="1:3" ht="20.100000000000001" customHeight="1" x14ac:dyDescent="0.25">
      <c r="A115" s="187">
        <v>6</v>
      </c>
      <c r="B115" s="190" t="s">
        <v>921</v>
      </c>
      <c r="C115" s="188"/>
    </row>
    <row r="116" spans="1:3" ht="20.100000000000001" customHeight="1" x14ac:dyDescent="0.25">
      <c r="A116" s="187">
        <v>7</v>
      </c>
      <c r="B116" s="201" t="s">
        <v>922</v>
      </c>
      <c r="C116" s="202">
        <f>data!C362</f>
        <v>27655075</v>
      </c>
    </row>
    <row r="117" spans="1:3" ht="20.100000000000001" customHeight="1" x14ac:dyDescent="0.25">
      <c r="A117" s="187">
        <v>8</v>
      </c>
      <c r="B117" s="189" t="s">
        <v>473</v>
      </c>
      <c r="C117" s="202">
        <f>data!C363</f>
        <v>1400181059</v>
      </c>
    </row>
    <row r="118" spans="1:3" ht="20.100000000000001" customHeight="1" x14ac:dyDescent="0.25">
      <c r="A118" s="187">
        <v>9</v>
      </c>
      <c r="B118" s="189" t="s">
        <v>923</v>
      </c>
      <c r="C118" s="202">
        <f>data!C364</f>
        <v>7832509</v>
      </c>
    </row>
    <row r="119" spans="1:3" ht="20.100000000000001" customHeight="1" x14ac:dyDescent="0.25">
      <c r="A119" s="187">
        <v>10</v>
      </c>
      <c r="B119" s="189" t="s">
        <v>924</v>
      </c>
      <c r="C119" s="202">
        <f>data!C365</f>
        <v>6546869</v>
      </c>
    </row>
    <row r="120" spans="1:3" ht="20.100000000000001" customHeight="1" x14ac:dyDescent="0.25">
      <c r="A120" s="187">
        <v>11</v>
      </c>
      <c r="B120" s="189" t="s">
        <v>868</v>
      </c>
      <c r="C120" s="202">
        <f>data!D366</f>
        <v>1442215512</v>
      </c>
    </row>
    <row r="121" spans="1:3" ht="20.100000000000001" customHeight="1" x14ac:dyDescent="0.25">
      <c r="A121" s="187">
        <v>12</v>
      </c>
      <c r="B121" s="189" t="s">
        <v>925</v>
      </c>
      <c r="C121" s="202">
        <f>data!D367</f>
        <v>789305201</v>
      </c>
    </row>
    <row r="122" spans="1:3" ht="20.100000000000001" customHeight="1" x14ac:dyDescent="0.25">
      <c r="A122" s="187">
        <v>13</v>
      </c>
      <c r="B122" s="191"/>
      <c r="C122" s="189"/>
    </row>
    <row r="123" spans="1:3" ht="20.100000000000001" customHeight="1" x14ac:dyDescent="0.25">
      <c r="A123" s="187">
        <v>14</v>
      </c>
      <c r="B123" s="190" t="s">
        <v>477</v>
      </c>
      <c r="C123" s="188"/>
    </row>
    <row r="124" spans="1:3" ht="20.100000000000001" customHeight="1" x14ac:dyDescent="0.25">
      <c r="A124" s="187">
        <v>15</v>
      </c>
      <c r="B124" s="203" t="s">
        <v>478</v>
      </c>
      <c r="C124" s="204"/>
    </row>
    <row r="125" spans="1:3" ht="20.100000000000001" customHeight="1" x14ac:dyDescent="0.25">
      <c r="A125" s="208" t="s">
        <v>926</v>
      </c>
      <c r="B125" s="205" t="s">
        <v>479</v>
      </c>
      <c r="C125" s="204">
        <f>data!C370</f>
        <v>0</v>
      </c>
    </row>
    <row r="126" spans="1:3" ht="20.100000000000001" customHeight="1" x14ac:dyDescent="0.25">
      <c r="A126" s="208" t="s">
        <v>927</v>
      </c>
      <c r="B126" s="205" t="s">
        <v>480</v>
      </c>
      <c r="C126" s="204">
        <f>data!C371</f>
        <v>0</v>
      </c>
    </row>
    <row r="127" spans="1:3" ht="20.100000000000001" customHeight="1" x14ac:dyDescent="0.25">
      <c r="A127" s="208" t="s">
        <v>928</v>
      </c>
      <c r="B127" s="205" t="s">
        <v>481</v>
      </c>
      <c r="C127" s="204">
        <f>data!C372</f>
        <v>0</v>
      </c>
    </row>
    <row r="128" spans="1:3" ht="20.100000000000001" customHeight="1" x14ac:dyDescent="0.25">
      <c r="A128" s="208" t="s">
        <v>929</v>
      </c>
      <c r="B128" s="205" t="s">
        <v>482</v>
      </c>
      <c r="C128" s="204">
        <f>data!C373</f>
        <v>0</v>
      </c>
    </row>
    <row r="129" spans="1:3" ht="20.100000000000001" customHeight="1" x14ac:dyDescent="0.25">
      <c r="A129" s="208" t="s">
        <v>930</v>
      </c>
      <c r="B129" s="205" t="s">
        <v>483</v>
      </c>
      <c r="C129" s="204">
        <f>data!C374</f>
        <v>0</v>
      </c>
    </row>
    <row r="130" spans="1:3" ht="20.100000000000001" customHeight="1" x14ac:dyDescent="0.25">
      <c r="A130" s="208" t="s">
        <v>931</v>
      </c>
      <c r="B130" s="205" t="s">
        <v>484</v>
      </c>
      <c r="C130" s="204">
        <f>data!C375</f>
        <v>0</v>
      </c>
    </row>
    <row r="131" spans="1:3" ht="20.100000000000001" customHeight="1" x14ac:dyDescent="0.25">
      <c r="A131" s="208" t="s">
        <v>932</v>
      </c>
      <c r="B131" s="205" t="s">
        <v>485</v>
      </c>
      <c r="C131" s="204">
        <f>data!C376</f>
        <v>0</v>
      </c>
    </row>
    <row r="132" spans="1:3" ht="20.100000000000001" customHeight="1" x14ac:dyDescent="0.25">
      <c r="A132" s="208" t="s">
        <v>933</v>
      </c>
      <c r="B132" s="205" t="s">
        <v>486</v>
      </c>
      <c r="C132" s="204">
        <f>data!C377</f>
        <v>0</v>
      </c>
    </row>
    <row r="133" spans="1:3" ht="20.100000000000001" customHeight="1" x14ac:dyDescent="0.25">
      <c r="A133" s="208" t="s">
        <v>934</v>
      </c>
      <c r="B133" s="205" t="s">
        <v>487</v>
      </c>
      <c r="C133" s="204">
        <f>data!C378</f>
        <v>0</v>
      </c>
    </row>
    <row r="134" spans="1:3" ht="20.100000000000001" customHeight="1" x14ac:dyDescent="0.25">
      <c r="A134" s="208" t="s">
        <v>935</v>
      </c>
      <c r="B134" s="205" t="s">
        <v>488</v>
      </c>
      <c r="C134" s="204">
        <f>data!C379</f>
        <v>0</v>
      </c>
    </row>
    <row r="135" spans="1:3" ht="20.100000000000001" customHeight="1" x14ac:dyDescent="0.25">
      <c r="A135" s="208" t="s">
        <v>936</v>
      </c>
      <c r="B135" s="205" t="s">
        <v>489</v>
      </c>
      <c r="C135" s="204">
        <f>data!C380</f>
        <v>46215888</v>
      </c>
    </row>
    <row r="136" spans="1:3" ht="20.100000000000001" customHeight="1" x14ac:dyDescent="0.25">
      <c r="A136" s="187">
        <v>16</v>
      </c>
      <c r="B136" s="189" t="s">
        <v>491</v>
      </c>
      <c r="C136" s="204">
        <f>data!C382</f>
        <v>28608941</v>
      </c>
    </row>
    <row r="137" spans="1:3" ht="20.100000000000001" customHeight="1" x14ac:dyDescent="0.25">
      <c r="A137" s="187">
        <v>17</v>
      </c>
      <c r="B137" s="189" t="s">
        <v>937</v>
      </c>
      <c r="C137" s="202">
        <f>data!D383</f>
        <v>74824829</v>
      </c>
    </row>
    <row r="138" spans="1:3" ht="20.100000000000001" customHeight="1" x14ac:dyDescent="0.25">
      <c r="A138" s="187">
        <v>18</v>
      </c>
      <c r="B138" s="189" t="s">
        <v>938</v>
      </c>
      <c r="C138" s="202">
        <f>data!D384</f>
        <v>864130030</v>
      </c>
    </row>
    <row r="139" spans="1:3" ht="20.100000000000001" customHeight="1" x14ac:dyDescent="0.25">
      <c r="A139" s="187">
        <v>19</v>
      </c>
      <c r="B139" s="191"/>
      <c r="C139" s="189"/>
    </row>
    <row r="140" spans="1:3" ht="20.100000000000001" customHeight="1" x14ac:dyDescent="0.25">
      <c r="A140" s="187">
        <v>20</v>
      </c>
      <c r="B140" s="190" t="s">
        <v>939</v>
      </c>
      <c r="C140" s="188"/>
    </row>
    <row r="141" spans="1:3" ht="20.100000000000001" customHeight="1" x14ac:dyDescent="0.25">
      <c r="A141" s="187">
        <v>21</v>
      </c>
      <c r="B141" s="189" t="s">
        <v>495</v>
      </c>
      <c r="C141" s="202">
        <f>data!C389</f>
        <v>517937102</v>
      </c>
    </row>
    <row r="142" spans="1:3" ht="20.100000000000001" customHeight="1" x14ac:dyDescent="0.25">
      <c r="A142" s="187">
        <v>22</v>
      </c>
      <c r="B142" s="189" t="s">
        <v>9</v>
      </c>
      <c r="C142" s="202">
        <f>data!C390</f>
        <v>107031352</v>
      </c>
    </row>
    <row r="143" spans="1:3" ht="20.100000000000001" customHeight="1" x14ac:dyDescent="0.25">
      <c r="A143" s="187">
        <v>23</v>
      </c>
      <c r="B143" s="189" t="s">
        <v>249</v>
      </c>
      <c r="C143" s="202">
        <f>data!C391</f>
        <v>23869375</v>
      </c>
    </row>
    <row r="144" spans="1:3" ht="20.100000000000001" customHeight="1" x14ac:dyDescent="0.25">
      <c r="A144" s="187">
        <v>24</v>
      </c>
      <c r="B144" s="189" t="s">
        <v>250</v>
      </c>
      <c r="C144" s="202">
        <f>data!C392</f>
        <v>118690906</v>
      </c>
    </row>
    <row r="145" spans="1:3" ht="20.100000000000001" customHeight="1" x14ac:dyDescent="0.25">
      <c r="A145" s="187">
        <v>25</v>
      </c>
      <c r="B145" s="189" t="s">
        <v>940</v>
      </c>
      <c r="C145" s="202">
        <f>data!C393</f>
        <v>7177897</v>
      </c>
    </row>
    <row r="146" spans="1:3" ht="20.100000000000001" customHeight="1" x14ac:dyDescent="0.25">
      <c r="A146" s="187">
        <v>26</v>
      </c>
      <c r="B146" s="189" t="s">
        <v>941</v>
      </c>
      <c r="C146" s="202">
        <f>data!C394</f>
        <v>84399251</v>
      </c>
    </row>
    <row r="147" spans="1:3" ht="20.100000000000001" customHeight="1" x14ac:dyDescent="0.25">
      <c r="A147" s="187">
        <v>27</v>
      </c>
      <c r="B147" s="189" t="s">
        <v>11</v>
      </c>
      <c r="C147" s="202">
        <f>data!C395</f>
        <v>50519269</v>
      </c>
    </row>
    <row r="148" spans="1:3" ht="20.100000000000001" customHeight="1" x14ac:dyDescent="0.25">
      <c r="A148" s="187">
        <v>28</v>
      </c>
      <c r="B148" s="189" t="s">
        <v>942</v>
      </c>
      <c r="C148" s="202">
        <f>data!C396</f>
        <v>6201997</v>
      </c>
    </row>
    <row r="149" spans="1:3" ht="20.100000000000001" customHeight="1" x14ac:dyDescent="0.25">
      <c r="A149" s="187">
        <v>29</v>
      </c>
      <c r="B149" s="189" t="s">
        <v>500</v>
      </c>
      <c r="C149" s="202">
        <f>data!C397</f>
        <v>3455391</v>
      </c>
    </row>
    <row r="150" spans="1:3" ht="20.100000000000001" customHeight="1" x14ac:dyDescent="0.25">
      <c r="A150" s="187">
        <v>30</v>
      </c>
      <c r="B150" s="189" t="s">
        <v>943</v>
      </c>
      <c r="C150" s="202">
        <f>data!C398</f>
        <v>9101696</v>
      </c>
    </row>
    <row r="151" spans="1:3" ht="20.100000000000001" customHeight="1" x14ac:dyDescent="0.25">
      <c r="A151" s="187">
        <v>31</v>
      </c>
      <c r="B151" s="189" t="s">
        <v>502</v>
      </c>
      <c r="C151" s="202">
        <f>data!C399</f>
        <v>15301422</v>
      </c>
    </row>
    <row r="152" spans="1:3" ht="20.100000000000001" customHeight="1" x14ac:dyDescent="0.25">
      <c r="A152" s="187">
        <v>32</v>
      </c>
      <c r="B152" s="189" t="s">
        <v>254</v>
      </c>
      <c r="C152" s="202"/>
    </row>
    <row r="153" spans="1:3" ht="20.100000000000001" customHeight="1" x14ac:dyDescent="0.25">
      <c r="A153" s="208" t="s">
        <v>944</v>
      </c>
      <c r="B153" s="206" t="s">
        <v>255</v>
      </c>
      <c r="C153" s="202">
        <f>data!C401</f>
        <v>0</v>
      </c>
    </row>
    <row r="154" spans="1:3" ht="20.100000000000001" customHeight="1" x14ac:dyDescent="0.25">
      <c r="A154" s="208" t="s">
        <v>945</v>
      </c>
      <c r="B154" s="206" t="s">
        <v>256</v>
      </c>
      <c r="C154" s="202">
        <f>data!C402</f>
        <v>0</v>
      </c>
    </row>
    <row r="155" spans="1:3" ht="20.100000000000001" customHeight="1" x14ac:dyDescent="0.25">
      <c r="A155" s="208" t="s">
        <v>946</v>
      </c>
      <c r="B155" s="206" t="s">
        <v>947</v>
      </c>
      <c r="C155" s="202">
        <f>data!C403</f>
        <v>0</v>
      </c>
    </row>
    <row r="156" spans="1:3" ht="20.100000000000001" customHeight="1" x14ac:dyDescent="0.25">
      <c r="A156" s="208" t="s">
        <v>948</v>
      </c>
      <c r="B156" s="206" t="s">
        <v>258</v>
      </c>
      <c r="C156" s="202">
        <f>data!C404</f>
        <v>0</v>
      </c>
    </row>
    <row r="157" spans="1:3" ht="20.100000000000001" customHeight="1" x14ac:dyDescent="0.25">
      <c r="A157" s="208" t="s">
        <v>949</v>
      </c>
      <c r="B157" s="206" t="s">
        <v>259</v>
      </c>
      <c r="C157" s="202">
        <f>data!C405</f>
        <v>0</v>
      </c>
    </row>
    <row r="158" spans="1:3" ht="20.100000000000001" customHeight="1" x14ac:dyDescent="0.25">
      <c r="A158" s="208" t="s">
        <v>950</v>
      </c>
      <c r="B158" s="206" t="s">
        <v>260</v>
      </c>
      <c r="C158" s="202">
        <f>data!C406</f>
        <v>0</v>
      </c>
    </row>
    <row r="159" spans="1:3" ht="20.100000000000001" customHeight="1" x14ac:dyDescent="0.25">
      <c r="A159" s="208" t="s">
        <v>951</v>
      </c>
      <c r="B159" s="206" t="s">
        <v>261</v>
      </c>
      <c r="C159" s="202">
        <f>data!C407</f>
        <v>0</v>
      </c>
    </row>
    <row r="160" spans="1:3" ht="20.100000000000001" customHeight="1" x14ac:dyDescent="0.25">
      <c r="A160" s="208" t="s">
        <v>952</v>
      </c>
      <c r="B160" s="206" t="s">
        <v>262</v>
      </c>
      <c r="C160" s="202">
        <f>data!C408</f>
        <v>0</v>
      </c>
    </row>
    <row r="161" spans="1:3" ht="20.100000000000001" customHeight="1" x14ac:dyDescent="0.25">
      <c r="A161" s="208" t="s">
        <v>953</v>
      </c>
      <c r="B161" s="206" t="s">
        <v>263</v>
      </c>
      <c r="C161" s="202">
        <f>data!C409</f>
        <v>0</v>
      </c>
    </row>
    <row r="162" spans="1:3" ht="20.100000000000001" customHeight="1" x14ac:dyDescent="0.25">
      <c r="A162" s="208" t="s">
        <v>954</v>
      </c>
      <c r="B162" s="206" t="s">
        <v>264</v>
      </c>
      <c r="C162" s="202">
        <f>data!C410</f>
        <v>0</v>
      </c>
    </row>
    <row r="163" spans="1:3" ht="20.100000000000001" customHeight="1" x14ac:dyDescent="0.25">
      <c r="A163" s="208" t="s">
        <v>955</v>
      </c>
      <c r="B163" s="206" t="s">
        <v>265</v>
      </c>
      <c r="C163" s="202">
        <f>data!C411</f>
        <v>0</v>
      </c>
    </row>
    <row r="164" spans="1:3" ht="20.100000000000001" customHeight="1" x14ac:dyDescent="0.25">
      <c r="A164" s="208" t="s">
        <v>956</v>
      </c>
      <c r="B164" s="206" t="s">
        <v>266</v>
      </c>
      <c r="C164" s="202">
        <f>data!C412</f>
        <v>0</v>
      </c>
    </row>
    <row r="165" spans="1:3" ht="20.100000000000001" customHeight="1" x14ac:dyDescent="0.25">
      <c r="A165" s="208" t="s">
        <v>957</v>
      </c>
      <c r="B165" s="206" t="s">
        <v>267</v>
      </c>
      <c r="C165" s="202">
        <f>data!C413</f>
        <v>0</v>
      </c>
    </row>
    <row r="166" spans="1:3" ht="20.100000000000001" customHeight="1" x14ac:dyDescent="0.25">
      <c r="A166" s="208" t="s">
        <v>958</v>
      </c>
      <c r="B166" s="206" t="s">
        <v>959</v>
      </c>
      <c r="C166" s="202">
        <f>data!C414</f>
        <v>9926497</v>
      </c>
    </row>
    <row r="167" spans="1:3" ht="20.100000000000001" customHeight="1" x14ac:dyDescent="0.25">
      <c r="A167" s="187">
        <v>34</v>
      </c>
      <c r="B167" s="189" t="s">
        <v>960</v>
      </c>
      <c r="C167" s="202">
        <f>data!D416</f>
        <v>953612155</v>
      </c>
    </row>
    <row r="168" spans="1:3" ht="20.100000000000001" customHeight="1" x14ac:dyDescent="0.25">
      <c r="A168" s="187">
        <v>35</v>
      </c>
      <c r="B168" s="189" t="s">
        <v>961</v>
      </c>
      <c r="C168" s="202">
        <f>data!D417</f>
        <v>-89482125</v>
      </c>
    </row>
    <row r="169" spans="1:3" ht="20.100000000000001" customHeight="1" x14ac:dyDescent="0.25">
      <c r="A169" s="187">
        <v>36</v>
      </c>
      <c r="B169" s="191"/>
      <c r="C169" s="189"/>
    </row>
    <row r="170" spans="1:3" ht="20.100000000000001" customHeight="1" x14ac:dyDescent="0.25">
      <c r="A170" s="187">
        <v>37</v>
      </c>
      <c r="B170" s="189" t="s">
        <v>962</v>
      </c>
      <c r="C170" s="202">
        <f>data!D420</f>
        <v>-2117370</v>
      </c>
    </row>
    <row r="171" spans="1:3" ht="20.100000000000001" customHeight="1" x14ac:dyDescent="0.25">
      <c r="A171" s="187">
        <v>38</v>
      </c>
      <c r="B171" s="191"/>
      <c r="C171" s="189"/>
    </row>
    <row r="172" spans="1:3" ht="20.100000000000001" customHeight="1" x14ac:dyDescent="0.25">
      <c r="A172" s="187">
        <v>39</v>
      </c>
      <c r="B172" s="189" t="s">
        <v>963</v>
      </c>
      <c r="C172" s="189">
        <f>data!D421</f>
        <v>-91599495</v>
      </c>
    </row>
    <row r="173" spans="1:3" ht="20.100000000000001" customHeight="1" x14ac:dyDescent="0.25">
      <c r="A173" s="187">
        <v>40</v>
      </c>
      <c r="B173" s="191"/>
      <c r="C173" s="189"/>
    </row>
    <row r="174" spans="1:3" ht="20.100000000000001" customHeight="1" x14ac:dyDescent="0.25">
      <c r="A174" s="187">
        <v>41</v>
      </c>
      <c r="B174" s="189" t="s">
        <v>964</v>
      </c>
      <c r="C174" s="202">
        <f>data!C422</f>
        <v>0</v>
      </c>
    </row>
    <row r="175" spans="1:3" ht="20.100000000000001" customHeight="1" x14ac:dyDescent="0.25">
      <c r="A175" s="187">
        <v>42</v>
      </c>
      <c r="B175" s="189" t="s">
        <v>965</v>
      </c>
      <c r="C175" s="202">
        <f>data!C423</f>
        <v>0</v>
      </c>
    </row>
    <row r="176" spans="1:3" ht="20.100000000000001" customHeight="1" x14ac:dyDescent="0.25">
      <c r="A176" s="187">
        <v>43</v>
      </c>
      <c r="B176" s="191"/>
      <c r="C176" s="189"/>
    </row>
    <row r="177" spans="1:3" ht="20.100000000000001" customHeight="1" x14ac:dyDescent="0.25">
      <c r="A177" s="187">
        <v>44</v>
      </c>
      <c r="B177" s="189" t="s">
        <v>966</v>
      </c>
      <c r="C177" s="202">
        <f>data!D424</f>
        <v>-91599495</v>
      </c>
    </row>
    <row r="178" spans="1:3" ht="20.100000000000001" customHeight="1" x14ac:dyDescent="0.25">
      <c r="A178" s="192">
        <v>45</v>
      </c>
      <c r="B178" s="346" t="s">
        <v>1384</v>
      </c>
      <c r="C178" s="189"/>
    </row>
    <row r="179" spans="1:3" ht="20.100000000000001" customHeight="1" x14ac:dyDescent="0.25">
      <c r="A179" s="209"/>
      <c r="B179" s="207"/>
      <c r="C179" s="193"/>
    </row>
  </sheetData>
  <phoneticPr fontId="0" type="noConversion"/>
  <printOptions horizontalCentered="1" verticalCentered="1" gridLines="1" gridLinesSet="0"/>
  <pageMargins left="0" right="0" top="0" bottom="0" header="0" footer="0"/>
  <pageSetup scale="86" fitToHeight="4" orientation="portrait" r:id="rId1"/>
  <headerFooter alignWithMargins="0"/>
  <rowBreaks count="2" manualBreakCount="2">
    <brk id="50" max="2" man="1"/>
    <brk id="101" max="2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62CA7-A4CC-4E3E-A477-14A9ACB5712B}">
  <sheetPr codeName="Sheet11"/>
  <dimension ref="A1:N410"/>
  <sheetViews>
    <sheetView showGridLines="0" topLeftCell="A55" zoomScale="65" workbookViewId="0">
      <selection activeCell="F82" sqref="F82"/>
    </sheetView>
  </sheetViews>
  <sheetFormatPr defaultColWidth="8.88671875" defaultRowHeight="20.100000000000001" customHeight="1" x14ac:dyDescent="0.2"/>
  <cols>
    <col min="1" max="1" width="5.77734375" style="280" customWidth="1"/>
    <col min="2" max="2" width="22.44140625" style="280" customWidth="1"/>
    <col min="3" max="8" width="13.77734375" style="280" customWidth="1"/>
    <col min="9" max="9" width="15.77734375" style="280" customWidth="1"/>
    <col min="10" max="10" width="8.88671875" style="280" customWidth="1"/>
    <col min="11" max="16384" width="8.88671875" style="280"/>
  </cols>
  <sheetData>
    <row r="1" spans="1:9" ht="20.100000000000001" customHeight="1" x14ac:dyDescent="0.2">
      <c r="A1" s="278" t="s">
        <v>967</v>
      </c>
      <c r="B1" s="279"/>
      <c r="C1" s="279"/>
      <c r="D1" s="279"/>
      <c r="E1" s="279"/>
      <c r="F1" s="279"/>
      <c r="G1" s="279"/>
      <c r="H1" s="279"/>
    </row>
    <row r="2" spans="1:9" ht="20.100000000000001" customHeight="1" x14ac:dyDescent="0.2">
      <c r="A2" s="281"/>
      <c r="I2" s="282" t="s">
        <v>968</v>
      </c>
    </row>
    <row r="3" spans="1:9" ht="20.100000000000001" customHeight="1" x14ac:dyDescent="0.2">
      <c r="A3" s="281"/>
      <c r="I3" s="281"/>
    </row>
    <row r="4" spans="1:9" ht="20.100000000000001" customHeight="1" x14ac:dyDescent="0.2">
      <c r="A4" s="283" t="str">
        <f>"Hospital: "&amp;data!C98</f>
        <v>Hospital: EvergreenHealth Kirkland / King Country Public Hos #2</v>
      </c>
      <c r="G4" s="284"/>
      <c r="H4" s="283" t="str">
        <f>"FYE: "&amp;data!C96</f>
        <v>FYE: 12/31/2022</v>
      </c>
    </row>
    <row r="5" spans="1:9" ht="20.100000000000001" customHeight="1" x14ac:dyDescent="0.2">
      <c r="A5" s="277">
        <v>1</v>
      </c>
      <c r="B5" s="285" t="s">
        <v>221</v>
      </c>
      <c r="C5" s="286" t="s">
        <v>21</v>
      </c>
      <c r="D5" s="287" t="s">
        <v>22</v>
      </c>
      <c r="E5" s="287" t="s">
        <v>23</v>
      </c>
      <c r="F5" s="287" t="s">
        <v>24</v>
      </c>
      <c r="G5" s="287" t="s">
        <v>25</v>
      </c>
      <c r="H5" s="287" t="s">
        <v>26</v>
      </c>
      <c r="I5" s="287" t="s">
        <v>27</v>
      </c>
    </row>
    <row r="6" spans="1:9" ht="20.100000000000001" customHeight="1" x14ac:dyDescent="0.2">
      <c r="A6" s="288">
        <v>2</v>
      </c>
      <c r="B6" s="289" t="s">
        <v>969</v>
      </c>
      <c r="C6" s="290" t="s">
        <v>103</v>
      </c>
      <c r="D6" s="291" t="s">
        <v>970</v>
      </c>
      <c r="E6" s="291" t="s">
        <v>105</v>
      </c>
      <c r="F6" s="291" t="s">
        <v>106</v>
      </c>
      <c r="G6" s="291" t="s">
        <v>107</v>
      </c>
      <c r="H6" s="291" t="s">
        <v>108</v>
      </c>
      <c r="I6" s="291" t="s">
        <v>109</v>
      </c>
    </row>
    <row r="7" spans="1:9" ht="20.100000000000001" customHeight="1" x14ac:dyDescent="0.2">
      <c r="A7" s="288"/>
      <c r="B7" s="289"/>
      <c r="C7" s="291" t="s">
        <v>175</v>
      </c>
      <c r="D7" s="291" t="s">
        <v>971</v>
      </c>
      <c r="E7" s="291" t="s">
        <v>175</v>
      </c>
      <c r="F7" s="291" t="s">
        <v>972</v>
      </c>
      <c r="G7" s="291" t="s">
        <v>177</v>
      </c>
      <c r="H7" s="291" t="s">
        <v>175</v>
      </c>
      <c r="I7" s="291" t="s">
        <v>178</v>
      </c>
    </row>
    <row r="8" spans="1:9" ht="20.100000000000001" customHeight="1" x14ac:dyDescent="0.2">
      <c r="A8" s="277">
        <v>3</v>
      </c>
      <c r="B8" s="285" t="s">
        <v>973</v>
      </c>
      <c r="C8" s="287" t="s">
        <v>227</v>
      </c>
      <c r="D8" s="287" t="s">
        <v>227</v>
      </c>
      <c r="E8" s="287" t="s">
        <v>227</v>
      </c>
      <c r="F8" s="287" t="s">
        <v>227</v>
      </c>
      <c r="G8" s="287" t="s">
        <v>227</v>
      </c>
      <c r="H8" s="287" t="s">
        <v>227</v>
      </c>
      <c r="I8" s="287" t="s">
        <v>227</v>
      </c>
    </row>
    <row r="9" spans="1:9" ht="20.100000000000001" customHeight="1" x14ac:dyDescent="0.2">
      <c r="A9" s="277">
        <v>4</v>
      </c>
      <c r="B9" s="285" t="s">
        <v>246</v>
      </c>
      <c r="C9" s="285">
        <f>data!C59</f>
        <v>5601</v>
      </c>
      <c r="D9" s="285">
        <f>data!D59</f>
        <v>10992.92</v>
      </c>
      <c r="E9" s="285">
        <f>data!E59</f>
        <v>46508.52</v>
      </c>
      <c r="F9" s="285">
        <f>data!F59</f>
        <v>0</v>
      </c>
      <c r="G9" s="285">
        <f>data!G59</f>
        <v>3777</v>
      </c>
      <c r="H9" s="285">
        <f>data!H59</f>
        <v>0</v>
      </c>
      <c r="I9" s="285">
        <f>data!I59</f>
        <v>0</v>
      </c>
    </row>
    <row r="10" spans="1:9" ht="20.100000000000001" customHeight="1" x14ac:dyDescent="0.2">
      <c r="A10" s="277">
        <v>5</v>
      </c>
      <c r="B10" s="285" t="s">
        <v>247</v>
      </c>
      <c r="C10" s="292">
        <f>data!C60</f>
        <v>129.13001442307691</v>
      </c>
      <c r="D10" s="292">
        <f>data!D60</f>
        <v>76.277168269230771</v>
      </c>
      <c r="E10" s="292">
        <f>data!E60</f>
        <v>344.70559134615377</v>
      </c>
      <c r="F10" s="292">
        <f>data!F60</f>
        <v>9.1393509615384634</v>
      </c>
      <c r="G10" s="292">
        <f>data!G60</f>
        <v>19.144341346153844</v>
      </c>
      <c r="H10" s="292">
        <f>data!H60</f>
        <v>0</v>
      </c>
      <c r="I10" s="292">
        <f>data!I60</f>
        <v>0</v>
      </c>
    </row>
    <row r="11" spans="1:9" ht="20.100000000000001" customHeight="1" x14ac:dyDescent="0.2">
      <c r="A11" s="277">
        <v>6</v>
      </c>
      <c r="B11" s="285" t="s">
        <v>248</v>
      </c>
      <c r="C11" s="285">
        <f>data!C61</f>
        <v>18448094.240000006</v>
      </c>
      <c r="D11" s="285">
        <f>data!D61</f>
        <v>10641758.460000003</v>
      </c>
      <c r="E11" s="285">
        <f>data!E61</f>
        <v>45752919.269999988</v>
      </c>
      <c r="F11" s="285">
        <f>data!F61</f>
        <v>1426051.51</v>
      </c>
      <c r="G11" s="285">
        <f>data!G61</f>
        <v>2638151.8499999996</v>
      </c>
      <c r="H11" s="285">
        <f>data!H61</f>
        <v>0</v>
      </c>
      <c r="I11" s="285">
        <f>data!I61</f>
        <v>0</v>
      </c>
    </row>
    <row r="12" spans="1:9" ht="20.100000000000001" customHeight="1" x14ac:dyDescent="0.2">
      <c r="A12" s="277">
        <v>7</v>
      </c>
      <c r="B12" s="285" t="s">
        <v>9</v>
      </c>
      <c r="C12" s="285">
        <f>data!C62</f>
        <v>3510195</v>
      </c>
      <c r="D12" s="285">
        <f>data!D62</f>
        <v>1697587</v>
      </c>
      <c r="E12" s="285">
        <f>data!E62</f>
        <v>6127370</v>
      </c>
      <c r="F12" s="285">
        <f>data!F62</f>
        <v>283688</v>
      </c>
      <c r="G12" s="285">
        <f>data!G62</f>
        <v>479752</v>
      </c>
      <c r="H12" s="285">
        <f>data!H62</f>
        <v>0</v>
      </c>
      <c r="I12" s="285">
        <f>data!I62</f>
        <v>0</v>
      </c>
    </row>
    <row r="13" spans="1:9" ht="20.100000000000001" customHeight="1" x14ac:dyDescent="0.2">
      <c r="A13" s="277">
        <v>8</v>
      </c>
      <c r="B13" s="285" t="s">
        <v>249</v>
      </c>
      <c r="C13" s="285">
        <f>data!C63</f>
        <v>750325.11</v>
      </c>
      <c r="D13" s="285">
        <f>data!D63</f>
        <v>0</v>
      </c>
      <c r="E13" s="285">
        <f>data!E63</f>
        <v>0</v>
      </c>
      <c r="F13" s="285">
        <f>data!F63</f>
        <v>0</v>
      </c>
      <c r="G13" s="285">
        <f>data!G63</f>
        <v>500</v>
      </c>
      <c r="H13" s="285">
        <f>data!H63</f>
        <v>0</v>
      </c>
      <c r="I13" s="285">
        <f>data!I63</f>
        <v>0</v>
      </c>
    </row>
    <row r="14" spans="1:9" ht="20.100000000000001" customHeight="1" x14ac:dyDescent="0.2">
      <c r="A14" s="277">
        <v>9</v>
      </c>
      <c r="B14" s="285" t="s">
        <v>250</v>
      </c>
      <c r="C14" s="285">
        <f>data!C64</f>
        <v>1559956.5900000003</v>
      </c>
      <c r="D14" s="285">
        <f>data!D64</f>
        <v>685223.06</v>
      </c>
      <c r="E14" s="285">
        <f>data!E64</f>
        <v>2422980.3800000008</v>
      </c>
      <c r="F14" s="285">
        <f>data!F64</f>
        <v>1914.5</v>
      </c>
      <c r="G14" s="285">
        <f>data!G64</f>
        <v>75780.86</v>
      </c>
      <c r="H14" s="285">
        <f>data!H64</f>
        <v>0</v>
      </c>
      <c r="I14" s="285">
        <f>data!I64</f>
        <v>0</v>
      </c>
    </row>
    <row r="15" spans="1:9" ht="20.100000000000001" customHeight="1" x14ac:dyDescent="0.2">
      <c r="A15" s="277">
        <v>10</v>
      </c>
      <c r="B15" s="285" t="s">
        <v>497</v>
      </c>
      <c r="C15" s="285">
        <f>data!C65</f>
        <v>5575.72</v>
      </c>
      <c r="D15" s="285">
        <f>data!D65</f>
        <v>0</v>
      </c>
      <c r="E15" s="285">
        <f>data!E65</f>
        <v>0</v>
      </c>
      <c r="F15" s="285">
        <f>data!F65</f>
        <v>0</v>
      </c>
      <c r="G15" s="285">
        <f>data!G65</f>
        <v>0</v>
      </c>
      <c r="H15" s="285">
        <f>data!H65</f>
        <v>0</v>
      </c>
      <c r="I15" s="285">
        <f>data!I65</f>
        <v>0</v>
      </c>
    </row>
    <row r="16" spans="1:9" ht="20.100000000000001" customHeight="1" x14ac:dyDescent="0.2">
      <c r="A16" s="277">
        <v>11</v>
      </c>
      <c r="B16" s="285" t="s">
        <v>498</v>
      </c>
      <c r="C16" s="285">
        <f>data!C66</f>
        <v>526923.65</v>
      </c>
      <c r="D16" s="285">
        <f>data!D66</f>
        <v>512211.66</v>
      </c>
      <c r="E16" s="285">
        <f>data!E66</f>
        <v>1157457.3799999999</v>
      </c>
      <c r="F16" s="285">
        <f>data!F66</f>
        <v>701.35</v>
      </c>
      <c r="G16" s="285">
        <f>data!G66</f>
        <v>82693.12000000001</v>
      </c>
      <c r="H16" s="285">
        <f>data!H66</f>
        <v>0</v>
      </c>
      <c r="I16" s="285">
        <f>data!I66</f>
        <v>33.72</v>
      </c>
    </row>
    <row r="17" spans="1:9" ht="20.100000000000001" customHeight="1" x14ac:dyDescent="0.2">
      <c r="A17" s="277">
        <v>12</v>
      </c>
      <c r="B17" s="285" t="s">
        <v>11</v>
      </c>
      <c r="C17" s="285">
        <f>data!C67</f>
        <v>2538695</v>
      </c>
      <c r="D17" s="285">
        <f>data!D67</f>
        <v>1451636</v>
      </c>
      <c r="E17" s="285">
        <f>data!E67</f>
        <v>2151509</v>
      </c>
      <c r="F17" s="285">
        <f>data!F67</f>
        <v>1390</v>
      </c>
      <c r="G17" s="285">
        <f>data!G67</f>
        <v>80264</v>
      </c>
      <c r="H17" s="285">
        <f>data!H67</f>
        <v>0</v>
      </c>
      <c r="I17" s="285">
        <f>data!I67</f>
        <v>0</v>
      </c>
    </row>
    <row r="18" spans="1:9" ht="20.100000000000001" customHeight="1" x14ac:dyDescent="0.2">
      <c r="A18" s="277">
        <v>13</v>
      </c>
      <c r="B18" s="285" t="s">
        <v>974</v>
      </c>
      <c r="C18" s="285">
        <f>data!C68</f>
        <v>0</v>
      </c>
      <c r="D18" s="285">
        <f>data!D68</f>
        <v>0</v>
      </c>
      <c r="E18" s="285">
        <f>data!E68</f>
        <v>0</v>
      </c>
      <c r="F18" s="285">
        <f>data!F68</f>
        <v>0</v>
      </c>
      <c r="G18" s="285">
        <f>data!G68</f>
        <v>0</v>
      </c>
      <c r="H18" s="285">
        <f>data!H68</f>
        <v>0</v>
      </c>
      <c r="I18" s="285">
        <f>data!I68</f>
        <v>0</v>
      </c>
    </row>
    <row r="19" spans="1:9" ht="20.100000000000001" customHeight="1" x14ac:dyDescent="0.2">
      <c r="A19" s="277">
        <v>14</v>
      </c>
      <c r="B19" s="285" t="s">
        <v>975</v>
      </c>
      <c r="C19" s="285">
        <f>data!C69</f>
        <v>17577.86</v>
      </c>
      <c r="D19" s="285">
        <f>data!D69</f>
        <v>6351.4699999999993</v>
      </c>
      <c r="E19" s="285">
        <f>data!E69</f>
        <v>17805.87</v>
      </c>
      <c r="F19" s="285">
        <f>data!F69</f>
        <v>32603.07</v>
      </c>
      <c r="G19" s="285">
        <f>data!G69</f>
        <v>7231.72</v>
      </c>
      <c r="H19" s="285">
        <f>data!H69</f>
        <v>0</v>
      </c>
      <c r="I19" s="285">
        <f>data!I69</f>
        <v>0</v>
      </c>
    </row>
    <row r="20" spans="1:9" ht="20.100000000000001" customHeight="1" x14ac:dyDescent="0.2">
      <c r="A20" s="277">
        <v>15</v>
      </c>
      <c r="B20" s="285" t="s">
        <v>269</v>
      </c>
      <c r="C20" s="285">
        <f>-data!C84</f>
        <v>-30820.67</v>
      </c>
      <c r="D20" s="285">
        <f>-data!D84</f>
        <v>0</v>
      </c>
      <c r="E20" s="285">
        <f>-data!E84</f>
        <v>-49.92</v>
      </c>
      <c r="F20" s="285">
        <f>-data!F84</f>
        <v>0</v>
      </c>
      <c r="G20" s="285">
        <f>-data!G84</f>
        <v>0</v>
      </c>
      <c r="H20" s="285">
        <f>-data!H84</f>
        <v>0</v>
      </c>
      <c r="I20" s="285">
        <f>-data!I84</f>
        <v>0</v>
      </c>
    </row>
    <row r="21" spans="1:9" ht="20.100000000000001" customHeight="1" x14ac:dyDescent="0.2">
      <c r="A21" s="277">
        <v>16</v>
      </c>
      <c r="B21" s="293" t="s">
        <v>976</v>
      </c>
      <c r="C21" s="285">
        <f>data!C85</f>
        <v>27326522.5</v>
      </c>
      <c r="D21" s="285">
        <f>data!D85</f>
        <v>14994767.650000004</v>
      </c>
      <c r="E21" s="285">
        <f>data!E85</f>
        <v>57629991.979999989</v>
      </c>
      <c r="F21" s="285">
        <f>data!F85</f>
        <v>1746348.4300000002</v>
      </c>
      <c r="G21" s="285">
        <f>data!G85</f>
        <v>3364373.55</v>
      </c>
      <c r="H21" s="285">
        <f>data!H85</f>
        <v>0</v>
      </c>
      <c r="I21" s="285">
        <f>data!I85</f>
        <v>33.72</v>
      </c>
    </row>
    <row r="22" spans="1:9" ht="20.100000000000001" customHeight="1" x14ac:dyDescent="0.2">
      <c r="A22" s="277">
        <v>17</v>
      </c>
      <c r="B22" s="285" t="s">
        <v>271</v>
      </c>
      <c r="C22" s="294"/>
      <c r="D22" s="295"/>
      <c r="E22" s="295"/>
      <c r="F22" s="295"/>
      <c r="G22" s="295"/>
      <c r="H22" s="295"/>
      <c r="I22" s="295"/>
    </row>
    <row r="23" spans="1:9" ht="20.100000000000001" customHeight="1" x14ac:dyDescent="0.2">
      <c r="A23" s="277">
        <v>18</v>
      </c>
      <c r="B23" s="285" t="s">
        <v>977</v>
      </c>
      <c r="C23" s="293">
        <f>+data!M668</f>
        <v>9228141</v>
      </c>
      <c r="D23" s="293">
        <f>+data!M669</f>
        <v>6077278</v>
      </c>
      <c r="E23" s="293">
        <f>+data!M670</f>
        <v>22024008</v>
      </c>
      <c r="F23" s="293">
        <f>+data!M671</f>
        <v>156417</v>
      </c>
      <c r="G23" s="293">
        <f>+data!M672</f>
        <v>1725969</v>
      </c>
      <c r="H23" s="293">
        <f>+data!M673</f>
        <v>0</v>
      </c>
      <c r="I23" s="293">
        <f>+data!M674</f>
        <v>2</v>
      </c>
    </row>
    <row r="24" spans="1:9" ht="20.100000000000001" customHeight="1" x14ac:dyDescent="0.2">
      <c r="A24" s="277">
        <v>19</v>
      </c>
      <c r="B24" s="293" t="s">
        <v>978</v>
      </c>
      <c r="C24" s="285">
        <f>data!C87</f>
        <v>79106249.219999999</v>
      </c>
      <c r="D24" s="285">
        <f>data!D87</f>
        <v>55002822.32</v>
      </c>
      <c r="E24" s="285">
        <f>data!E87</f>
        <v>162667443.41</v>
      </c>
      <c r="F24" s="285">
        <f>data!F87</f>
        <v>0</v>
      </c>
      <c r="G24" s="285">
        <f>data!G87</f>
        <v>16211063.970000001</v>
      </c>
      <c r="H24" s="285">
        <f>data!H87</f>
        <v>0</v>
      </c>
      <c r="I24" s="285">
        <f>data!I87</f>
        <v>0</v>
      </c>
    </row>
    <row r="25" spans="1:9" ht="20.100000000000001" customHeight="1" x14ac:dyDescent="0.2">
      <c r="A25" s="277">
        <v>20</v>
      </c>
      <c r="B25" s="293" t="s">
        <v>979</v>
      </c>
      <c r="C25" s="285">
        <f>data!C88</f>
        <v>156297.60999999999</v>
      </c>
      <c r="D25" s="285">
        <f>data!D88</f>
        <v>1207736</v>
      </c>
      <c r="E25" s="285">
        <f>data!E88</f>
        <v>8357661.3300000001</v>
      </c>
      <c r="F25" s="285">
        <f>data!F88</f>
        <v>0</v>
      </c>
      <c r="G25" s="285">
        <f>data!G88</f>
        <v>5208</v>
      </c>
      <c r="H25" s="285">
        <f>data!H88</f>
        <v>0</v>
      </c>
      <c r="I25" s="285">
        <f>data!I88</f>
        <v>0</v>
      </c>
    </row>
    <row r="26" spans="1:9" ht="18" customHeight="1" x14ac:dyDescent="0.2">
      <c r="A26" s="277">
        <v>21</v>
      </c>
      <c r="B26" s="293" t="s">
        <v>980</v>
      </c>
      <c r="C26" s="285">
        <f>data!C89</f>
        <v>79262546.829999998</v>
      </c>
      <c r="D26" s="285">
        <f>data!D89</f>
        <v>56210558.32</v>
      </c>
      <c r="E26" s="285">
        <f>data!E89</f>
        <v>171025104.74000001</v>
      </c>
      <c r="F26" s="285">
        <f>data!F89</f>
        <v>0</v>
      </c>
      <c r="G26" s="285">
        <f>data!G89</f>
        <v>16216271.970000001</v>
      </c>
      <c r="H26" s="285">
        <f>data!H89</f>
        <v>0</v>
      </c>
      <c r="I26" s="285">
        <f>data!I89</f>
        <v>0</v>
      </c>
    </row>
    <row r="27" spans="1:9" ht="20.100000000000001" customHeight="1" x14ac:dyDescent="0.2">
      <c r="A27" s="277" t="s">
        <v>981</v>
      </c>
      <c r="B27" s="285"/>
      <c r="C27" s="295"/>
      <c r="D27" s="295"/>
      <c r="E27" s="295"/>
      <c r="F27" s="295"/>
      <c r="G27" s="295"/>
      <c r="H27" s="295"/>
      <c r="I27" s="295"/>
    </row>
    <row r="28" spans="1:9" ht="20.100000000000001" customHeight="1" x14ac:dyDescent="0.2">
      <c r="A28" s="277">
        <v>22</v>
      </c>
      <c r="B28" s="285" t="s">
        <v>982</v>
      </c>
      <c r="C28" s="285">
        <f>data!C90</f>
        <v>31983</v>
      </c>
      <c r="D28" s="285">
        <f>data!D90</f>
        <v>24368</v>
      </c>
      <c r="E28" s="285">
        <f>data!E90</f>
        <v>112482</v>
      </c>
      <c r="F28" s="285">
        <f>data!F90</f>
        <v>0</v>
      </c>
      <c r="G28" s="285">
        <f>data!G90</f>
        <v>9095</v>
      </c>
      <c r="H28" s="285">
        <f>data!H90</f>
        <v>0</v>
      </c>
      <c r="I28" s="285">
        <f>data!I90</f>
        <v>0</v>
      </c>
    </row>
    <row r="29" spans="1:9" ht="20.100000000000001" customHeight="1" x14ac:dyDescent="0.2">
      <c r="A29" s="277">
        <v>23</v>
      </c>
      <c r="B29" s="285" t="s">
        <v>983</v>
      </c>
      <c r="C29" s="285">
        <f>data!C91</f>
        <v>11070</v>
      </c>
      <c r="D29" s="285">
        <f>data!D91</f>
        <v>30276</v>
      </c>
      <c r="E29" s="285">
        <f>data!E91</f>
        <v>139044</v>
      </c>
      <c r="F29" s="285">
        <f>data!F91</f>
        <v>0</v>
      </c>
      <c r="G29" s="285">
        <f>data!G91</f>
        <v>11213</v>
      </c>
      <c r="H29" s="285">
        <f>data!H91</f>
        <v>0</v>
      </c>
      <c r="I29" s="285">
        <f>data!I91</f>
        <v>0</v>
      </c>
    </row>
    <row r="30" spans="1:9" ht="20.100000000000001" customHeight="1" x14ac:dyDescent="0.2">
      <c r="A30" s="277">
        <v>24</v>
      </c>
      <c r="B30" s="285" t="s">
        <v>984</v>
      </c>
      <c r="C30" s="285">
        <f>data!C92</f>
        <v>4079.2</v>
      </c>
      <c r="D30" s="285">
        <f>data!D92</f>
        <v>3107.89</v>
      </c>
      <c r="E30" s="285">
        <f>data!E92</f>
        <v>14346.1</v>
      </c>
      <c r="F30" s="285">
        <f>data!F92</f>
        <v>0</v>
      </c>
      <c r="G30" s="285">
        <f>data!G92</f>
        <v>1160.04</v>
      </c>
      <c r="H30" s="285">
        <f>data!H92</f>
        <v>0</v>
      </c>
      <c r="I30" s="285">
        <f>data!I92</f>
        <v>0</v>
      </c>
    </row>
    <row r="31" spans="1:9" ht="20.100000000000001" customHeight="1" x14ac:dyDescent="0.2">
      <c r="A31" s="277">
        <v>25</v>
      </c>
      <c r="B31" s="285" t="s">
        <v>985</v>
      </c>
      <c r="C31" s="285">
        <f>data!C93</f>
        <v>165856.98000000001</v>
      </c>
      <c r="D31" s="285">
        <f>data!D93</f>
        <v>253863.42</v>
      </c>
      <c r="E31" s="285">
        <f>data!E93</f>
        <v>490559.89</v>
      </c>
      <c r="F31" s="285">
        <f>data!F93</f>
        <v>0</v>
      </c>
      <c r="G31" s="285">
        <f>data!G93</f>
        <v>32647.53</v>
      </c>
      <c r="H31" s="285">
        <f>data!H93</f>
        <v>0</v>
      </c>
      <c r="I31" s="285">
        <f>data!I93</f>
        <v>0</v>
      </c>
    </row>
    <row r="32" spans="1:9" ht="20.100000000000001" customHeight="1" x14ac:dyDescent="0.2">
      <c r="A32" s="277">
        <v>26</v>
      </c>
      <c r="B32" s="285" t="s">
        <v>279</v>
      </c>
      <c r="C32" s="292">
        <f>data!C94</f>
        <v>97.189937499999999</v>
      </c>
      <c r="D32" s="292">
        <f>data!D94</f>
        <v>49.781673076923077</v>
      </c>
      <c r="E32" s="292">
        <f>data!E94</f>
        <v>221.21140384615384</v>
      </c>
      <c r="F32" s="292">
        <f>data!F94</f>
        <v>1.003091346153846</v>
      </c>
      <c r="G32" s="292">
        <f>data!G94</f>
        <v>12.353634615384616</v>
      </c>
      <c r="H32" s="292">
        <f>data!H94</f>
        <v>0</v>
      </c>
      <c r="I32" s="292">
        <f>data!I94</f>
        <v>0</v>
      </c>
    </row>
    <row r="33" spans="1:9" ht="20.100000000000001" customHeight="1" x14ac:dyDescent="0.2">
      <c r="A33" s="278" t="s">
        <v>967</v>
      </c>
      <c r="B33" s="279"/>
      <c r="C33" s="279"/>
      <c r="D33" s="279"/>
      <c r="E33" s="279"/>
      <c r="F33" s="279"/>
      <c r="G33" s="279"/>
      <c r="H33" s="279"/>
      <c r="I33" s="278"/>
    </row>
    <row r="34" spans="1:9" ht="20.100000000000001" customHeight="1" x14ac:dyDescent="0.2">
      <c r="A34" s="281"/>
      <c r="I34" s="282" t="s">
        <v>986</v>
      </c>
    </row>
    <row r="35" spans="1:9" ht="20.100000000000001" customHeight="1" x14ac:dyDescent="0.2">
      <c r="A35" s="281"/>
      <c r="I35" s="281"/>
    </row>
    <row r="36" spans="1:9" ht="20.100000000000001" customHeight="1" x14ac:dyDescent="0.2">
      <c r="A36" s="283" t="str">
        <f>"Hospital: "&amp;data!C98</f>
        <v>Hospital: EvergreenHealth Kirkland / King Country Public Hos #2</v>
      </c>
      <c r="G36" s="284"/>
      <c r="H36" s="283" t="str">
        <f>"FYE: "&amp;data!C96</f>
        <v>FYE: 12/31/2022</v>
      </c>
    </row>
    <row r="37" spans="1:9" ht="20.100000000000001" customHeight="1" x14ac:dyDescent="0.2">
      <c r="A37" s="277">
        <v>1</v>
      </c>
      <c r="B37" s="285" t="s">
        <v>221</v>
      </c>
      <c r="C37" s="287" t="s">
        <v>28</v>
      </c>
      <c r="D37" s="287" t="s">
        <v>29</v>
      </c>
      <c r="E37" s="287" t="s">
        <v>30</v>
      </c>
      <c r="F37" s="287" t="s">
        <v>31</v>
      </c>
      <c r="G37" s="287" t="s">
        <v>32</v>
      </c>
      <c r="H37" s="287" t="s">
        <v>33</v>
      </c>
      <c r="I37" s="287" t="s">
        <v>34</v>
      </c>
    </row>
    <row r="38" spans="1:9" ht="20.100000000000001" customHeight="1" x14ac:dyDescent="0.2">
      <c r="A38" s="288">
        <v>2</v>
      </c>
      <c r="B38" s="289" t="s">
        <v>969</v>
      </c>
      <c r="C38" s="291"/>
      <c r="D38" s="291" t="s">
        <v>111</v>
      </c>
      <c r="E38" s="291" t="s">
        <v>112</v>
      </c>
      <c r="F38" s="291" t="s">
        <v>987</v>
      </c>
      <c r="G38" s="291" t="s">
        <v>114</v>
      </c>
      <c r="H38" s="291" t="s">
        <v>988</v>
      </c>
      <c r="I38" s="291" t="s">
        <v>116</v>
      </c>
    </row>
    <row r="39" spans="1:9" ht="20.100000000000001" customHeight="1" x14ac:dyDescent="0.2">
      <c r="A39" s="288"/>
      <c r="B39" s="289"/>
      <c r="C39" s="291" t="s">
        <v>110</v>
      </c>
      <c r="D39" s="291" t="s">
        <v>169</v>
      </c>
      <c r="E39" s="290" t="s">
        <v>179</v>
      </c>
      <c r="F39" s="291" t="s">
        <v>180</v>
      </c>
      <c r="G39" s="291" t="s">
        <v>181</v>
      </c>
      <c r="H39" s="291" t="s">
        <v>182</v>
      </c>
      <c r="I39" s="291" t="s">
        <v>181</v>
      </c>
    </row>
    <row r="40" spans="1:9" ht="20.100000000000001" customHeight="1" x14ac:dyDescent="0.2">
      <c r="A40" s="277">
        <v>3</v>
      </c>
      <c r="B40" s="285" t="s">
        <v>973</v>
      </c>
      <c r="C40" s="287" t="s">
        <v>228</v>
      </c>
      <c r="D40" s="287" t="s">
        <v>227</v>
      </c>
      <c r="E40" s="287" t="s">
        <v>227</v>
      </c>
      <c r="F40" s="287" t="s">
        <v>227</v>
      </c>
      <c r="G40" s="287" t="s">
        <v>227</v>
      </c>
      <c r="H40" s="287" t="s">
        <v>229</v>
      </c>
      <c r="I40" s="286" t="s">
        <v>230</v>
      </c>
    </row>
    <row r="41" spans="1:9" ht="20.100000000000001" customHeight="1" x14ac:dyDescent="0.2">
      <c r="A41" s="277">
        <v>4</v>
      </c>
      <c r="B41" s="285" t="s">
        <v>246</v>
      </c>
      <c r="C41" s="285">
        <f>data!J59</f>
        <v>0</v>
      </c>
      <c r="D41" s="285">
        <f>data!K59</f>
        <v>0</v>
      </c>
      <c r="E41" s="285">
        <f>data!L59</f>
        <v>0</v>
      </c>
      <c r="F41" s="285">
        <f>data!M59</f>
        <v>3157</v>
      </c>
      <c r="G41" s="285">
        <f>data!N59</f>
        <v>0</v>
      </c>
      <c r="H41" s="285">
        <f>data!O59</f>
        <v>4529</v>
      </c>
      <c r="I41" s="285">
        <f>data!P59</f>
        <v>790735</v>
      </c>
    </row>
    <row r="42" spans="1:9" ht="20.100000000000001" customHeight="1" x14ac:dyDescent="0.2">
      <c r="A42" s="277">
        <v>5</v>
      </c>
      <c r="B42" s="285" t="s">
        <v>247</v>
      </c>
      <c r="C42" s="292">
        <f>data!J60</f>
        <v>0</v>
      </c>
      <c r="D42" s="292">
        <f>data!K60</f>
        <v>0</v>
      </c>
      <c r="E42" s="292">
        <f>data!L60</f>
        <v>0</v>
      </c>
      <c r="F42" s="292">
        <f>data!M60</f>
        <v>48.800000000000004</v>
      </c>
      <c r="G42" s="292">
        <f>data!N60</f>
        <v>55.038360576923075</v>
      </c>
      <c r="H42" s="292">
        <f>data!O60</f>
        <v>179.01842307692309</v>
      </c>
      <c r="I42" s="292">
        <f>data!P60</f>
        <v>106.17424038461539</v>
      </c>
    </row>
    <row r="43" spans="1:9" ht="20.100000000000001" customHeight="1" x14ac:dyDescent="0.2">
      <c r="A43" s="277">
        <v>6</v>
      </c>
      <c r="B43" s="285" t="s">
        <v>248</v>
      </c>
      <c r="C43" s="285">
        <f>data!J61</f>
        <v>0</v>
      </c>
      <c r="D43" s="285">
        <f>data!K61</f>
        <v>0</v>
      </c>
      <c r="E43" s="285">
        <f>data!L61</f>
        <v>0</v>
      </c>
      <c r="F43" s="285">
        <f>data!M61</f>
        <v>5664293.4500000002</v>
      </c>
      <c r="G43" s="285">
        <f>data!N61</f>
        <v>19337764.660000004</v>
      </c>
      <c r="H43" s="285">
        <f>data!O61</f>
        <v>26838693.499999996</v>
      </c>
      <c r="I43" s="285">
        <f>data!P61</f>
        <v>13018395.980000002</v>
      </c>
    </row>
    <row r="44" spans="1:9" ht="20.100000000000001" customHeight="1" x14ac:dyDescent="0.2">
      <c r="A44" s="277">
        <v>7</v>
      </c>
      <c r="B44" s="285" t="s">
        <v>9</v>
      </c>
      <c r="C44" s="285">
        <f>data!J62</f>
        <v>0</v>
      </c>
      <c r="D44" s="285">
        <f>data!K62</f>
        <v>0</v>
      </c>
      <c r="E44" s="285">
        <f>data!L62</f>
        <v>0</v>
      </c>
      <c r="F44" s="285">
        <f>data!M62</f>
        <v>1361338</v>
      </c>
      <c r="G44" s="285">
        <f>data!N62</f>
        <v>3308680</v>
      </c>
      <c r="H44" s="285">
        <f>data!O62</f>
        <v>4275608</v>
      </c>
      <c r="I44" s="285">
        <f>data!P62</f>
        <v>2392764</v>
      </c>
    </row>
    <row r="45" spans="1:9" ht="20.100000000000001" customHeight="1" x14ac:dyDescent="0.2">
      <c r="A45" s="277">
        <v>8</v>
      </c>
      <c r="B45" s="285" t="s">
        <v>249</v>
      </c>
      <c r="C45" s="285">
        <f>data!J63</f>
        <v>0</v>
      </c>
      <c r="D45" s="285">
        <f>data!K63</f>
        <v>0</v>
      </c>
      <c r="E45" s="285">
        <f>data!L63</f>
        <v>0</v>
      </c>
      <c r="F45" s="285">
        <f>data!M63</f>
        <v>0</v>
      </c>
      <c r="G45" s="285">
        <f>data!N63</f>
        <v>707372.91</v>
      </c>
      <c r="H45" s="285">
        <f>data!O63</f>
        <v>1761145.62</v>
      </c>
      <c r="I45" s="285">
        <f>data!P63</f>
        <v>0</v>
      </c>
    </row>
    <row r="46" spans="1:9" ht="20.100000000000001" customHeight="1" x14ac:dyDescent="0.2">
      <c r="A46" s="277">
        <v>9</v>
      </c>
      <c r="B46" s="285" t="s">
        <v>250</v>
      </c>
      <c r="C46" s="285">
        <f>data!J64</f>
        <v>0</v>
      </c>
      <c r="D46" s="285">
        <f>data!K64</f>
        <v>0</v>
      </c>
      <c r="E46" s="285">
        <f>data!L64</f>
        <v>0</v>
      </c>
      <c r="F46" s="285">
        <f>data!M64</f>
        <v>171443.84</v>
      </c>
      <c r="G46" s="285">
        <f>data!N64</f>
        <v>28152.610000000004</v>
      </c>
      <c r="H46" s="285">
        <f>data!O64</f>
        <v>2797298.1799999997</v>
      </c>
      <c r="I46" s="285">
        <f>data!P64</f>
        <v>38309592.769999981</v>
      </c>
    </row>
    <row r="47" spans="1:9" ht="20.100000000000001" customHeight="1" x14ac:dyDescent="0.2">
      <c r="A47" s="277">
        <v>10</v>
      </c>
      <c r="B47" s="285" t="s">
        <v>497</v>
      </c>
      <c r="C47" s="285">
        <f>data!J65</f>
        <v>0</v>
      </c>
      <c r="D47" s="285">
        <f>data!K65</f>
        <v>0</v>
      </c>
      <c r="E47" s="285">
        <f>data!L65</f>
        <v>0</v>
      </c>
      <c r="F47" s="285">
        <f>data!M65</f>
        <v>12585.189999999999</v>
      </c>
      <c r="G47" s="285">
        <f>data!N65</f>
        <v>29691.06</v>
      </c>
      <c r="H47" s="285">
        <f>data!O65</f>
        <v>0</v>
      </c>
      <c r="I47" s="285">
        <f>data!P65</f>
        <v>0</v>
      </c>
    </row>
    <row r="48" spans="1:9" ht="20.100000000000001" customHeight="1" x14ac:dyDescent="0.2">
      <c r="A48" s="277">
        <v>11</v>
      </c>
      <c r="B48" s="285" t="s">
        <v>498</v>
      </c>
      <c r="C48" s="285">
        <f>data!J66</f>
        <v>0</v>
      </c>
      <c r="D48" s="285">
        <f>data!K66</f>
        <v>0</v>
      </c>
      <c r="E48" s="285">
        <f>data!L66</f>
        <v>0</v>
      </c>
      <c r="F48" s="285">
        <f>data!M66</f>
        <v>101922.53</v>
      </c>
      <c r="G48" s="285">
        <f>data!N66</f>
        <v>3020.67</v>
      </c>
      <c r="H48" s="285">
        <f>data!O66</f>
        <v>327042.3</v>
      </c>
      <c r="I48" s="285">
        <f>data!P66</f>
        <v>2648760.2500000005</v>
      </c>
    </row>
    <row r="49" spans="1:11" ht="20.100000000000001" customHeight="1" x14ac:dyDescent="0.2">
      <c r="A49" s="277">
        <v>12</v>
      </c>
      <c r="B49" s="285" t="s">
        <v>11</v>
      </c>
      <c r="C49" s="285">
        <f>data!J67</f>
        <v>0</v>
      </c>
      <c r="D49" s="285">
        <f>data!K67</f>
        <v>0</v>
      </c>
      <c r="E49" s="285">
        <f>data!L67</f>
        <v>0</v>
      </c>
      <c r="F49" s="285">
        <f>data!M67</f>
        <v>238354</v>
      </c>
      <c r="G49" s="285">
        <f>data!N67</f>
        <v>3939</v>
      </c>
      <c r="H49" s="285">
        <f>data!O67</f>
        <v>1965993</v>
      </c>
      <c r="I49" s="285">
        <f>data!P67</f>
        <v>3673385</v>
      </c>
    </row>
    <row r="50" spans="1:11" ht="20.100000000000001" customHeight="1" x14ac:dyDescent="0.2">
      <c r="A50" s="277">
        <v>13</v>
      </c>
      <c r="B50" s="285" t="s">
        <v>974</v>
      </c>
      <c r="C50" s="285">
        <f>data!J68</f>
        <v>0</v>
      </c>
      <c r="D50" s="285">
        <f>data!K68</f>
        <v>0</v>
      </c>
      <c r="E50" s="285">
        <f>data!L68</f>
        <v>0</v>
      </c>
      <c r="F50" s="285">
        <f>data!M68</f>
        <v>25943.13</v>
      </c>
      <c r="G50" s="285">
        <f>data!N68</f>
        <v>0</v>
      </c>
      <c r="H50" s="285">
        <f>data!O68</f>
        <v>0</v>
      </c>
      <c r="I50" s="285">
        <f>data!P68</f>
        <v>71537.820000000007</v>
      </c>
    </row>
    <row r="51" spans="1:11" ht="20.100000000000001" customHeight="1" x14ac:dyDescent="0.2">
      <c r="A51" s="277">
        <v>14</v>
      </c>
      <c r="B51" s="285" t="s">
        <v>975</v>
      </c>
      <c r="C51" s="285">
        <f>data!J69</f>
        <v>0</v>
      </c>
      <c r="D51" s="285">
        <f>data!K69</f>
        <v>0</v>
      </c>
      <c r="E51" s="285">
        <f>data!L69</f>
        <v>0</v>
      </c>
      <c r="F51" s="285">
        <f>data!M69</f>
        <v>39007.42</v>
      </c>
      <c r="G51" s="285">
        <f>data!N69</f>
        <v>256681.71000000002</v>
      </c>
      <c r="H51" s="285">
        <f>data!O69</f>
        <v>18679.2</v>
      </c>
      <c r="I51" s="285">
        <f>data!P69</f>
        <v>12991.86</v>
      </c>
    </row>
    <row r="52" spans="1:11" ht="20.100000000000001" customHeight="1" x14ac:dyDescent="0.2">
      <c r="A52" s="277">
        <v>15</v>
      </c>
      <c r="B52" s="285" t="s">
        <v>269</v>
      </c>
      <c r="C52" s="285">
        <f>-data!J84</f>
        <v>0</v>
      </c>
      <c r="D52" s="285">
        <f>-data!K84</f>
        <v>0</v>
      </c>
      <c r="E52" s="285">
        <f>-data!L84</f>
        <v>0</v>
      </c>
      <c r="F52" s="285">
        <f>-data!M84</f>
        <v>-914498.11</v>
      </c>
      <c r="G52" s="285">
        <f>-data!N84</f>
        <v>-42465.72</v>
      </c>
      <c r="H52" s="285">
        <f>-data!O84</f>
        <v>-10384.94</v>
      </c>
      <c r="I52" s="285">
        <f>-data!P84</f>
        <v>-5480.6</v>
      </c>
    </row>
    <row r="53" spans="1:11" ht="20.100000000000001" customHeight="1" x14ac:dyDescent="0.2">
      <c r="A53" s="277">
        <v>16</v>
      </c>
      <c r="B53" s="293" t="s">
        <v>976</v>
      </c>
      <c r="C53" s="285">
        <f>data!J85</f>
        <v>0</v>
      </c>
      <c r="D53" s="285">
        <f>data!K85</f>
        <v>0</v>
      </c>
      <c r="E53" s="285">
        <f>data!L85</f>
        <v>0</v>
      </c>
      <c r="F53" s="285">
        <f>data!M85</f>
        <v>6700389.4500000002</v>
      </c>
      <c r="G53" s="285">
        <f>data!N85</f>
        <v>23632836.900000006</v>
      </c>
      <c r="H53" s="285">
        <f>data!O85</f>
        <v>37974074.859999999</v>
      </c>
      <c r="I53" s="285">
        <f>data!P85</f>
        <v>60121947.079999983</v>
      </c>
    </row>
    <row r="54" spans="1:11" ht="20.100000000000001" customHeight="1" x14ac:dyDescent="0.2">
      <c r="A54" s="277">
        <v>17</v>
      </c>
      <c r="B54" s="285" t="s">
        <v>271</v>
      </c>
      <c r="C54" s="295"/>
      <c r="D54" s="295"/>
      <c r="E54" s="295"/>
      <c r="F54" s="295"/>
      <c r="G54" s="295"/>
      <c r="H54" s="295"/>
      <c r="I54" s="295"/>
    </row>
    <row r="55" spans="1:11" ht="20.100000000000001" customHeight="1" x14ac:dyDescent="0.2">
      <c r="A55" s="277">
        <v>18</v>
      </c>
      <c r="B55" s="285" t="s">
        <v>977</v>
      </c>
      <c r="C55" s="293">
        <f>+data!M675</f>
        <v>0</v>
      </c>
      <c r="D55" s="293">
        <f>+data!M676</f>
        <v>0</v>
      </c>
      <c r="E55" s="293">
        <f>+data!M677</f>
        <v>0</v>
      </c>
      <c r="F55" s="293">
        <f>+data!M678</f>
        <v>1934263</v>
      </c>
      <c r="G55" s="293">
        <f>+data!M679</f>
        <v>3027136</v>
      </c>
      <c r="H55" s="293">
        <f>+data!M680</f>
        <v>12888292</v>
      </c>
      <c r="I55" s="293">
        <f>+data!M681</f>
        <v>25620316</v>
      </c>
    </row>
    <row r="56" spans="1:11" ht="20.100000000000001" customHeight="1" x14ac:dyDescent="0.2">
      <c r="A56" s="277">
        <v>19</v>
      </c>
      <c r="B56" s="293" t="s">
        <v>978</v>
      </c>
      <c r="C56" s="285">
        <f>data!J87</f>
        <v>0</v>
      </c>
      <c r="D56" s="285">
        <f>data!K87</f>
        <v>0</v>
      </c>
      <c r="E56" s="285">
        <f>data!L87</f>
        <v>0</v>
      </c>
      <c r="F56" s="285">
        <f>data!M87</f>
        <v>4252045.53</v>
      </c>
      <c r="G56" s="285">
        <f>data!N87</f>
        <v>19703217.75</v>
      </c>
      <c r="H56" s="285">
        <f>data!O87</f>
        <v>100546133.18000001</v>
      </c>
      <c r="I56" s="285">
        <f>data!P87</f>
        <v>80227760.629999995</v>
      </c>
    </row>
    <row r="57" spans="1:11" ht="20.100000000000001" customHeight="1" x14ac:dyDescent="0.2">
      <c r="A57" s="277">
        <v>20</v>
      </c>
      <c r="B57" s="293" t="s">
        <v>979</v>
      </c>
      <c r="C57" s="285">
        <f>data!J88</f>
        <v>0</v>
      </c>
      <c r="D57" s="285">
        <f>data!K88</f>
        <v>0</v>
      </c>
      <c r="E57" s="285">
        <f>data!L88</f>
        <v>0</v>
      </c>
      <c r="F57" s="285">
        <f>data!M88</f>
        <v>494116.01</v>
      </c>
      <c r="G57" s="285">
        <f>data!N88</f>
        <v>1767952.9300000002</v>
      </c>
      <c r="H57" s="285">
        <f>data!O88</f>
        <v>4899950.32</v>
      </c>
      <c r="I57" s="285">
        <f>data!P88</f>
        <v>218218802.87</v>
      </c>
    </row>
    <row r="58" spans="1:11" ht="20.100000000000001" customHeight="1" x14ac:dyDescent="0.2">
      <c r="A58" s="277">
        <v>21</v>
      </c>
      <c r="B58" s="293" t="s">
        <v>980</v>
      </c>
      <c r="C58" s="285">
        <f>data!J89</f>
        <v>0</v>
      </c>
      <c r="D58" s="285">
        <f>data!K89</f>
        <v>0</v>
      </c>
      <c r="E58" s="285">
        <f>data!L89</f>
        <v>0</v>
      </c>
      <c r="F58" s="285">
        <f>data!M89</f>
        <v>4746161.54</v>
      </c>
      <c r="G58" s="285">
        <f>data!N89</f>
        <v>21471170.68</v>
      </c>
      <c r="H58" s="285">
        <f>data!O89</f>
        <v>105446083.5</v>
      </c>
      <c r="I58" s="285">
        <f>data!P89</f>
        <v>298446563.5</v>
      </c>
    </row>
    <row r="59" spans="1:11" ht="20.100000000000001" customHeight="1" x14ac:dyDescent="0.2">
      <c r="A59" s="277" t="s">
        <v>981</v>
      </c>
      <c r="B59" s="285"/>
      <c r="C59" s="295"/>
      <c r="D59" s="295"/>
      <c r="E59" s="295"/>
      <c r="F59" s="295"/>
      <c r="G59" s="295"/>
      <c r="H59" s="295"/>
      <c r="I59" s="295"/>
    </row>
    <row r="60" spans="1:11" ht="20.100000000000001" customHeight="1" x14ac:dyDescent="0.25">
      <c r="A60" s="277">
        <v>22</v>
      </c>
      <c r="B60" s="285" t="s">
        <v>982</v>
      </c>
      <c r="C60" s="285">
        <f>data!J90</f>
        <v>0</v>
      </c>
      <c r="D60" s="285">
        <f>data!K90</f>
        <v>0</v>
      </c>
      <c r="E60" s="285">
        <f>data!L90</f>
        <v>0</v>
      </c>
      <c r="F60" s="285">
        <f>data!M90</f>
        <v>20520</v>
      </c>
      <c r="G60" s="285">
        <f>data!N90</f>
        <v>5055</v>
      </c>
      <c r="H60" s="285">
        <f>data!O90</f>
        <v>54397</v>
      </c>
      <c r="I60" s="285">
        <f>data!P90</f>
        <v>71966</v>
      </c>
      <c r="K60" s="296"/>
    </row>
    <row r="61" spans="1:11" ht="20.100000000000001" customHeight="1" x14ac:dyDescent="0.2">
      <c r="A61" s="277">
        <v>23</v>
      </c>
      <c r="B61" s="285" t="s">
        <v>983</v>
      </c>
      <c r="C61" s="285">
        <f>data!J91</f>
        <v>0</v>
      </c>
      <c r="D61" s="285">
        <f>data!K91</f>
        <v>0</v>
      </c>
      <c r="E61" s="285">
        <f>data!L91</f>
        <v>0</v>
      </c>
      <c r="F61" s="285">
        <f>data!M91</f>
        <v>4444</v>
      </c>
      <c r="G61" s="285">
        <f>data!N91</f>
        <v>0</v>
      </c>
      <c r="H61" s="285">
        <f>data!O91</f>
        <v>36856</v>
      </c>
      <c r="I61" s="285">
        <f>data!P91</f>
        <v>0</v>
      </c>
    </row>
    <row r="62" spans="1:11" ht="20.100000000000001" customHeight="1" x14ac:dyDescent="0.2">
      <c r="A62" s="277">
        <v>24</v>
      </c>
      <c r="B62" s="285" t="s">
        <v>984</v>
      </c>
      <c r="C62" s="285">
        <f>data!J92</f>
        <v>0</v>
      </c>
      <c r="D62" s="285">
        <f>data!K92</f>
        <v>0</v>
      </c>
      <c r="E62" s="285">
        <f>data!L92</f>
        <v>0</v>
      </c>
      <c r="F62" s="285">
        <f>data!M92</f>
        <v>2617.16</v>
      </c>
      <c r="G62" s="285">
        <f>data!N92</f>
        <v>644.78</v>
      </c>
      <c r="H62" s="285">
        <f>data!O92</f>
        <v>6937.82</v>
      </c>
      <c r="I62" s="285">
        <f>data!P92</f>
        <v>9181.25</v>
      </c>
    </row>
    <row r="63" spans="1:11" ht="20.100000000000001" customHeight="1" x14ac:dyDescent="0.2">
      <c r="A63" s="277">
        <v>25</v>
      </c>
      <c r="B63" s="285" t="s">
        <v>985</v>
      </c>
      <c r="C63" s="285">
        <f>data!J93</f>
        <v>0</v>
      </c>
      <c r="D63" s="285">
        <f>data!K93</f>
        <v>0</v>
      </c>
      <c r="E63" s="285">
        <f>data!L93</f>
        <v>0</v>
      </c>
      <c r="F63" s="285">
        <f>data!M93</f>
        <v>29900.16</v>
      </c>
      <c r="G63" s="285">
        <f>data!N93</f>
        <v>0</v>
      </c>
      <c r="H63" s="285">
        <f>data!O93</f>
        <v>348651.94</v>
      </c>
      <c r="I63" s="285">
        <f>data!P93</f>
        <v>152755.24</v>
      </c>
    </row>
    <row r="64" spans="1:11" ht="20.100000000000001" customHeight="1" x14ac:dyDescent="0.2">
      <c r="A64" s="277">
        <v>26</v>
      </c>
      <c r="B64" s="285" t="s">
        <v>279</v>
      </c>
      <c r="C64" s="292">
        <f>data!J94</f>
        <v>0</v>
      </c>
      <c r="D64" s="292">
        <f>data!K94</f>
        <v>0</v>
      </c>
      <c r="E64" s="292">
        <f>data!L94</f>
        <v>0</v>
      </c>
      <c r="F64" s="292">
        <f>data!M94</f>
        <v>18.59</v>
      </c>
      <c r="G64" s="292">
        <f>data!N94</f>
        <v>2.0052307692307694</v>
      </c>
      <c r="H64" s="292">
        <f>data!O94</f>
        <v>126.52666346153848</v>
      </c>
      <c r="I64" s="292">
        <f>data!P94</f>
        <v>50.253514423076922</v>
      </c>
    </row>
    <row r="65" spans="1:9" ht="20.100000000000001" customHeight="1" x14ac:dyDescent="0.2">
      <c r="A65" s="278" t="s">
        <v>967</v>
      </c>
      <c r="B65" s="279"/>
      <c r="C65" s="279"/>
      <c r="D65" s="279"/>
      <c r="E65" s="279"/>
      <c r="F65" s="279"/>
      <c r="G65" s="279"/>
      <c r="H65" s="279"/>
      <c r="I65" s="278"/>
    </row>
    <row r="66" spans="1:9" ht="20.100000000000001" customHeight="1" x14ac:dyDescent="0.2">
      <c r="D66" s="281"/>
      <c r="I66" s="282" t="s">
        <v>989</v>
      </c>
    </row>
    <row r="67" spans="1:9" ht="20.100000000000001" customHeight="1" x14ac:dyDescent="0.2">
      <c r="A67" s="281"/>
    </row>
    <row r="68" spans="1:9" ht="20.100000000000001" customHeight="1" x14ac:dyDescent="0.2">
      <c r="A68" s="283" t="str">
        <f>"Hospital: "&amp;data!C98</f>
        <v>Hospital: EvergreenHealth Kirkland / King Country Public Hos #2</v>
      </c>
      <c r="G68" s="284"/>
      <c r="H68" s="283" t="str">
        <f>"FYE: "&amp;data!C96</f>
        <v>FYE: 12/31/2022</v>
      </c>
    </row>
    <row r="69" spans="1:9" ht="20.100000000000001" customHeight="1" x14ac:dyDescent="0.2">
      <c r="A69" s="277">
        <v>1</v>
      </c>
      <c r="B69" s="285" t="s">
        <v>221</v>
      </c>
      <c r="C69" s="287" t="s">
        <v>35</v>
      </c>
      <c r="D69" s="287" t="s">
        <v>36</v>
      </c>
      <c r="E69" s="287" t="s">
        <v>37</v>
      </c>
      <c r="F69" s="287" t="s">
        <v>38</v>
      </c>
      <c r="G69" s="287" t="s">
        <v>39</v>
      </c>
      <c r="H69" s="287" t="s">
        <v>40</v>
      </c>
      <c r="I69" s="287" t="s">
        <v>41</v>
      </c>
    </row>
    <row r="70" spans="1:9" ht="20.100000000000001" customHeight="1" x14ac:dyDescent="0.2">
      <c r="A70" s="288">
        <v>2</v>
      </c>
      <c r="B70" s="289" t="s">
        <v>969</v>
      </c>
      <c r="C70" s="291" t="s">
        <v>117</v>
      </c>
      <c r="D70" s="291"/>
      <c r="E70" s="291" t="s">
        <v>119</v>
      </c>
      <c r="F70" s="291" t="s">
        <v>120</v>
      </c>
      <c r="G70" s="291"/>
      <c r="H70" s="291" t="s">
        <v>122</v>
      </c>
      <c r="I70" s="291" t="s">
        <v>123</v>
      </c>
    </row>
    <row r="71" spans="1:9" ht="20.100000000000001" customHeight="1" x14ac:dyDescent="0.2">
      <c r="A71" s="288"/>
      <c r="B71" s="289"/>
      <c r="C71" s="291" t="s">
        <v>183</v>
      </c>
      <c r="D71" s="291" t="s">
        <v>990</v>
      </c>
      <c r="E71" s="291" t="s">
        <v>181</v>
      </c>
      <c r="F71" s="291" t="s">
        <v>184</v>
      </c>
      <c r="G71" s="291" t="s">
        <v>121</v>
      </c>
      <c r="H71" s="291" t="s">
        <v>185</v>
      </c>
      <c r="I71" s="291" t="s">
        <v>186</v>
      </c>
    </row>
    <row r="72" spans="1:9" ht="20.100000000000001" customHeight="1" x14ac:dyDescent="0.2">
      <c r="A72" s="277">
        <v>3</v>
      </c>
      <c r="B72" s="285" t="s">
        <v>973</v>
      </c>
      <c r="C72" s="287" t="s">
        <v>991</v>
      </c>
      <c r="D72" s="286" t="s">
        <v>992</v>
      </c>
      <c r="E72" s="297"/>
      <c r="F72" s="297"/>
      <c r="G72" s="286" t="s">
        <v>993</v>
      </c>
      <c r="H72" s="286" t="s">
        <v>993</v>
      </c>
      <c r="I72" s="287" t="s">
        <v>235</v>
      </c>
    </row>
    <row r="73" spans="1:9" ht="20.100000000000001" customHeight="1" x14ac:dyDescent="0.2">
      <c r="A73" s="277">
        <v>4</v>
      </c>
      <c r="B73" s="285" t="s">
        <v>246</v>
      </c>
      <c r="C73" s="285">
        <f>data!Q59</f>
        <v>1960348</v>
      </c>
      <c r="D73" s="293">
        <f>data!R59</f>
        <v>1381181</v>
      </c>
      <c r="E73" s="297"/>
      <c r="F73" s="297"/>
      <c r="G73" s="285">
        <f>data!U59</f>
        <v>1040369</v>
      </c>
      <c r="H73" s="285">
        <f>data!V59</f>
        <v>0</v>
      </c>
      <c r="I73" s="285">
        <f>data!W59</f>
        <v>36220.71</v>
      </c>
    </row>
    <row r="74" spans="1:9" ht="20.100000000000001" customHeight="1" x14ac:dyDescent="0.2">
      <c r="A74" s="277">
        <v>5</v>
      </c>
      <c r="B74" s="285" t="s">
        <v>247</v>
      </c>
      <c r="C74" s="292">
        <f>data!Q60</f>
        <v>56.232009615384619</v>
      </c>
      <c r="D74" s="292">
        <f>data!R60</f>
        <v>7.4419471153846164</v>
      </c>
      <c r="E74" s="292">
        <f>data!S60</f>
        <v>27.50855769230769</v>
      </c>
      <c r="F74" s="292">
        <f>data!T60</f>
        <v>0</v>
      </c>
      <c r="G74" s="292">
        <f>data!U60</f>
        <v>77.06212499999998</v>
      </c>
      <c r="H74" s="292">
        <f>data!V60</f>
        <v>2.8105528846153849</v>
      </c>
      <c r="I74" s="292">
        <f>data!W60</f>
        <v>5.8971923076923076</v>
      </c>
    </row>
    <row r="75" spans="1:9" ht="20.100000000000001" customHeight="1" x14ac:dyDescent="0.2">
      <c r="A75" s="277">
        <v>6</v>
      </c>
      <c r="B75" s="285" t="s">
        <v>248</v>
      </c>
      <c r="C75" s="285">
        <f>data!Q61</f>
        <v>8896781.7699999996</v>
      </c>
      <c r="D75" s="285">
        <f>data!R61</f>
        <v>761258.14000000013</v>
      </c>
      <c r="E75" s="285">
        <f>data!S61</f>
        <v>1909870.5999999999</v>
      </c>
      <c r="F75" s="285">
        <f>data!T61</f>
        <v>0</v>
      </c>
      <c r="G75" s="285">
        <f>data!U61</f>
        <v>6700372.6500000004</v>
      </c>
      <c r="H75" s="285">
        <f>data!V61</f>
        <v>189582.03000000003</v>
      </c>
      <c r="I75" s="285">
        <f>data!W61</f>
        <v>853498.62999999989</v>
      </c>
    </row>
    <row r="76" spans="1:9" ht="20.100000000000001" customHeight="1" x14ac:dyDescent="0.2">
      <c r="A76" s="277">
        <v>7</v>
      </c>
      <c r="B76" s="285" t="s">
        <v>9</v>
      </c>
      <c r="C76" s="285">
        <f>data!Q62</f>
        <v>1479251</v>
      </c>
      <c r="D76" s="285">
        <f>data!R62</f>
        <v>77167</v>
      </c>
      <c r="E76" s="285">
        <f>data!S62</f>
        <v>592832</v>
      </c>
      <c r="F76" s="285">
        <f>data!T62</f>
        <v>0</v>
      </c>
      <c r="G76" s="285">
        <f>data!U62</f>
        <v>1619077</v>
      </c>
      <c r="H76" s="285">
        <f>data!V62</f>
        <v>50249</v>
      </c>
      <c r="I76" s="285">
        <f>data!W62</f>
        <v>139854</v>
      </c>
    </row>
    <row r="77" spans="1:9" ht="20.100000000000001" customHeight="1" x14ac:dyDescent="0.2">
      <c r="A77" s="277">
        <v>8</v>
      </c>
      <c r="B77" s="285" t="s">
        <v>249</v>
      </c>
      <c r="C77" s="285">
        <f>data!Q63</f>
        <v>0</v>
      </c>
      <c r="D77" s="285">
        <f>data!R63</f>
        <v>0</v>
      </c>
      <c r="E77" s="285">
        <f>data!S63</f>
        <v>0</v>
      </c>
      <c r="F77" s="285">
        <f>data!T63</f>
        <v>0</v>
      </c>
      <c r="G77" s="285">
        <f>data!U63</f>
        <v>56534.48</v>
      </c>
      <c r="H77" s="285">
        <f>data!V63</f>
        <v>3300</v>
      </c>
      <c r="I77" s="285">
        <f>data!W63</f>
        <v>0</v>
      </c>
    </row>
    <row r="78" spans="1:9" ht="20.100000000000001" customHeight="1" x14ac:dyDescent="0.2">
      <c r="A78" s="277">
        <v>9</v>
      </c>
      <c r="B78" s="285" t="s">
        <v>250</v>
      </c>
      <c r="C78" s="285">
        <f>data!Q64</f>
        <v>749944.1399999999</v>
      </c>
      <c r="D78" s="285">
        <f>data!R64</f>
        <v>555702.31000000006</v>
      </c>
      <c r="E78" s="285">
        <f>data!S64</f>
        <v>818058.88000000012</v>
      </c>
      <c r="F78" s="285">
        <f>data!T64</f>
        <v>0</v>
      </c>
      <c r="G78" s="285">
        <f>data!U64</f>
        <v>6846539.0499999989</v>
      </c>
      <c r="H78" s="285">
        <f>data!V64</f>
        <v>47970.31</v>
      </c>
      <c r="I78" s="285">
        <f>data!W64</f>
        <v>198039.67999999996</v>
      </c>
    </row>
    <row r="79" spans="1:9" ht="20.100000000000001" customHeight="1" x14ac:dyDescent="0.2">
      <c r="A79" s="277">
        <v>10</v>
      </c>
      <c r="B79" s="285" t="s">
        <v>497</v>
      </c>
      <c r="C79" s="285">
        <f>data!Q65</f>
        <v>731.02</v>
      </c>
      <c r="D79" s="285">
        <f>data!R65</f>
        <v>0</v>
      </c>
      <c r="E79" s="285">
        <f>data!S65</f>
        <v>0</v>
      </c>
      <c r="F79" s="285">
        <f>data!T65</f>
        <v>0</v>
      </c>
      <c r="G79" s="285">
        <f>data!U65</f>
        <v>0</v>
      </c>
      <c r="H79" s="285">
        <f>data!V65</f>
        <v>0</v>
      </c>
      <c r="I79" s="285">
        <f>data!W65</f>
        <v>0</v>
      </c>
    </row>
    <row r="80" spans="1:9" ht="20.100000000000001" customHeight="1" x14ac:dyDescent="0.2">
      <c r="A80" s="277">
        <v>11</v>
      </c>
      <c r="B80" s="285" t="s">
        <v>498</v>
      </c>
      <c r="C80" s="285">
        <f>data!Q66</f>
        <v>77088.739999999991</v>
      </c>
      <c r="D80" s="285">
        <f>data!R66</f>
        <v>63953.33</v>
      </c>
      <c r="E80" s="285">
        <f>data!S66</f>
        <v>127259.04999999999</v>
      </c>
      <c r="F80" s="285">
        <f>data!T66</f>
        <v>0</v>
      </c>
      <c r="G80" s="285">
        <f>data!U66</f>
        <v>7254947.9500000002</v>
      </c>
      <c r="H80" s="285">
        <f>data!V66</f>
        <v>960.28</v>
      </c>
      <c r="I80" s="285">
        <f>data!W66</f>
        <v>183326.34</v>
      </c>
    </row>
    <row r="81" spans="1:9" ht="20.100000000000001" customHeight="1" x14ac:dyDescent="0.2">
      <c r="A81" s="277">
        <v>12</v>
      </c>
      <c r="B81" s="285" t="s">
        <v>11</v>
      </c>
      <c r="C81" s="285">
        <f>data!Q67</f>
        <v>139695</v>
      </c>
      <c r="D81" s="285">
        <f>data!R67</f>
        <v>137140</v>
      </c>
      <c r="E81" s="285">
        <f>data!S67</f>
        <v>323889</v>
      </c>
      <c r="F81" s="285">
        <f>data!T67</f>
        <v>0</v>
      </c>
      <c r="G81" s="285">
        <f>data!U67</f>
        <v>417019</v>
      </c>
      <c r="H81" s="285">
        <f>data!V67</f>
        <v>8222</v>
      </c>
      <c r="I81" s="285">
        <f>data!W67</f>
        <v>133896</v>
      </c>
    </row>
    <row r="82" spans="1:9" ht="20.100000000000001" customHeight="1" x14ac:dyDescent="0.2">
      <c r="A82" s="277">
        <v>13</v>
      </c>
      <c r="B82" s="285" t="s">
        <v>974</v>
      </c>
      <c r="C82" s="285">
        <f>data!Q68</f>
        <v>0</v>
      </c>
      <c r="D82" s="285">
        <f>data!R68</f>
        <v>0</v>
      </c>
      <c r="E82" s="285">
        <f>data!S68</f>
        <v>0</v>
      </c>
      <c r="F82" s="285">
        <f>data!T68</f>
        <v>0</v>
      </c>
      <c r="G82" s="285">
        <f>data!U68</f>
        <v>2059.4499999999998</v>
      </c>
      <c r="H82" s="285">
        <f>data!V68</f>
        <v>0</v>
      </c>
      <c r="I82" s="285">
        <f>data!W68</f>
        <v>0</v>
      </c>
    </row>
    <row r="83" spans="1:9" ht="20.100000000000001" customHeight="1" x14ac:dyDescent="0.2">
      <c r="A83" s="277">
        <v>14</v>
      </c>
      <c r="B83" s="285" t="s">
        <v>975</v>
      </c>
      <c r="C83" s="285">
        <f>data!Q69</f>
        <v>6373.5899999999992</v>
      </c>
      <c r="D83" s="285">
        <f>data!R69</f>
        <v>330</v>
      </c>
      <c r="E83" s="285">
        <f>data!S69</f>
        <v>578.54</v>
      </c>
      <c r="F83" s="285">
        <f>data!T69</f>
        <v>0</v>
      </c>
      <c r="G83" s="285">
        <f>data!U69</f>
        <v>4582.04</v>
      </c>
      <c r="H83" s="285">
        <f>data!V69</f>
        <v>0</v>
      </c>
      <c r="I83" s="285">
        <f>data!W69</f>
        <v>2302.94</v>
      </c>
    </row>
    <row r="84" spans="1:9" ht="20.100000000000001" customHeight="1" x14ac:dyDescent="0.2">
      <c r="A84" s="277">
        <v>15</v>
      </c>
      <c r="B84" s="285" t="s">
        <v>269</v>
      </c>
      <c r="C84" s="285">
        <f>data!Q84</f>
        <v>0</v>
      </c>
      <c r="D84" s="285">
        <f>data!R84</f>
        <v>0</v>
      </c>
      <c r="E84" s="285">
        <f>data!S84</f>
        <v>0</v>
      </c>
      <c r="F84" s="285">
        <f>data!T84</f>
        <v>0</v>
      </c>
      <c r="G84" s="285">
        <f>data!U84</f>
        <v>532078.99</v>
      </c>
      <c r="H84" s="285">
        <f>data!V84</f>
        <v>3027</v>
      </c>
      <c r="I84" s="285">
        <f>data!W84</f>
        <v>0</v>
      </c>
    </row>
    <row r="85" spans="1:9" ht="20.100000000000001" customHeight="1" x14ac:dyDescent="0.2">
      <c r="A85" s="277">
        <v>16</v>
      </c>
      <c r="B85" s="293" t="s">
        <v>976</v>
      </c>
      <c r="C85" s="285">
        <f>data!Q85</f>
        <v>11349865.26</v>
      </c>
      <c r="D85" s="285">
        <f>data!R85</f>
        <v>1595550.7800000003</v>
      </c>
      <c r="E85" s="285">
        <f>data!S85</f>
        <v>3772488.0699999994</v>
      </c>
      <c r="F85" s="285">
        <f>data!T85</f>
        <v>0</v>
      </c>
      <c r="G85" s="285">
        <f>data!U85</f>
        <v>22369052.629999999</v>
      </c>
      <c r="H85" s="285">
        <f>data!V85</f>
        <v>297256.62000000005</v>
      </c>
      <c r="I85" s="285">
        <f>data!W85</f>
        <v>1510917.5899999999</v>
      </c>
    </row>
    <row r="86" spans="1:9" ht="20.100000000000001" customHeight="1" x14ac:dyDescent="0.2">
      <c r="A86" s="277">
        <v>17</v>
      </c>
      <c r="B86" s="285" t="s">
        <v>271</v>
      </c>
      <c r="C86" s="295"/>
      <c r="D86" s="295"/>
      <c r="E86" s="295"/>
      <c r="F86" s="295"/>
      <c r="G86" s="295"/>
      <c r="H86" s="295"/>
      <c r="I86" s="295"/>
    </row>
    <row r="87" spans="1:9" ht="20.100000000000001" customHeight="1" x14ac:dyDescent="0.2">
      <c r="A87" s="277">
        <v>18</v>
      </c>
      <c r="B87" s="285" t="s">
        <v>977</v>
      </c>
      <c r="C87" s="293">
        <f>+data!M682</f>
        <v>3330904</v>
      </c>
      <c r="D87" s="293">
        <f>+data!M683</f>
        <v>2875433</v>
      </c>
      <c r="E87" s="293">
        <f>+data!M684</f>
        <v>783152</v>
      </c>
      <c r="F87" s="293">
        <f>+data!M685</f>
        <v>0</v>
      </c>
      <c r="G87" s="293">
        <f>+data!M686</f>
        <v>11198891</v>
      </c>
      <c r="H87" s="293">
        <f>+data!M687</f>
        <v>202361</v>
      </c>
      <c r="I87" s="293">
        <f>+data!M688</f>
        <v>1215917</v>
      </c>
    </row>
    <row r="88" spans="1:9" ht="20.100000000000001" customHeight="1" x14ac:dyDescent="0.2">
      <c r="A88" s="277">
        <v>19</v>
      </c>
      <c r="B88" s="293" t="s">
        <v>978</v>
      </c>
      <c r="C88" s="285">
        <f>data!Q87</f>
        <v>5518314</v>
      </c>
      <c r="D88" s="285">
        <f>data!R87</f>
        <v>11867880</v>
      </c>
      <c r="E88" s="285">
        <f>data!S87</f>
        <v>0</v>
      </c>
      <c r="F88" s="285">
        <f>data!T87</f>
        <v>0</v>
      </c>
      <c r="G88" s="285">
        <f>data!U87</f>
        <v>84163526.019999996</v>
      </c>
      <c r="H88" s="285">
        <f>data!V87</f>
        <v>2037366</v>
      </c>
      <c r="I88" s="285">
        <f>data!W87</f>
        <v>6714440.75</v>
      </c>
    </row>
    <row r="89" spans="1:9" ht="20.100000000000001" customHeight="1" x14ac:dyDescent="0.2">
      <c r="A89" s="277">
        <v>20</v>
      </c>
      <c r="B89" s="293" t="s">
        <v>979</v>
      </c>
      <c r="C89" s="285">
        <f>data!Q88</f>
        <v>23112974</v>
      </c>
      <c r="D89" s="285">
        <f>data!R88</f>
        <v>35544050</v>
      </c>
      <c r="E89" s="285">
        <f>data!S88</f>
        <v>0</v>
      </c>
      <c r="F89" s="285">
        <f>data!T88</f>
        <v>0</v>
      </c>
      <c r="G89" s="285">
        <f>data!U88</f>
        <v>68835567.390000001</v>
      </c>
      <c r="H89" s="285">
        <f>data!V88</f>
        <v>730745</v>
      </c>
      <c r="I89" s="285">
        <f>data!W88</f>
        <v>10276640.25</v>
      </c>
    </row>
    <row r="90" spans="1:9" ht="20.100000000000001" customHeight="1" x14ac:dyDescent="0.2">
      <c r="A90" s="277">
        <v>21</v>
      </c>
      <c r="B90" s="293" t="s">
        <v>980</v>
      </c>
      <c r="C90" s="285">
        <f>data!Q89</f>
        <v>28631288</v>
      </c>
      <c r="D90" s="285">
        <f>data!R89</f>
        <v>47411930</v>
      </c>
      <c r="E90" s="285">
        <f>data!S89</f>
        <v>0</v>
      </c>
      <c r="F90" s="285">
        <f>data!T89</f>
        <v>0</v>
      </c>
      <c r="G90" s="285">
        <f>data!U89</f>
        <v>152999093.41</v>
      </c>
      <c r="H90" s="285">
        <f>data!V89</f>
        <v>2768111</v>
      </c>
      <c r="I90" s="285">
        <f>data!W89</f>
        <v>16991081</v>
      </c>
    </row>
    <row r="91" spans="1:9" ht="20.100000000000001" customHeight="1" x14ac:dyDescent="0.2">
      <c r="A91" s="277" t="s">
        <v>981</v>
      </c>
      <c r="B91" s="285"/>
      <c r="C91" s="295"/>
      <c r="D91" s="295"/>
      <c r="E91" s="295"/>
      <c r="F91" s="295"/>
      <c r="G91" s="295"/>
      <c r="H91" s="295"/>
      <c r="I91" s="295"/>
    </row>
    <row r="92" spans="1:9" ht="20.100000000000001" customHeight="1" x14ac:dyDescent="0.2">
      <c r="A92" s="277">
        <v>22</v>
      </c>
      <c r="B92" s="285" t="s">
        <v>982</v>
      </c>
      <c r="C92" s="285">
        <f>data!Q90</f>
        <v>5119</v>
      </c>
      <c r="D92" s="285">
        <f>data!R90</f>
        <v>651</v>
      </c>
      <c r="E92" s="285">
        <f>data!S90</f>
        <v>10270</v>
      </c>
      <c r="F92" s="285">
        <f>data!T90</f>
        <v>0</v>
      </c>
      <c r="G92" s="285">
        <f>data!U90</f>
        <v>15470</v>
      </c>
      <c r="H92" s="285">
        <f>data!V90</f>
        <v>298</v>
      </c>
      <c r="I92" s="285">
        <f>data!W90</f>
        <v>3104</v>
      </c>
    </row>
    <row r="93" spans="1:9" ht="20.100000000000001" customHeight="1" x14ac:dyDescent="0.2">
      <c r="A93" s="277">
        <v>23</v>
      </c>
      <c r="B93" s="285" t="s">
        <v>983</v>
      </c>
      <c r="C93" s="285">
        <f>data!Q91</f>
        <v>0</v>
      </c>
      <c r="D93" s="285">
        <f>data!R91</f>
        <v>0</v>
      </c>
      <c r="E93" s="285">
        <f>data!S91</f>
        <v>0</v>
      </c>
      <c r="F93" s="285">
        <f>data!T91</f>
        <v>0</v>
      </c>
      <c r="G93" s="285">
        <f>data!U91</f>
        <v>0</v>
      </c>
      <c r="H93" s="285">
        <f>data!V91</f>
        <v>0</v>
      </c>
      <c r="I93" s="285">
        <f>data!W91</f>
        <v>0</v>
      </c>
    </row>
    <row r="94" spans="1:9" ht="20.100000000000001" customHeight="1" x14ac:dyDescent="0.2">
      <c r="A94" s="277">
        <v>24</v>
      </c>
      <c r="B94" s="285" t="s">
        <v>984</v>
      </c>
      <c r="C94" s="285">
        <f>data!Q92</f>
        <v>652.83000000000004</v>
      </c>
      <c r="D94" s="285">
        <f>data!R92</f>
        <v>83.03</v>
      </c>
      <c r="E94" s="285">
        <f>data!S92</f>
        <v>1309.8900000000001</v>
      </c>
      <c r="F94" s="285">
        <f>data!T92</f>
        <v>0</v>
      </c>
      <c r="G94" s="285">
        <f>data!U92</f>
        <v>1973.08</v>
      </c>
      <c r="H94" s="285">
        <f>data!V92</f>
        <v>38.03</v>
      </c>
      <c r="I94" s="285">
        <f>data!W92</f>
        <v>395.93</v>
      </c>
    </row>
    <row r="95" spans="1:9" ht="20.100000000000001" customHeight="1" x14ac:dyDescent="0.2">
      <c r="A95" s="277">
        <v>25</v>
      </c>
      <c r="B95" s="285" t="s">
        <v>985</v>
      </c>
      <c r="C95" s="285">
        <f>data!Q93</f>
        <v>0</v>
      </c>
      <c r="D95" s="285">
        <f>data!R93</f>
        <v>0</v>
      </c>
      <c r="E95" s="285">
        <f>data!S93</f>
        <v>14840.58</v>
      </c>
      <c r="F95" s="285">
        <f>data!T93</f>
        <v>0</v>
      </c>
      <c r="G95" s="285">
        <f>data!U93</f>
        <v>1787.82</v>
      </c>
      <c r="H95" s="285">
        <f>data!V93</f>
        <v>-0.31</v>
      </c>
      <c r="I95" s="285">
        <f>data!W93</f>
        <v>21312.69</v>
      </c>
    </row>
    <row r="96" spans="1:9" ht="20.100000000000001" customHeight="1" x14ac:dyDescent="0.2">
      <c r="A96" s="277">
        <v>26</v>
      </c>
      <c r="B96" s="285" t="s">
        <v>279</v>
      </c>
      <c r="C96" s="292">
        <f>data!Q94</f>
        <v>45.309740384615381</v>
      </c>
      <c r="D96" s="292">
        <f>data!R94</f>
        <v>0</v>
      </c>
      <c r="E96" s="292">
        <f>data!S94</f>
        <v>0</v>
      </c>
      <c r="F96" s="292">
        <f>data!T94</f>
        <v>0</v>
      </c>
      <c r="G96" s="292">
        <f>data!U94</f>
        <v>0.54390384615384613</v>
      </c>
      <c r="H96" s="292">
        <f>data!V94</f>
        <v>0</v>
      </c>
      <c r="I96" s="292">
        <f>data!W94</f>
        <v>0</v>
      </c>
    </row>
    <row r="97" spans="1:9" ht="20.100000000000001" customHeight="1" x14ac:dyDescent="0.2">
      <c r="A97" s="278" t="s">
        <v>967</v>
      </c>
      <c r="B97" s="279"/>
      <c r="C97" s="279"/>
      <c r="D97" s="279"/>
      <c r="E97" s="279"/>
      <c r="F97" s="279"/>
      <c r="G97" s="279"/>
      <c r="H97" s="279"/>
      <c r="I97" s="278"/>
    </row>
    <row r="98" spans="1:9" ht="20.100000000000001" customHeight="1" x14ac:dyDescent="0.2">
      <c r="D98" s="281"/>
      <c r="I98" s="282" t="s">
        <v>994</v>
      </c>
    </row>
    <row r="99" spans="1:9" ht="20.100000000000001" customHeight="1" x14ac:dyDescent="0.2">
      <c r="A99" s="281"/>
    </row>
    <row r="100" spans="1:9" ht="20.100000000000001" customHeight="1" x14ac:dyDescent="0.2">
      <c r="A100" s="283" t="str">
        <f>"Hospital: "&amp;data!C98</f>
        <v>Hospital: EvergreenHealth Kirkland / King Country Public Hos #2</v>
      </c>
      <c r="G100" s="284"/>
      <c r="H100" s="283" t="str">
        <f>"FYE: "&amp;data!C96</f>
        <v>FYE: 12/31/2022</v>
      </c>
    </row>
    <row r="101" spans="1:9" ht="20.100000000000001" customHeight="1" x14ac:dyDescent="0.2">
      <c r="A101" s="277">
        <v>1</v>
      </c>
      <c r="B101" s="285" t="s">
        <v>221</v>
      </c>
      <c r="C101" s="287" t="s">
        <v>42</v>
      </c>
      <c r="D101" s="287" t="s">
        <v>43</v>
      </c>
      <c r="E101" s="287" t="s">
        <v>44</v>
      </c>
      <c r="F101" s="287" t="s">
        <v>45</v>
      </c>
      <c r="G101" s="287" t="s">
        <v>46</v>
      </c>
      <c r="H101" s="287" t="s">
        <v>47</v>
      </c>
      <c r="I101" s="287" t="s">
        <v>48</v>
      </c>
    </row>
    <row r="102" spans="1:9" ht="20.100000000000001" customHeight="1" x14ac:dyDescent="0.2">
      <c r="A102" s="288">
        <v>2</v>
      </c>
      <c r="B102" s="289" t="s">
        <v>969</v>
      </c>
      <c r="C102" s="291" t="s">
        <v>995</v>
      </c>
      <c r="D102" s="291" t="s">
        <v>996</v>
      </c>
      <c r="E102" s="291" t="s">
        <v>996</v>
      </c>
      <c r="F102" s="291" t="s">
        <v>126</v>
      </c>
      <c r="G102" s="291"/>
      <c r="H102" s="291" t="s">
        <v>128</v>
      </c>
      <c r="I102" s="291"/>
    </row>
    <row r="103" spans="1:9" ht="20.100000000000001" customHeight="1" x14ac:dyDescent="0.2">
      <c r="A103" s="288"/>
      <c r="B103" s="289"/>
      <c r="C103" s="291" t="s">
        <v>187</v>
      </c>
      <c r="D103" s="291" t="s">
        <v>188</v>
      </c>
      <c r="E103" s="291" t="s">
        <v>189</v>
      </c>
      <c r="F103" s="291" t="s">
        <v>190</v>
      </c>
      <c r="G103" s="291" t="s">
        <v>127</v>
      </c>
      <c r="H103" s="291" t="s">
        <v>184</v>
      </c>
      <c r="I103" s="291" t="s">
        <v>129</v>
      </c>
    </row>
    <row r="104" spans="1:9" ht="20.100000000000001" customHeight="1" x14ac:dyDescent="0.2">
      <c r="A104" s="277">
        <v>3</v>
      </c>
      <c r="B104" s="285" t="s">
        <v>973</v>
      </c>
      <c r="C104" s="286" t="s">
        <v>236</v>
      </c>
      <c r="D104" s="287" t="s">
        <v>997</v>
      </c>
      <c r="E104" s="287" t="s">
        <v>997</v>
      </c>
      <c r="F104" s="287" t="s">
        <v>997</v>
      </c>
      <c r="G104" s="297"/>
      <c r="H104" s="287" t="s">
        <v>238</v>
      </c>
      <c r="I104" s="287" t="s">
        <v>239</v>
      </c>
    </row>
    <row r="105" spans="1:9" ht="20.100000000000001" customHeight="1" x14ac:dyDescent="0.2">
      <c r="A105" s="277">
        <v>4</v>
      </c>
      <c r="B105" s="285" t="s">
        <v>246</v>
      </c>
      <c r="C105" s="285">
        <f>data!X59</f>
        <v>196603.86000000002</v>
      </c>
      <c r="D105" s="285">
        <f>data!Y59</f>
        <v>459248.88</v>
      </c>
      <c r="E105" s="285">
        <f>data!Z59</f>
        <v>59773.57</v>
      </c>
      <c r="F105" s="285">
        <f>data!AA59</f>
        <v>15243.55</v>
      </c>
      <c r="G105" s="297"/>
      <c r="H105" s="285">
        <f>data!AC59</f>
        <v>0</v>
      </c>
      <c r="I105" s="285">
        <f>data!AD59</f>
        <v>0</v>
      </c>
    </row>
    <row r="106" spans="1:9" ht="20.100000000000001" customHeight="1" x14ac:dyDescent="0.2">
      <c r="A106" s="277">
        <v>5</v>
      </c>
      <c r="B106" s="285" t="s">
        <v>247</v>
      </c>
      <c r="C106" s="292">
        <f>data!X60</f>
        <v>13.897769230769232</v>
      </c>
      <c r="D106" s="292">
        <f>data!Y60</f>
        <v>156.48716826923081</v>
      </c>
      <c r="E106" s="292">
        <f>data!Z60</f>
        <v>21.475341346153847</v>
      </c>
      <c r="F106" s="292">
        <f>data!AA60</f>
        <v>2.9737403846153847</v>
      </c>
      <c r="G106" s="292">
        <f>data!AB60</f>
        <v>61.240899038461535</v>
      </c>
      <c r="H106" s="292">
        <f>data!AC60</f>
        <v>24.610182692307692</v>
      </c>
      <c r="I106" s="292">
        <f>data!AD60</f>
        <v>0</v>
      </c>
    </row>
    <row r="107" spans="1:9" ht="20.100000000000001" customHeight="1" x14ac:dyDescent="0.2">
      <c r="A107" s="277">
        <v>6</v>
      </c>
      <c r="B107" s="285" t="s">
        <v>248</v>
      </c>
      <c r="C107" s="285">
        <f>data!X61</f>
        <v>1777432.71</v>
      </c>
      <c r="D107" s="285">
        <f>data!Y61</f>
        <v>17952437.200000003</v>
      </c>
      <c r="E107" s="285">
        <f>data!Z61</f>
        <v>4606899.62</v>
      </c>
      <c r="F107" s="285">
        <f>data!AA61</f>
        <v>419236.36</v>
      </c>
      <c r="G107" s="285">
        <f>data!AB61</f>
        <v>7478485.5000000009</v>
      </c>
      <c r="H107" s="285">
        <f>data!AC61</f>
        <v>3048287.3599999994</v>
      </c>
      <c r="I107" s="285">
        <f>data!AD61</f>
        <v>0</v>
      </c>
    </row>
    <row r="108" spans="1:9" ht="20.100000000000001" customHeight="1" x14ac:dyDescent="0.2">
      <c r="A108" s="277">
        <v>7</v>
      </c>
      <c r="B108" s="285" t="s">
        <v>9</v>
      </c>
      <c r="C108" s="285">
        <f>data!X62</f>
        <v>282459</v>
      </c>
      <c r="D108" s="285">
        <f>data!Y62</f>
        <v>3970022</v>
      </c>
      <c r="E108" s="285">
        <f>data!Z62</f>
        <v>802668</v>
      </c>
      <c r="F108" s="285">
        <f>data!AA62</f>
        <v>97709</v>
      </c>
      <c r="G108" s="285">
        <f>data!AB62</f>
        <v>1545735</v>
      </c>
      <c r="H108" s="285">
        <f>data!AC62</f>
        <v>646699</v>
      </c>
      <c r="I108" s="285">
        <f>data!AD62</f>
        <v>0</v>
      </c>
    </row>
    <row r="109" spans="1:9" ht="20.100000000000001" customHeight="1" x14ac:dyDescent="0.2">
      <c r="A109" s="277">
        <v>8</v>
      </c>
      <c r="B109" s="285" t="s">
        <v>249</v>
      </c>
      <c r="C109" s="285">
        <f>data!X63</f>
        <v>0</v>
      </c>
      <c r="D109" s="285">
        <f>data!Y63</f>
        <v>109755.7</v>
      </c>
      <c r="E109" s="285">
        <f>data!Z63</f>
        <v>0</v>
      </c>
      <c r="F109" s="285">
        <f>data!AA63</f>
        <v>0</v>
      </c>
      <c r="G109" s="285">
        <f>data!AB63</f>
        <v>0</v>
      </c>
      <c r="H109" s="285">
        <f>data!AC63</f>
        <v>0</v>
      </c>
      <c r="I109" s="285">
        <f>data!AD63</f>
        <v>0</v>
      </c>
    </row>
    <row r="110" spans="1:9" ht="20.100000000000001" customHeight="1" x14ac:dyDescent="0.2">
      <c r="A110" s="277">
        <v>9</v>
      </c>
      <c r="B110" s="285" t="s">
        <v>250</v>
      </c>
      <c r="C110" s="285">
        <f>data!X64</f>
        <v>465640.77</v>
      </c>
      <c r="D110" s="285">
        <f>data!Y64</f>
        <v>7957172.9400000023</v>
      </c>
      <c r="E110" s="285">
        <f>data!Z64</f>
        <v>684530.53</v>
      </c>
      <c r="F110" s="285">
        <f>data!AA64</f>
        <v>440199.26</v>
      </c>
      <c r="G110" s="285">
        <f>data!AB64</f>
        <v>19613803.989999995</v>
      </c>
      <c r="H110" s="285">
        <f>data!AC64</f>
        <v>338726.52000000014</v>
      </c>
      <c r="I110" s="285">
        <f>data!AD64</f>
        <v>0</v>
      </c>
    </row>
    <row r="111" spans="1:9" ht="20.100000000000001" customHeight="1" x14ac:dyDescent="0.2">
      <c r="A111" s="277">
        <v>10</v>
      </c>
      <c r="B111" s="285" t="s">
        <v>497</v>
      </c>
      <c r="C111" s="285">
        <f>data!X65</f>
        <v>0</v>
      </c>
      <c r="D111" s="285">
        <f>data!Y65</f>
        <v>13266.970000000001</v>
      </c>
      <c r="E111" s="285">
        <f>data!Z65</f>
        <v>2154.33</v>
      </c>
      <c r="F111" s="285">
        <f>data!AA65</f>
        <v>0</v>
      </c>
      <c r="G111" s="285">
        <f>data!AB65</f>
        <v>0</v>
      </c>
      <c r="H111" s="285">
        <f>data!AC65</f>
        <v>0</v>
      </c>
      <c r="I111" s="285">
        <f>data!AD65</f>
        <v>0</v>
      </c>
    </row>
    <row r="112" spans="1:9" ht="20.100000000000001" customHeight="1" x14ac:dyDescent="0.2">
      <c r="A112" s="277">
        <v>11</v>
      </c>
      <c r="B112" s="285" t="s">
        <v>498</v>
      </c>
      <c r="C112" s="285">
        <f>data!X66</f>
        <v>468811.75</v>
      </c>
      <c r="D112" s="285">
        <f>data!Y66</f>
        <v>5376836.0600000005</v>
      </c>
      <c r="E112" s="285">
        <f>data!Z66</f>
        <v>1390803.84</v>
      </c>
      <c r="F112" s="285">
        <f>data!AA66</f>
        <v>51417.159999999996</v>
      </c>
      <c r="G112" s="285">
        <f>data!AB66</f>
        <v>282330.99999999994</v>
      </c>
      <c r="H112" s="285">
        <f>data!AC66</f>
        <v>73809.960000000006</v>
      </c>
      <c r="I112" s="285">
        <f>data!AD66</f>
        <v>0</v>
      </c>
    </row>
    <row r="113" spans="1:9" ht="20.100000000000001" customHeight="1" x14ac:dyDescent="0.2">
      <c r="A113" s="277">
        <v>12</v>
      </c>
      <c r="B113" s="285" t="s">
        <v>11</v>
      </c>
      <c r="C113" s="285">
        <f>data!X67</f>
        <v>191088</v>
      </c>
      <c r="D113" s="285">
        <f>data!Y67</f>
        <v>3383885</v>
      </c>
      <c r="E113" s="285">
        <f>data!Z67</f>
        <v>910224</v>
      </c>
      <c r="F113" s="285">
        <f>data!AA67</f>
        <v>37590</v>
      </c>
      <c r="G113" s="285">
        <f>data!AB67</f>
        <v>308189</v>
      </c>
      <c r="H113" s="285">
        <f>data!AC67</f>
        <v>41262</v>
      </c>
      <c r="I113" s="285">
        <f>data!AD67</f>
        <v>0</v>
      </c>
    </row>
    <row r="114" spans="1:9" ht="20.100000000000001" customHeight="1" x14ac:dyDescent="0.2">
      <c r="A114" s="277">
        <v>13</v>
      </c>
      <c r="B114" s="285" t="s">
        <v>974</v>
      </c>
      <c r="C114" s="285">
        <f>data!X68</f>
        <v>0</v>
      </c>
      <c r="D114" s="285">
        <f>data!Y68</f>
        <v>99070.67</v>
      </c>
      <c r="E114" s="285">
        <f>data!Z68</f>
        <v>0</v>
      </c>
      <c r="F114" s="285">
        <f>data!AA68</f>
        <v>0</v>
      </c>
      <c r="G114" s="285">
        <f>data!AB68</f>
        <v>60954</v>
      </c>
      <c r="H114" s="285">
        <f>data!AC68</f>
        <v>0</v>
      </c>
      <c r="I114" s="285">
        <f>data!AD68</f>
        <v>0</v>
      </c>
    </row>
    <row r="115" spans="1:9" ht="20.100000000000001" customHeight="1" x14ac:dyDescent="0.2">
      <c r="A115" s="277">
        <v>14</v>
      </c>
      <c r="B115" s="285" t="s">
        <v>975</v>
      </c>
      <c r="C115" s="285">
        <f>data!X69</f>
        <v>6176</v>
      </c>
      <c r="D115" s="285">
        <f>data!Y69</f>
        <v>38688.040000000008</v>
      </c>
      <c r="E115" s="285">
        <f>data!Z69</f>
        <v>27165.88</v>
      </c>
      <c r="F115" s="285">
        <f>data!AA69</f>
        <v>13880</v>
      </c>
      <c r="G115" s="285">
        <f>data!AB69</f>
        <v>45049.2</v>
      </c>
      <c r="H115" s="285">
        <f>data!AC69</f>
        <v>468</v>
      </c>
      <c r="I115" s="285">
        <f>data!AD69</f>
        <v>0</v>
      </c>
    </row>
    <row r="116" spans="1:9" ht="20.100000000000001" customHeight="1" x14ac:dyDescent="0.2">
      <c r="A116" s="277">
        <v>15</v>
      </c>
      <c r="B116" s="285" t="s">
        <v>269</v>
      </c>
      <c r="C116" s="285">
        <f>-data!X84</f>
        <v>0</v>
      </c>
      <c r="D116" s="285">
        <f>-data!Y84</f>
        <v>-9339.4599999999991</v>
      </c>
      <c r="E116" s="285">
        <f>-data!Z84</f>
        <v>-15279.84</v>
      </c>
      <c r="F116" s="285">
        <f>-data!AA84</f>
        <v>0</v>
      </c>
      <c r="G116" s="285">
        <f>-data!AB84</f>
        <v>-499.98</v>
      </c>
      <c r="H116" s="285">
        <f>-data!AC84</f>
        <v>0</v>
      </c>
      <c r="I116" s="285">
        <f>-data!AD84</f>
        <v>0</v>
      </c>
    </row>
    <row r="117" spans="1:9" ht="20.100000000000001" customHeight="1" x14ac:dyDescent="0.2">
      <c r="A117" s="277">
        <v>16</v>
      </c>
      <c r="B117" s="293" t="s">
        <v>976</v>
      </c>
      <c r="C117" s="285">
        <f>data!X85</f>
        <v>3191608.23</v>
      </c>
      <c r="D117" s="285">
        <f>data!Y85</f>
        <v>38891795.120000005</v>
      </c>
      <c r="E117" s="285">
        <f>data!Z85</f>
        <v>8409166.3600000013</v>
      </c>
      <c r="F117" s="285">
        <f>data!AA85</f>
        <v>1060031.78</v>
      </c>
      <c r="G117" s="285">
        <f>data!AB85</f>
        <v>29334047.709999993</v>
      </c>
      <c r="H117" s="285">
        <f>data!AC85</f>
        <v>4149252.8399999994</v>
      </c>
      <c r="I117" s="285">
        <f>data!AD85</f>
        <v>0</v>
      </c>
    </row>
    <row r="118" spans="1:9" ht="20.100000000000001" customHeight="1" x14ac:dyDescent="0.2">
      <c r="A118" s="277">
        <v>17</v>
      </c>
      <c r="B118" s="285" t="s">
        <v>271</v>
      </c>
      <c r="C118" s="295"/>
      <c r="D118" s="295"/>
      <c r="E118" s="295"/>
      <c r="F118" s="295"/>
      <c r="G118" s="295"/>
      <c r="H118" s="295"/>
      <c r="I118" s="295"/>
    </row>
    <row r="119" spans="1:9" ht="20.100000000000001" customHeight="1" x14ac:dyDescent="0.2">
      <c r="A119" s="277">
        <v>18</v>
      </c>
      <c r="B119" s="285" t="s">
        <v>977</v>
      </c>
      <c r="C119" s="293">
        <f>+data!M689</f>
        <v>5187616</v>
      </c>
      <c r="D119" s="293">
        <f>+data!M690</f>
        <v>16532005</v>
      </c>
      <c r="E119" s="293">
        <f>+data!M691</f>
        <v>3665245</v>
      </c>
      <c r="F119" s="293">
        <f>+data!M692</f>
        <v>433272</v>
      </c>
      <c r="G119" s="293">
        <f>+data!M693</f>
        <v>12062141</v>
      </c>
      <c r="H119" s="293">
        <f>+data!M694</f>
        <v>1740703</v>
      </c>
      <c r="I119" s="293">
        <f>+data!M695</f>
        <v>0</v>
      </c>
    </row>
    <row r="120" spans="1:9" ht="20.100000000000001" customHeight="1" x14ac:dyDescent="0.2">
      <c r="A120" s="277">
        <v>19</v>
      </c>
      <c r="B120" s="293" t="s">
        <v>978</v>
      </c>
      <c r="C120" s="285">
        <f>data!X87</f>
        <v>28413355.719999999</v>
      </c>
      <c r="D120" s="285">
        <f>data!Y87</f>
        <v>49766590.770000003</v>
      </c>
      <c r="E120" s="285">
        <f>data!Z87</f>
        <v>1085404</v>
      </c>
      <c r="F120" s="285">
        <f>data!AA87</f>
        <v>918395.75</v>
      </c>
      <c r="G120" s="285">
        <f>data!AB87</f>
        <v>84600751.469999999</v>
      </c>
      <c r="H120" s="285">
        <f>data!AC87</f>
        <v>21258467</v>
      </c>
      <c r="I120" s="285">
        <f>data!AD87</f>
        <v>0</v>
      </c>
    </row>
    <row r="121" spans="1:9" ht="20.100000000000001" customHeight="1" x14ac:dyDescent="0.2">
      <c r="A121" s="277">
        <v>20</v>
      </c>
      <c r="B121" s="293" t="s">
        <v>979</v>
      </c>
      <c r="C121" s="285">
        <f>data!X88</f>
        <v>55748649.25</v>
      </c>
      <c r="D121" s="285">
        <f>data!Y88</f>
        <v>141262771.62</v>
      </c>
      <c r="E121" s="285">
        <f>data!Z88</f>
        <v>40326086</v>
      </c>
      <c r="F121" s="285">
        <f>data!AA88</f>
        <v>4348326</v>
      </c>
      <c r="G121" s="285">
        <f>data!AB88</f>
        <v>76137095.980000004</v>
      </c>
      <c r="H121" s="285">
        <f>data!AC88</f>
        <v>979814</v>
      </c>
      <c r="I121" s="285">
        <f>data!AD88</f>
        <v>0</v>
      </c>
    </row>
    <row r="122" spans="1:9" ht="20.100000000000001" customHeight="1" x14ac:dyDescent="0.2">
      <c r="A122" s="277">
        <v>21</v>
      </c>
      <c r="B122" s="293" t="s">
        <v>980</v>
      </c>
      <c r="C122" s="285">
        <f>data!X89</f>
        <v>84162004.969999999</v>
      </c>
      <c r="D122" s="285">
        <f>data!Y89</f>
        <v>191029362.39000002</v>
      </c>
      <c r="E122" s="285">
        <f>data!Z89</f>
        <v>41411490</v>
      </c>
      <c r="F122" s="285">
        <f>data!AA89</f>
        <v>5266721.75</v>
      </c>
      <c r="G122" s="285">
        <f>data!AB89</f>
        <v>160737847.44999999</v>
      </c>
      <c r="H122" s="285">
        <f>data!AC89</f>
        <v>22238281</v>
      </c>
      <c r="I122" s="285">
        <f>data!AD89</f>
        <v>0</v>
      </c>
    </row>
    <row r="123" spans="1:9" ht="20.100000000000001" customHeight="1" x14ac:dyDescent="0.2">
      <c r="A123" s="277" t="s">
        <v>981</v>
      </c>
      <c r="B123" s="285"/>
      <c r="C123" s="295"/>
      <c r="D123" s="295"/>
      <c r="E123" s="295"/>
      <c r="F123" s="295"/>
      <c r="G123" s="295"/>
      <c r="H123" s="295"/>
      <c r="I123" s="295"/>
    </row>
    <row r="124" spans="1:9" ht="20.100000000000001" customHeight="1" x14ac:dyDescent="0.2">
      <c r="A124" s="277">
        <v>22</v>
      </c>
      <c r="B124" s="285" t="s">
        <v>982</v>
      </c>
      <c r="C124" s="285">
        <f>data!X90</f>
        <v>3166</v>
      </c>
      <c r="D124" s="285">
        <f>data!Y90</f>
        <v>50628</v>
      </c>
      <c r="E124" s="285">
        <f>data!Z90</f>
        <v>16493</v>
      </c>
      <c r="F124" s="285">
        <f>data!AA90</f>
        <v>1139</v>
      </c>
      <c r="G124" s="285">
        <f>data!AB90</f>
        <v>7695</v>
      </c>
      <c r="H124" s="285">
        <f>data!AC90</f>
        <v>2635</v>
      </c>
      <c r="I124" s="285">
        <f>data!AD90</f>
        <v>0</v>
      </c>
    </row>
    <row r="125" spans="1:9" ht="20.100000000000001" customHeight="1" x14ac:dyDescent="0.2">
      <c r="A125" s="277">
        <v>23</v>
      </c>
      <c r="B125" s="285" t="s">
        <v>983</v>
      </c>
      <c r="C125" s="285">
        <f>data!X91</f>
        <v>0</v>
      </c>
      <c r="D125" s="285">
        <f>data!Y91</f>
        <v>36</v>
      </c>
      <c r="E125" s="285">
        <f>data!Z91</f>
        <v>0</v>
      </c>
      <c r="F125" s="285">
        <f>data!AA91</f>
        <v>0</v>
      </c>
      <c r="G125" s="285">
        <f>data!AB91</f>
        <v>0</v>
      </c>
      <c r="H125" s="285">
        <f>data!AC91</f>
        <v>0</v>
      </c>
      <c r="I125" s="285">
        <f>data!AD91</f>
        <v>0</v>
      </c>
    </row>
    <row r="126" spans="1:9" ht="20.100000000000001" customHeight="1" x14ac:dyDescent="0.2">
      <c r="A126" s="277">
        <v>24</v>
      </c>
      <c r="B126" s="285" t="s">
        <v>984</v>
      </c>
      <c r="C126" s="285">
        <f>data!X92</f>
        <v>403.84</v>
      </c>
      <c r="D126" s="285">
        <f>data!Y92</f>
        <v>6457.22</v>
      </c>
      <c r="E126" s="285">
        <f>data!Z92</f>
        <v>2103.5300000000002</v>
      </c>
      <c r="F126" s="285">
        <f>data!AA92</f>
        <v>145.25</v>
      </c>
      <c r="G126" s="285">
        <f>data!AB92</f>
        <v>981.42</v>
      </c>
      <c r="H126" s="285">
        <f>data!AC92</f>
        <v>336.09</v>
      </c>
      <c r="I126" s="285">
        <f>data!AD92</f>
        <v>0</v>
      </c>
    </row>
    <row r="127" spans="1:9" ht="20.100000000000001" customHeight="1" x14ac:dyDescent="0.2">
      <c r="A127" s="277">
        <v>25</v>
      </c>
      <c r="B127" s="285" t="s">
        <v>985</v>
      </c>
      <c r="C127" s="285">
        <f>data!X93</f>
        <v>0</v>
      </c>
      <c r="D127" s="285">
        <f>data!Y93</f>
        <v>265936.78999999998</v>
      </c>
      <c r="E127" s="285">
        <f>data!Z93</f>
        <v>43779.7</v>
      </c>
      <c r="F127" s="285">
        <f>data!AA93</f>
        <v>0</v>
      </c>
      <c r="G127" s="285">
        <f>data!AB93</f>
        <v>0</v>
      </c>
      <c r="H127" s="285">
        <f>data!AC93</f>
        <v>0</v>
      </c>
      <c r="I127" s="285">
        <f>data!AD93</f>
        <v>0</v>
      </c>
    </row>
    <row r="128" spans="1:9" ht="20.100000000000001" customHeight="1" x14ac:dyDescent="0.2">
      <c r="A128" s="277">
        <v>26</v>
      </c>
      <c r="B128" s="285" t="s">
        <v>279</v>
      </c>
      <c r="C128" s="292">
        <f>data!X94</f>
        <v>0</v>
      </c>
      <c r="D128" s="292">
        <f>data!Y94</f>
        <v>30.47431730769231</v>
      </c>
      <c r="E128" s="292">
        <f>data!Z94</f>
        <v>4.5550865384615387</v>
      </c>
      <c r="F128" s="292">
        <f>data!AA94</f>
        <v>9.6153846153846159E-4</v>
      </c>
      <c r="G128" s="292">
        <f>data!AB94</f>
        <v>0</v>
      </c>
      <c r="H128" s="292">
        <f>data!AC94</f>
        <v>4.6153846153846156E-2</v>
      </c>
      <c r="I128" s="292">
        <f>data!AD94</f>
        <v>0</v>
      </c>
    </row>
    <row r="129" spans="1:14" ht="20.100000000000001" customHeight="1" x14ac:dyDescent="0.2">
      <c r="A129" s="278" t="s">
        <v>967</v>
      </c>
      <c r="B129" s="279"/>
      <c r="C129" s="279"/>
      <c r="D129" s="279"/>
      <c r="E129" s="279"/>
      <c r="F129" s="279"/>
      <c r="G129" s="279"/>
      <c r="H129" s="279"/>
      <c r="I129" s="278"/>
    </row>
    <row r="130" spans="1:14" ht="20.100000000000001" customHeight="1" x14ac:dyDescent="0.2">
      <c r="D130" s="281"/>
      <c r="I130" s="282" t="s">
        <v>998</v>
      </c>
    </row>
    <row r="131" spans="1:14" ht="20.100000000000001" customHeight="1" x14ac:dyDescent="0.2">
      <c r="A131" s="281"/>
    </row>
    <row r="132" spans="1:14" ht="20.100000000000001" customHeight="1" x14ac:dyDescent="0.2">
      <c r="A132" s="283" t="str">
        <f>"Hospital: "&amp;data!C98</f>
        <v>Hospital: EvergreenHealth Kirkland / King Country Public Hos #2</v>
      </c>
      <c r="G132" s="284"/>
      <c r="H132" s="283" t="str">
        <f>"FYE: "&amp;data!C96</f>
        <v>FYE: 12/31/2022</v>
      </c>
    </row>
    <row r="133" spans="1:14" ht="20.100000000000001" customHeight="1" x14ac:dyDescent="0.2">
      <c r="A133" s="277">
        <v>1</v>
      </c>
      <c r="B133" s="285" t="s">
        <v>221</v>
      </c>
      <c r="C133" s="287" t="s">
        <v>49</v>
      </c>
      <c r="D133" s="287" t="s">
        <v>50</v>
      </c>
      <c r="E133" s="287" t="s">
        <v>51</v>
      </c>
      <c r="F133" s="287" t="s">
        <v>52</v>
      </c>
      <c r="G133" s="287" t="s">
        <v>53</v>
      </c>
      <c r="H133" s="287" t="s">
        <v>54</v>
      </c>
      <c r="I133" s="287" t="s">
        <v>55</v>
      </c>
    </row>
    <row r="134" spans="1:14" ht="20.100000000000001" customHeight="1" x14ac:dyDescent="0.2">
      <c r="A134" s="288">
        <v>2</v>
      </c>
      <c r="B134" s="289" t="s">
        <v>969</v>
      </c>
      <c r="C134" s="291" t="s">
        <v>107</v>
      </c>
      <c r="D134" s="291" t="s">
        <v>108</v>
      </c>
      <c r="E134" s="291" t="s">
        <v>130</v>
      </c>
      <c r="F134" s="291"/>
      <c r="G134" s="291" t="s">
        <v>999</v>
      </c>
      <c r="H134" s="291"/>
      <c r="I134" s="291" t="s">
        <v>134</v>
      </c>
    </row>
    <row r="135" spans="1:14" ht="20.100000000000001" customHeight="1" x14ac:dyDescent="0.2">
      <c r="A135" s="288"/>
      <c r="B135" s="289"/>
      <c r="C135" s="291" t="s">
        <v>184</v>
      </c>
      <c r="D135" s="291" t="s">
        <v>191</v>
      </c>
      <c r="E135" s="291" t="s">
        <v>183</v>
      </c>
      <c r="F135" s="291" t="s">
        <v>131</v>
      </c>
      <c r="G135" s="291" t="s">
        <v>192</v>
      </c>
      <c r="H135" s="291" t="s">
        <v>133</v>
      </c>
      <c r="I135" s="291" t="s">
        <v>184</v>
      </c>
    </row>
    <row r="136" spans="1:14" ht="20.100000000000001" customHeight="1" x14ac:dyDescent="0.2">
      <c r="A136" s="277">
        <v>3</v>
      </c>
      <c r="B136" s="285" t="s">
        <v>973</v>
      </c>
      <c r="C136" s="287" t="s">
        <v>238</v>
      </c>
      <c r="D136" s="287" t="s">
        <v>240</v>
      </c>
      <c r="E136" s="287" t="s">
        <v>240</v>
      </c>
      <c r="F136" s="287" t="s">
        <v>241</v>
      </c>
      <c r="G136" s="286" t="s">
        <v>1000</v>
      </c>
      <c r="H136" s="287" t="s">
        <v>240</v>
      </c>
      <c r="I136" s="287" t="s">
        <v>238</v>
      </c>
    </row>
    <row r="137" spans="1:14" ht="20.100000000000001" customHeight="1" x14ac:dyDescent="0.25">
      <c r="A137" s="277">
        <v>4</v>
      </c>
      <c r="B137" s="285" t="s">
        <v>246</v>
      </c>
      <c r="C137" s="285">
        <f>data!AE59</f>
        <v>45187</v>
      </c>
      <c r="D137" s="285">
        <f>data!AF59</f>
        <v>0</v>
      </c>
      <c r="E137" s="285">
        <f>data!AG59</f>
        <v>124924</v>
      </c>
      <c r="F137" s="285">
        <f>data!AH59</f>
        <v>0</v>
      </c>
      <c r="G137" s="285">
        <f>data!AI59</f>
        <v>0</v>
      </c>
      <c r="H137" s="285">
        <f>data!AJ59</f>
        <v>274398</v>
      </c>
      <c r="I137" s="285">
        <f>data!AK59</f>
        <v>0</v>
      </c>
      <c r="K137" s="296"/>
      <c r="L137" s="298"/>
      <c r="M137" s="298"/>
      <c r="N137" s="298"/>
    </row>
    <row r="138" spans="1:14" ht="20.100000000000001" customHeight="1" x14ac:dyDescent="0.2">
      <c r="A138" s="277">
        <v>5</v>
      </c>
      <c r="B138" s="285" t="s">
        <v>247</v>
      </c>
      <c r="C138" s="292">
        <f>data!AE60</f>
        <v>67.029312500000017</v>
      </c>
      <c r="D138" s="292">
        <f>data!AF60</f>
        <v>0</v>
      </c>
      <c r="E138" s="292">
        <f>data!AG60</f>
        <v>113.49677884615384</v>
      </c>
      <c r="F138" s="292">
        <f>data!AH60</f>
        <v>0</v>
      </c>
      <c r="G138" s="292">
        <f>data!AI60</f>
        <v>0</v>
      </c>
      <c r="H138" s="292">
        <f>data!AJ60</f>
        <v>488.1790721153846</v>
      </c>
      <c r="I138" s="292">
        <f>data!AK60</f>
        <v>0</v>
      </c>
    </row>
    <row r="139" spans="1:14" ht="20.100000000000001" customHeight="1" x14ac:dyDescent="0.2">
      <c r="A139" s="277">
        <v>6</v>
      </c>
      <c r="B139" s="285" t="s">
        <v>248</v>
      </c>
      <c r="C139" s="285">
        <f>data!AE61</f>
        <v>6304612.0999999996</v>
      </c>
      <c r="D139" s="285">
        <f>data!AF61</f>
        <v>0</v>
      </c>
      <c r="E139" s="285">
        <f>data!AG61</f>
        <v>14333534.91</v>
      </c>
      <c r="F139" s="285">
        <f>data!AH61</f>
        <v>0</v>
      </c>
      <c r="G139" s="285">
        <f>data!AI61</f>
        <v>0</v>
      </c>
      <c r="H139" s="285">
        <f>data!AJ61</f>
        <v>84227671.710000023</v>
      </c>
      <c r="I139" s="285">
        <f>data!AK61</f>
        <v>0</v>
      </c>
    </row>
    <row r="140" spans="1:14" ht="20.100000000000001" customHeight="1" x14ac:dyDescent="0.2">
      <c r="A140" s="277">
        <v>7</v>
      </c>
      <c r="B140" s="285" t="s">
        <v>9</v>
      </c>
      <c r="C140" s="285">
        <f>data!AE62</f>
        <v>1488326</v>
      </c>
      <c r="D140" s="285">
        <f>data!AF62</f>
        <v>0</v>
      </c>
      <c r="E140" s="285">
        <f>data!AG62</f>
        <v>2823414</v>
      </c>
      <c r="F140" s="285">
        <f>data!AH62</f>
        <v>0</v>
      </c>
      <c r="G140" s="285">
        <f>data!AI62</f>
        <v>0</v>
      </c>
      <c r="H140" s="285">
        <f>data!AJ62</f>
        <v>14902105</v>
      </c>
      <c r="I140" s="285">
        <f>data!AK62</f>
        <v>0</v>
      </c>
    </row>
    <row r="141" spans="1:14" ht="20.100000000000001" customHeight="1" x14ac:dyDescent="0.2">
      <c r="A141" s="277">
        <v>8</v>
      </c>
      <c r="B141" s="285" t="s">
        <v>249</v>
      </c>
      <c r="C141" s="285">
        <f>data!AE63</f>
        <v>0</v>
      </c>
      <c r="D141" s="285">
        <f>data!AF63</f>
        <v>0</v>
      </c>
      <c r="E141" s="285">
        <f>data!AG63</f>
        <v>322806.8</v>
      </c>
      <c r="F141" s="285">
        <f>data!AH63</f>
        <v>0</v>
      </c>
      <c r="G141" s="285">
        <f>data!AI63</f>
        <v>0</v>
      </c>
      <c r="H141" s="285">
        <f>data!AJ63</f>
        <v>800599.20000000007</v>
      </c>
      <c r="I141" s="285">
        <f>data!AK63</f>
        <v>0</v>
      </c>
    </row>
    <row r="142" spans="1:14" ht="20.100000000000001" customHeight="1" x14ac:dyDescent="0.2">
      <c r="A142" s="277">
        <v>9</v>
      </c>
      <c r="B142" s="285" t="s">
        <v>250</v>
      </c>
      <c r="C142" s="285">
        <f>data!AE64</f>
        <v>135859.12000000002</v>
      </c>
      <c r="D142" s="285">
        <f>data!AF64</f>
        <v>0</v>
      </c>
      <c r="E142" s="285">
        <f>data!AG64</f>
        <v>1866443.2900000003</v>
      </c>
      <c r="F142" s="285">
        <f>data!AH64</f>
        <v>0</v>
      </c>
      <c r="G142" s="285">
        <f>data!AI64</f>
        <v>0</v>
      </c>
      <c r="H142" s="285">
        <f>data!AJ64</f>
        <v>5653744.5</v>
      </c>
      <c r="I142" s="285">
        <f>data!AK64</f>
        <v>0</v>
      </c>
    </row>
    <row r="143" spans="1:14" ht="20.100000000000001" customHeight="1" x14ac:dyDescent="0.2">
      <c r="A143" s="277">
        <v>10</v>
      </c>
      <c r="B143" s="285" t="s">
        <v>497</v>
      </c>
      <c r="C143" s="285">
        <f>data!AE65</f>
        <v>6454.420000000001</v>
      </c>
      <c r="D143" s="285">
        <f>data!AF65</f>
        <v>0</v>
      </c>
      <c r="E143" s="285">
        <f>data!AG65</f>
        <v>2493.8900000000003</v>
      </c>
      <c r="F143" s="285">
        <f>data!AH65</f>
        <v>0</v>
      </c>
      <c r="G143" s="285">
        <f>data!AI65</f>
        <v>0</v>
      </c>
      <c r="H143" s="285">
        <f>data!AJ65</f>
        <v>130401.53</v>
      </c>
      <c r="I143" s="285">
        <f>data!AK65</f>
        <v>0</v>
      </c>
    </row>
    <row r="144" spans="1:14" ht="20.100000000000001" customHeight="1" x14ac:dyDescent="0.2">
      <c r="A144" s="277">
        <v>11</v>
      </c>
      <c r="B144" s="285" t="s">
        <v>498</v>
      </c>
      <c r="C144" s="285">
        <f>data!AE66</f>
        <v>878294.72</v>
      </c>
      <c r="D144" s="285">
        <f>data!AF66</f>
        <v>0</v>
      </c>
      <c r="E144" s="285">
        <f>data!AG66</f>
        <v>686559.10000000009</v>
      </c>
      <c r="F144" s="285">
        <f>data!AH66</f>
        <v>0</v>
      </c>
      <c r="G144" s="285">
        <f>data!AI66</f>
        <v>0</v>
      </c>
      <c r="H144" s="285">
        <f>data!AJ66</f>
        <v>1261447.26</v>
      </c>
      <c r="I144" s="285">
        <f>data!AK66</f>
        <v>454.98</v>
      </c>
    </row>
    <row r="145" spans="1:9" ht="20.100000000000001" customHeight="1" x14ac:dyDescent="0.2">
      <c r="A145" s="277">
        <v>12</v>
      </c>
      <c r="B145" s="285" t="s">
        <v>11</v>
      </c>
      <c r="C145" s="285">
        <f>data!AE67</f>
        <v>295288</v>
      </c>
      <c r="D145" s="285">
        <f>data!AF67</f>
        <v>0</v>
      </c>
      <c r="E145" s="285">
        <f>data!AG67</f>
        <v>1635377</v>
      </c>
      <c r="F145" s="285">
        <f>data!AH67</f>
        <v>0</v>
      </c>
      <c r="G145" s="285">
        <f>data!AI67</f>
        <v>0</v>
      </c>
      <c r="H145" s="285">
        <f>data!AJ67</f>
        <v>2873171</v>
      </c>
      <c r="I145" s="285">
        <f>data!AK67</f>
        <v>0</v>
      </c>
    </row>
    <row r="146" spans="1:9" ht="20.100000000000001" customHeight="1" x14ac:dyDescent="0.2">
      <c r="A146" s="277">
        <v>13</v>
      </c>
      <c r="B146" s="285" t="s">
        <v>974</v>
      </c>
      <c r="C146" s="285">
        <f>data!AE68</f>
        <v>30668.799999999999</v>
      </c>
      <c r="D146" s="285">
        <f>data!AF68</f>
        <v>0</v>
      </c>
      <c r="E146" s="285">
        <f>data!AG68</f>
        <v>55449.58</v>
      </c>
      <c r="F146" s="285">
        <f>data!AH68</f>
        <v>0</v>
      </c>
      <c r="G146" s="285">
        <f>data!AI68</f>
        <v>0</v>
      </c>
      <c r="H146" s="285">
        <f>data!AJ68</f>
        <v>104722.83</v>
      </c>
      <c r="I146" s="285">
        <f>data!AK68</f>
        <v>0</v>
      </c>
    </row>
    <row r="147" spans="1:9" ht="20.100000000000001" customHeight="1" x14ac:dyDescent="0.2">
      <c r="A147" s="277">
        <v>14</v>
      </c>
      <c r="B147" s="285" t="s">
        <v>975</v>
      </c>
      <c r="C147" s="285">
        <f>data!AE69</f>
        <v>27405.97</v>
      </c>
      <c r="D147" s="285">
        <f>data!AF69</f>
        <v>0</v>
      </c>
      <c r="E147" s="285">
        <f>data!AG69</f>
        <v>16774.759999999998</v>
      </c>
      <c r="F147" s="285">
        <f>data!AH69</f>
        <v>0</v>
      </c>
      <c r="G147" s="285">
        <f>data!AI69</f>
        <v>0</v>
      </c>
      <c r="H147" s="285">
        <f>data!AJ69</f>
        <v>1307408.9000000001</v>
      </c>
      <c r="I147" s="285">
        <f>data!AK69</f>
        <v>888</v>
      </c>
    </row>
    <row r="148" spans="1:9" ht="20.100000000000001" customHeight="1" x14ac:dyDescent="0.2">
      <c r="A148" s="277">
        <v>15</v>
      </c>
      <c r="B148" s="285" t="s">
        <v>269</v>
      </c>
      <c r="C148" s="285">
        <f>-data!AE84</f>
        <v>-7245</v>
      </c>
      <c r="D148" s="285">
        <f>-data!AF84</f>
        <v>0</v>
      </c>
      <c r="E148" s="285">
        <f>-data!AG84</f>
        <v>-4012.53</v>
      </c>
      <c r="F148" s="285">
        <f>-data!AH84</f>
        <v>0</v>
      </c>
      <c r="G148" s="285">
        <f>-data!AI84</f>
        <v>0</v>
      </c>
      <c r="H148" s="285">
        <f>-data!AJ84</f>
        <v>-4639047.72</v>
      </c>
      <c r="I148" s="285">
        <f>-data!AK84</f>
        <v>0</v>
      </c>
    </row>
    <row r="149" spans="1:9" ht="20.100000000000001" customHeight="1" x14ac:dyDescent="0.2">
      <c r="A149" s="277">
        <v>16</v>
      </c>
      <c r="B149" s="293" t="s">
        <v>976</v>
      </c>
      <c r="C149" s="285">
        <f>data!AE85</f>
        <v>9159664.1300000008</v>
      </c>
      <c r="D149" s="285">
        <f>data!AF85</f>
        <v>0</v>
      </c>
      <c r="E149" s="285">
        <f>data!AG85</f>
        <v>21738840.800000001</v>
      </c>
      <c r="F149" s="285">
        <f>data!AH85</f>
        <v>0</v>
      </c>
      <c r="G149" s="285">
        <f>data!AI85</f>
        <v>0</v>
      </c>
      <c r="H149" s="285">
        <f>data!AJ85</f>
        <v>106622224.21000004</v>
      </c>
      <c r="I149" s="285">
        <f>data!AK85</f>
        <v>1342.98</v>
      </c>
    </row>
    <row r="150" spans="1:9" ht="20.100000000000001" customHeight="1" x14ac:dyDescent="0.2">
      <c r="A150" s="277">
        <v>17</v>
      </c>
      <c r="B150" s="285" t="s">
        <v>271</v>
      </c>
      <c r="C150" s="295"/>
      <c r="D150" s="295"/>
      <c r="E150" s="295"/>
      <c r="F150" s="295"/>
      <c r="G150" s="295"/>
      <c r="H150" s="295"/>
      <c r="I150" s="295"/>
    </row>
    <row r="151" spans="1:9" ht="20.100000000000001" customHeight="1" x14ac:dyDescent="0.2">
      <c r="A151" s="277">
        <v>18</v>
      </c>
      <c r="B151" s="285" t="s">
        <v>977</v>
      </c>
      <c r="C151" s="293">
        <f>+data!M696</f>
        <v>3760678</v>
      </c>
      <c r="D151" s="293">
        <f>+data!M697</f>
        <v>0</v>
      </c>
      <c r="E151" s="293">
        <f>+data!M698</f>
        <v>15010371</v>
      </c>
      <c r="F151" s="293">
        <f>+data!M699</f>
        <v>0</v>
      </c>
      <c r="G151" s="293">
        <f>+data!M700</f>
        <v>0</v>
      </c>
      <c r="H151" s="293">
        <f>+data!M701</f>
        <v>26217597</v>
      </c>
      <c r="I151" s="293">
        <f>+data!M702</f>
        <v>73</v>
      </c>
    </row>
    <row r="152" spans="1:9" ht="20.100000000000001" customHeight="1" x14ac:dyDescent="0.2">
      <c r="A152" s="277">
        <v>19</v>
      </c>
      <c r="B152" s="293" t="s">
        <v>978</v>
      </c>
      <c r="C152" s="285">
        <f>data!AE87</f>
        <v>14740468.33</v>
      </c>
      <c r="D152" s="285">
        <f>data!AF87</f>
        <v>0</v>
      </c>
      <c r="E152" s="285">
        <f>data!AG87</f>
        <v>42607148.740000002</v>
      </c>
      <c r="F152" s="285">
        <f>data!AH87</f>
        <v>0</v>
      </c>
      <c r="G152" s="285">
        <f>data!AI87</f>
        <v>0</v>
      </c>
      <c r="H152" s="285">
        <f>data!AJ87</f>
        <v>28140496.41</v>
      </c>
      <c r="I152" s="285">
        <f>data!AK87</f>
        <v>0</v>
      </c>
    </row>
    <row r="153" spans="1:9" ht="20.100000000000001" customHeight="1" x14ac:dyDescent="0.2">
      <c r="A153" s="277">
        <v>20</v>
      </c>
      <c r="B153" s="293" t="s">
        <v>979</v>
      </c>
      <c r="C153" s="285">
        <f>data!AE88</f>
        <v>24284553.59</v>
      </c>
      <c r="D153" s="285">
        <f>data!AF88</f>
        <v>0</v>
      </c>
      <c r="E153" s="285">
        <f>data!AG88</f>
        <v>134302898.56999999</v>
      </c>
      <c r="F153" s="285">
        <f>data!AH88</f>
        <v>0</v>
      </c>
      <c r="G153" s="285">
        <f>data!AI88</f>
        <v>0</v>
      </c>
      <c r="H153" s="285">
        <f>data!AJ88</f>
        <v>169702766.30000001</v>
      </c>
      <c r="I153" s="285">
        <f>data!AK88</f>
        <v>0</v>
      </c>
    </row>
    <row r="154" spans="1:9" ht="20.100000000000001" customHeight="1" x14ac:dyDescent="0.2">
      <c r="A154" s="277">
        <v>21</v>
      </c>
      <c r="B154" s="293" t="s">
        <v>980</v>
      </c>
      <c r="C154" s="285">
        <f>data!AE89</f>
        <v>39025021.920000002</v>
      </c>
      <c r="D154" s="285">
        <f>data!AF89</f>
        <v>0</v>
      </c>
      <c r="E154" s="285">
        <f>data!AG89</f>
        <v>176910047.31</v>
      </c>
      <c r="F154" s="285">
        <f>data!AH89</f>
        <v>0</v>
      </c>
      <c r="G154" s="285">
        <f>data!AI89</f>
        <v>0</v>
      </c>
      <c r="H154" s="285">
        <f>data!AJ89</f>
        <v>197843262.71000001</v>
      </c>
      <c r="I154" s="285">
        <f>data!AK89</f>
        <v>0</v>
      </c>
    </row>
    <row r="155" spans="1:9" ht="20.100000000000001" customHeight="1" x14ac:dyDescent="0.2">
      <c r="A155" s="277" t="s">
        <v>981</v>
      </c>
      <c r="B155" s="285"/>
      <c r="C155" s="295"/>
      <c r="D155" s="295"/>
      <c r="E155" s="295"/>
      <c r="F155" s="295"/>
      <c r="G155" s="295"/>
      <c r="H155" s="295"/>
      <c r="I155" s="295"/>
    </row>
    <row r="156" spans="1:9" ht="20.100000000000001" customHeight="1" x14ac:dyDescent="0.2">
      <c r="A156" s="277">
        <v>22</v>
      </c>
      <c r="B156" s="285" t="s">
        <v>982</v>
      </c>
      <c r="C156" s="285">
        <f>data!AE90</f>
        <v>17259</v>
      </c>
      <c r="D156" s="285">
        <f>data!AF90</f>
        <v>0</v>
      </c>
      <c r="E156" s="285">
        <f>data!AG90</f>
        <v>55060</v>
      </c>
      <c r="F156" s="285">
        <f>data!AH90</f>
        <v>0</v>
      </c>
      <c r="G156" s="285">
        <f>data!AI90</f>
        <v>0</v>
      </c>
      <c r="H156" s="285">
        <f>data!AJ90</f>
        <v>144637</v>
      </c>
      <c r="I156" s="285">
        <f>data!AK90</f>
        <v>0</v>
      </c>
    </row>
    <row r="157" spans="1:9" ht="20.100000000000001" customHeight="1" x14ac:dyDescent="0.2">
      <c r="A157" s="277">
        <v>23</v>
      </c>
      <c r="B157" s="285" t="s">
        <v>983</v>
      </c>
      <c r="C157" s="285">
        <f>data!AE91</f>
        <v>0</v>
      </c>
      <c r="D157" s="285">
        <f>data!AF91</f>
        <v>0</v>
      </c>
      <c r="E157" s="285">
        <f>data!AG91</f>
        <v>5923</v>
      </c>
      <c r="F157" s="285">
        <f>data!AH91</f>
        <v>0</v>
      </c>
      <c r="G157" s="285">
        <f>data!AI91</f>
        <v>0</v>
      </c>
      <c r="H157" s="285">
        <f>data!AJ91</f>
        <v>0</v>
      </c>
      <c r="I157" s="285">
        <f>data!AK91</f>
        <v>0</v>
      </c>
    </row>
    <row r="158" spans="1:9" ht="20.100000000000001" customHeight="1" x14ac:dyDescent="0.2">
      <c r="A158" s="277">
        <v>24</v>
      </c>
      <c r="B158" s="285" t="s">
        <v>984</v>
      </c>
      <c r="C158" s="285">
        <f>data!AE92</f>
        <v>2235.6999999999998</v>
      </c>
      <c r="D158" s="285">
        <f>data!AF92</f>
        <v>0</v>
      </c>
      <c r="E158" s="285">
        <f>data!AG92</f>
        <v>7022.44</v>
      </c>
      <c r="F158" s="285">
        <f>data!AH92</f>
        <v>0</v>
      </c>
      <c r="G158" s="285">
        <f>data!AI92</f>
        <v>0</v>
      </c>
      <c r="H158" s="285">
        <f>data!AJ92</f>
        <v>18447.22</v>
      </c>
      <c r="I158" s="285">
        <f>data!AK92</f>
        <v>0</v>
      </c>
    </row>
    <row r="159" spans="1:9" ht="20.100000000000001" customHeight="1" x14ac:dyDescent="0.2">
      <c r="A159" s="277">
        <v>25</v>
      </c>
      <c r="B159" s="285" t="s">
        <v>985</v>
      </c>
      <c r="C159" s="285">
        <f>data!AE93</f>
        <v>0</v>
      </c>
      <c r="D159" s="285">
        <f>data!AF93</f>
        <v>0</v>
      </c>
      <c r="E159" s="285">
        <f>data!AG93</f>
        <v>348593.04</v>
      </c>
      <c r="F159" s="285">
        <f>data!AH93</f>
        <v>0</v>
      </c>
      <c r="G159" s="285">
        <f>data!AI93</f>
        <v>0</v>
      </c>
      <c r="H159" s="285">
        <f>data!AJ93</f>
        <v>60462.58</v>
      </c>
      <c r="I159" s="285">
        <f>data!AK93</f>
        <v>0</v>
      </c>
    </row>
    <row r="160" spans="1:9" ht="20.100000000000001" customHeight="1" x14ac:dyDescent="0.2">
      <c r="A160" s="277">
        <v>26</v>
      </c>
      <c r="B160" s="285" t="s">
        <v>279</v>
      </c>
      <c r="C160" s="292">
        <f>data!AE94</f>
        <v>0</v>
      </c>
      <c r="D160" s="292">
        <f>data!AF94</f>
        <v>0</v>
      </c>
      <c r="E160" s="292">
        <f>data!AG94</f>
        <v>68.222889423076921</v>
      </c>
      <c r="F160" s="292">
        <f>data!AH94</f>
        <v>0</v>
      </c>
      <c r="G160" s="292">
        <f>data!AI94</f>
        <v>0</v>
      </c>
      <c r="H160" s="292">
        <f>data!AJ94</f>
        <v>56.683245192307687</v>
      </c>
      <c r="I160" s="292">
        <f>data!AK94</f>
        <v>0</v>
      </c>
    </row>
    <row r="161" spans="1:9" ht="20.100000000000001" customHeight="1" x14ac:dyDescent="0.2">
      <c r="A161" s="278" t="s">
        <v>967</v>
      </c>
      <c r="B161" s="279"/>
      <c r="C161" s="279"/>
      <c r="D161" s="279"/>
      <c r="E161" s="279"/>
      <c r="F161" s="279"/>
      <c r="G161" s="279"/>
      <c r="H161" s="279"/>
      <c r="I161" s="278"/>
    </row>
    <row r="162" spans="1:9" ht="20.100000000000001" customHeight="1" x14ac:dyDescent="0.2">
      <c r="D162" s="281"/>
      <c r="I162" s="282" t="s">
        <v>1001</v>
      </c>
    </row>
    <row r="163" spans="1:9" ht="20.100000000000001" customHeight="1" x14ac:dyDescent="0.2">
      <c r="A163" s="281"/>
    </row>
    <row r="164" spans="1:9" ht="20.100000000000001" customHeight="1" x14ac:dyDescent="0.2">
      <c r="A164" s="283" t="str">
        <f>"Hospital: "&amp;data!C98</f>
        <v>Hospital: EvergreenHealth Kirkland / King Country Public Hos #2</v>
      </c>
      <c r="G164" s="284"/>
      <c r="H164" s="283" t="str">
        <f>"FYE: "&amp;data!C96</f>
        <v>FYE: 12/31/2022</v>
      </c>
    </row>
    <row r="165" spans="1:9" ht="20.100000000000001" customHeight="1" x14ac:dyDescent="0.2">
      <c r="A165" s="277">
        <v>1</v>
      </c>
      <c r="B165" s="285" t="s">
        <v>221</v>
      </c>
      <c r="C165" s="287" t="s">
        <v>56</v>
      </c>
      <c r="D165" s="287" t="s">
        <v>57</v>
      </c>
      <c r="E165" s="287" t="s">
        <v>58</v>
      </c>
      <c r="F165" s="287" t="s">
        <v>59</v>
      </c>
      <c r="G165" s="287" t="s">
        <v>60</v>
      </c>
      <c r="H165" s="287" t="s">
        <v>61</v>
      </c>
      <c r="I165" s="287" t="s">
        <v>62</v>
      </c>
    </row>
    <row r="166" spans="1:9" ht="20.100000000000001" customHeight="1" x14ac:dyDescent="0.2">
      <c r="A166" s="288">
        <v>2</v>
      </c>
      <c r="B166" s="289" t="s">
        <v>969</v>
      </c>
      <c r="C166" s="291" t="s">
        <v>135</v>
      </c>
      <c r="D166" s="291" t="s">
        <v>136</v>
      </c>
      <c r="E166" s="291" t="s">
        <v>122</v>
      </c>
      <c r="F166" s="291" t="s">
        <v>137</v>
      </c>
      <c r="G166" s="291" t="s">
        <v>1002</v>
      </c>
      <c r="H166" s="291" t="s">
        <v>139</v>
      </c>
      <c r="I166" s="291" t="s">
        <v>140</v>
      </c>
    </row>
    <row r="167" spans="1:9" ht="20.100000000000001" customHeight="1" x14ac:dyDescent="0.2">
      <c r="A167" s="288"/>
      <c r="B167" s="289"/>
      <c r="C167" s="291" t="s">
        <v>184</v>
      </c>
      <c r="D167" s="291" t="s">
        <v>184</v>
      </c>
      <c r="E167" s="291" t="s">
        <v>1003</v>
      </c>
      <c r="F167" s="291" t="s">
        <v>194</v>
      </c>
      <c r="G167" s="291" t="s">
        <v>133</v>
      </c>
      <c r="H167" s="290" t="s">
        <v>1004</v>
      </c>
      <c r="I167" s="291" t="s">
        <v>181</v>
      </c>
    </row>
    <row r="168" spans="1:9" ht="20.100000000000001" customHeight="1" x14ac:dyDescent="0.2">
      <c r="A168" s="277">
        <v>3</v>
      </c>
      <c r="B168" s="285" t="s">
        <v>973</v>
      </c>
      <c r="C168" s="287" t="s">
        <v>238</v>
      </c>
      <c r="D168" s="287" t="s">
        <v>238</v>
      </c>
      <c r="E168" s="287" t="s">
        <v>229</v>
      </c>
      <c r="F168" s="287" t="s">
        <v>239</v>
      </c>
      <c r="G168" s="287" t="s">
        <v>240</v>
      </c>
      <c r="H168" s="287" t="s">
        <v>241</v>
      </c>
      <c r="I168" s="287" t="s">
        <v>240</v>
      </c>
    </row>
    <row r="169" spans="1:9" ht="20.100000000000001" customHeight="1" x14ac:dyDescent="0.2">
      <c r="A169" s="277">
        <v>4</v>
      </c>
      <c r="B169" s="285" t="s">
        <v>246</v>
      </c>
      <c r="C169" s="285">
        <f>data!AL59</f>
        <v>0</v>
      </c>
      <c r="D169" s="285">
        <f>data!AM59</f>
        <v>0</v>
      </c>
      <c r="E169" s="285">
        <f>data!AN59</f>
        <v>0</v>
      </c>
      <c r="F169" s="285">
        <f>data!AO59</f>
        <v>0</v>
      </c>
      <c r="G169" s="285">
        <f>data!AP59</f>
        <v>371484</v>
      </c>
      <c r="H169" s="285">
        <f>data!AQ59</f>
        <v>0</v>
      </c>
      <c r="I169" s="285">
        <f>data!AR59</f>
        <v>264553</v>
      </c>
    </row>
    <row r="170" spans="1:9" ht="20.100000000000001" customHeight="1" x14ac:dyDescent="0.2">
      <c r="A170" s="277">
        <v>5</v>
      </c>
      <c r="B170" s="285" t="s">
        <v>247</v>
      </c>
      <c r="C170" s="292">
        <f>data!AL60</f>
        <v>0</v>
      </c>
      <c r="D170" s="292">
        <f>data!AM60</f>
        <v>0</v>
      </c>
      <c r="E170" s="292">
        <f>data!AN60</f>
        <v>0</v>
      </c>
      <c r="F170" s="292">
        <f>data!AO60</f>
        <v>0</v>
      </c>
      <c r="G170" s="292">
        <f>data!AP60</f>
        <v>389.87558653846156</v>
      </c>
      <c r="H170" s="292">
        <f>data!AQ60</f>
        <v>0</v>
      </c>
      <c r="I170" s="292">
        <f>data!AR60</f>
        <v>492.01</v>
      </c>
    </row>
    <row r="171" spans="1:9" ht="20.100000000000001" customHeight="1" x14ac:dyDescent="0.2">
      <c r="A171" s="277">
        <v>6</v>
      </c>
      <c r="B171" s="285" t="s">
        <v>248</v>
      </c>
      <c r="C171" s="285">
        <f>data!AL61</f>
        <v>0</v>
      </c>
      <c r="D171" s="285">
        <f>data!AM61</f>
        <v>0</v>
      </c>
      <c r="E171" s="285">
        <f>data!AN61</f>
        <v>0</v>
      </c>
      <c r="F171" s="285">
        <f>data!AO61</f>
        <v>0</v>
      </c>
      <c r="G171" s="285">
        <f>data!AP61</f>
        <v>52807579.600000009</v>
      </c>
      <c r="H171" s="285">
        <f>data!AQ61</f>
        <v>0</v>
      </c>
      <c r="I171" s="285">
        <f>data!AR61</f>
        <v>54988836.329999998</v>
      </c>
    </row>
    <row r="172" spans="1:9" ht="20.100000000000001" customHeight="1" x14ac:dyDescent="0.2">
      <c r="A172" s="277">
        <v>7</v>
      </c>
      <c r="B172" s="285" t="s">
        <v>9</v>
      </c>
      <c r="C172" s="285">
        <f>data!AL62</f>
        <v>0</v>
      </c>
      <c r="D172" s="285">
        <f>data!AM62</f>
        <v>0</v>
      </c>
      <c r="E172" s="285">
        <f>data!AN62</f>
        <v>0</v>
      </c>
      <c r="F172" s="285">
        <f>data!AO62</f>
        <v>0</v>
      </c>
      <c r="G172" s="285">
        <f>data!AP62</f>
        <v>10785873</v>
      </c>
      <c r="H172" s="285">
        <f>data!AQ62</f>
        <v>0</v>
      </c>
      <c r="I172" s="285">
        <f>data!AR62</f>
        <v>13068153</v>
      </c>
    </row>
    <row r="173" spans="1:9" ht="20.100000000000001" customHeight="1" x14ac:dyDescent="0.2">
      <c r="A173" s="277">
        <v>8</v>
      </c>
      <c r="B173" s="285" t="s">
        <v>249</v>
      </c>
      <c r="C173" s="285">
        <f>data!AL63</f>
        <v>0</v>
      </c>
      <c r="D173" s="285">
        <f>data!AM63</f>
        <v>0</v>
      </c>
      <c r="E173" s="285">
        <f>data!AN63</f>
        <v>0</v>
      </c>
      <c r="F173" s="285">
        <f>data!AO63</f>
        <v>0</v>
      </c>
      <c r="G173" s="285">
        <f>data!AP63</f>
        <v>6581890.8200000003</v>
      </c>
      <c r="H173" s="285">
        <f>data!AQ63</f>
        <v>0</v>
      </c>
      <c r="I173" s="285">
        <f>data!AR63</f>
        <v>6722.13</v>
      </c>
    </row>
    <row r="174" spans="1:9" ht="20.100000000000001" customHeight="1" x14ac:dyDescent="0.2">
      <c r="A174" s="277">
        <v>9</v>
      </c>
      <c r="B174" s="285" t="s">
        <v>250</v>
      </c>
      <c r="C174" s="285">
        <f>data!AL64</f>
        <v>0</v>
      </c>
      <c r="D174" s="285">
        <f>data!AM64</f>
        <v>0</v>
      </c>
      <c r="E174" s="285">
        <f>data!AN64</f>
        <v>0</v>
      </c>
      <c r="F174" s="285">
        <f>data!AO64</f>
        <v>0</v>
      </c>
      <c r="G174" s="285">
        <f>data!AP64</f>
        <v>8077516.0599999987</v>
      </c>
      <c r="H174" s="285">
        <f>data!AQ64</f>
        <v>0</v>
      </c>
      <c r="I174" s="285">
        <f>data!AR64</f>
        <v>3882863.02</v>
      </c>
    </row>
    <row r="175" spans="1:9" ht="20.100000000000001" customHeight="1" x14ac:dyDescent="0.2">
      <c r="A175" s="277">
        <v>10</v>
      </c>
      <c r="B175" s="285" t="s">
        <v>497</v>
      </c>
      <c r="C175" s="285">
        <f>data!AL65</f>
        <v>0</v>
      </c>
      <c r="D175" s="285">
        <f>data!AM65</f>
        <v>0</v>
      </c>
      <c r="E175" s="285">
        <f>data!AN65</f>
        <v>0</v>
      </c>
      <c r="F175" s="285">
        <f>data!AO65</f>
        <v>0</v>
      </c>
      <c r="G175" s="285">
        <f>data!AP65</f>
        <v>211752.8</v>
      </c>
      <c r="H175" s="285">
        <f>data!AQ65</f>
        <v>0</v>
      </c>
      <c r="I175" s="285">
        <f>data!AR65</f>
        <v>313373.75</v>
      </c>
    </row>
    <row r="176" spans="1:9" ht="20.100000000000001" customHeight="1" x14ac:dyDescent="0.2">
      <c r="A176" s="277">
        <v>11</v>
      </c>
      <c r="B176" s="285" t="s">
        <v>498</v>
      </c>
      <c r="C176" s="285">
        <f>data!AL66</f>
        <v>0</v>
      </c>
      <c r="D176" s="285">
        <f>data!AM66</f>
        <v>0</v>
      </c>
      <c r="E176" s="285">
        <f>data!AN66</f>
        <v>0</v>
      </c>
      <c r="F176" s="285">
        <f>data!AO66</f>
        <v>0</v>
      </c>
      <c r="G176" s="285">
        <f>data!AP66</f>
        <v>1616489.58</v>
      </c>
      <c r="H176" s="285">
        <f>data!AQ66</f>
        <v>0</v>
      </c>
      <c r="I176" s="285">
        <f>data!AR66</f>
        <v>2341749.9299999997</v>
      </c>
    </row>
    <row r="177" spans="1:9" ht="20.100000000000001" customHeight="1" x14ac:dyDescent="0.2">
      <c r="A177" s="277">
        <v>12</v>
      </c>
      <c r="B177" s="285" t="s">
        <v>11</v>
      </c>
      <c r="C177" s="285">
        <f>data!AL67</f>
        <v>0</v>
      </c>
      <c r="D177" s="285">
        <f>data!AM67</f>
        <v>0</v>
      </c>
      <c r="E177" s="285">
        <f>data!AN67</f>
        <v>0</v>
      </c>
      <c r="F177" s="285">
        <f>data!AO67</f>
        <v>0</v>
      </c>
      <c r="G177" s="285">
        <f>data!AP67</f>
        <v>7393473</v>
      </c>
      <c r="H177" s="285">
        <f>data!AQ67</f>
        <v>0</v>
      </c>
      <c r="I177" s="285">
        <f>data!AR67</f>
        <v>587586</v>
      </c>
    </row>
    <row r="178" spans="1:9" ht="20.100000000000001" customHeight="1" x14ac:dyDescent="0.2">
      <c r="A178" s="277">
        <v>13</v>
      </c>
      <c r="B178" s="285" t="s">
        <v>974</v>
      </c>
      <c r="C178" s="285">
        <f>data!AL68</f>
        <v>0</v>
      </c>
      <c r="D178" s="285">
        <f>data!AM68</f>
        <v>0</v>
      </c>
      <c r="E178" s="285">
        <f>data!AN68</f>
        <v>0</v>
      </c>
      <c r="F178" s="285">
        <f>data!AO68</f>
        <v>0</v>
      </c>
      <c r="G178" s="285">
        <f>data!AP68</f>
        <v>2063151.43</v>
      </c>
      <c r="H178" s="285">
        <f>data!AQ68</f>
        <v>0</v>
      </c>
      <c r="I178" s="285">
        <f>data!AR68</f>
        <v>1007970.06</v>
      </c>
    </row>
    <row r="179" spans="1:9" ht="20.100000000000001" customHeight="1" x14ac:dyDescent="0.2">
      <c r="A179" s="277">
        <v>14</v>
      </c>
      <c r="B179" s="285" t="s">
        <v>975</v>
      </c>
      <c r="C179" s="285">
        <f>data!AL69</f>
        <v>0</v>
      </c>
      <c r="D179" s="285">
        <f>data!AM69</f>
        <v>0</v>
      </c>
      <c r="E179" s="285">
        <f>data!AN69</f>
        <v>0</v>
      </c>
      <c r="F179" s="285">
        <f>data!AO69</f>
        <v>0</v>
      </c>
      <c r="G179" s="285">
        <f>data!AP69</f>
        <v>1108417.8600000001</v>
      </c>
      <c r="H179" s="285">
        <f>data!AQ69</f>
        <v>0</v>
      </c>
      <c r="I179" s="285">
        <f>data!AR69</f>
        <v>1337367.73</v>
      </c>
    </row>
    <row r="180" spans="1:9" ht="20.100000000000001" customHeight="1" x14ac:dyDescent="0.2">
      <c r="A180" s="277">
        <v>15</v>
      </c>
      <c r="B180" s="285" t="s">
        <v>269</v>
      </c>
      <c r="C180" s="285">
        <f>data!AL70</f>
        <v>0</v>
      </c>
      <c r="D180" s="285">
        <f>data!AM70</f>
        <v>0</v>
      </c>
      <c r="E180" s="285">
        <f>data!AN70</f>
        <v>0</v>
      </c>
      <c r="F180" s="285">
        <f>data!AO70</f>
        <v>0</v>
      </c>
      <c r="G180" s="285">
        <f>data!AP70</f>
        <v>0</v>
      </c>
      <c r="H180" s="285">
        <f>data!AQ70</f>
        <v>0</v>
      </c>
      <c r="I180" s="285">
        <f>data!AR70</f>
        <v>0</v>
      </c>
    </row>
    <row r="181" spans="1:9" ht="20.100000000000001" customHeight="1" x14ac:dyDescent="0.2">
      <c r="A181" s="277">
        <v>16</v>
      </c>
      <c r="B181" s="293" t="s">
        <v>976</v>
      </c>
      <c r="C181" s="285">
        <f>data!AL85</f>
        <v>0</v>
      </c>
      <c r="D181" s="285">
        <f>data!AM85</f>
        <v>0</v>
      </c>
      <c r="E181" s="285">
        <f>data!AN85</f>
        <v>0</v>
      </c>
      <c r="F181" s="285">
        <f>data!AO85</f>
        <v>0</v>
      </c>
      <c r="G181" s="285">
        <f>data!AP85</f>
        <v>88967688.780000016</v>
      </c>
      <c r="H181" s="285">
        <f>data!AQ85</f>
        <v>0</v>
      </c>
      <c r="I181" s="285">
        <f>data!AR85</f>
        <v>77488308.140000001</v>
      </c>
    </row>
    <row r="182" spans="1:9" ht="20.100000000000001" customHeight="1" x14ac:dyDescent="0.2">
      <c r="A182" s="277">
        <v>17</v>
      </c>
      <c r="B182" s="285" t="s">
        <v>271</v>
      </c>
      <c r="C182" s="295"/>
      <c r="D182" s="295"/>
      <c r="E182" s="295"/>
      <c r="F182" s="295"/>
      <c r="G182" s="295"/>
      <c r="H182" s="295"/>
      <c r="I182" s="295"/>
    </row>
    <row r="183" spans="1:9" ht="20.100000000000001" customHeight="1" x14ac:dyDescent="0.2">
      <c r="A183" s="277">
        <v>18</v>
      </c>
      <c r="B183" s="285" t="s">
        <v>977</v>
      </c>
      <c r="C183" s="293">
        <f>+data!M703</f>
        <v>0</v>
      </c>
      <c r="D183" s="293">
        <f>+data!M704</f>
        <v>0</v>
      </c>
      <c r="E183" s="293">
        <f>+data!M705</f>
        <v>0</v>
      </c>
      <c r="F183" s="293">
        <f>+data!M706</f>
        <v>0</v>
      </c>
      <c r="G183" s="293">
        <f>+data!M707</f>
        <v>17135695</v>
      </c>
      <c r="H183" s="293">
        <f>+data!M708</f>
        <v>0</v>
      </c>
      <c r="I183" s="293">
        <f>+data!M709</f>
        <v>17224107</v>
      </c>
    </row>
    <row r="184" spans="1:9" ht="20.100000000000001" customHeight="1" x14ac:dyDescent="0.2">
      <c r="A184" s="277">
        <v>19</v>
      </c>
      <c r="B184" s="293" t="s">
        <v>978</v>
      </c>
      <c r="C184" s="285">
        <f>data!AL87</f>
        <v>0</v>
      </c>
      <c r="D184" s="285">
        <f>data!AM87</f>
        <v>0</v>
      </c>
      <c r="E184" s="285">
        <f>data!AN87</f>
        <v>0</v>
      </c>
      <c r="F184" s="285">
        <f>data!AO87</f>
        <v>0</v>
      </c>
      <c r="G184" s="285">
        <f>data!AP87</f>
        <v>3600398.46</v>
      </c>
      <c r="H184" s="285">
        <f>data!AQ87</f>
        <v>0</v>
      </c>
      <c r="I184" s="285">
        <f>data!AR87</f>
        <v>1991.94</v>
      </c>
    </row>
    <row r="185" spans="1:9" ht="20.100000000000001" customHeight="1" x14ac:dyDescent="0.2">
      <c r="A185" s="277">
        <v>20</v>
      </c>
      <c r="B185" s="293" t="s">
        <v>979</v>
      </c>
      <c r="C185" s="285">
        <f>data!AL88</f>
        <v>0</v>
      </c>
      <c r="D185" s="285">
        <f>data!AM88</f>
        <v>0</v>
      </c>
      <c r="E185" s="285">
        <f>data!AN88</f>
        <v>0</v>
      </c>
      <c r="F185" s="285">
        <f>data!AO88</f>
        <v>0</v>
      </c>
      <c r="G185" s="285">
        <f>data!AP88</f>
        <v>135690965.63999999</v>
      </c>
      <c r="H185" s="285">
        <f>data!AQ88</f>
        <v>0</v>
      </c>
      <c r="I185" s="285">
        <f>data!AR88</f>
        <v>141858943.35999998</v>
      </c>
    </row>
    <row r="186" spans="1:9" ht="20.100000000000001" customHeight="1" x14ac:dyDescent="0.2">
      <c r="A186" s="277">
        <v>21</v>
      </c>
      <c r="B186" s="293" t="s">
        <v>980</v>
      </c>
      <c r="C186" s="285">
        <f>data!AL89</f>
        <v>0</v>
      </c>
      <c r="D186" s="285">
        <f>data!AM89</f>
        <v>0</v>
      </c>
      <c r="E186" s="285">
        <f>data!AN89</f>
        <v>0</v>
      </c>
      <c r="F186" s="285">
        <f>data!AO89</f>
        <v>0</v>
      </c>
      <c r="G186" s="285">
        <f>data!AP89</f>
        <v>139291364.09999999</v>
      </c>
      <c r="H186" s="285">
        <f>data!AQ89</f>
        <v>0</v>
      </c>
      <c r="I186" s="285">
        <f>data!AR89</f>
        <v>141860935.29999998</v>
      </c>
    </row>
    <row r="187" spans="1:9" ht="20.100000000000001" customHeight="1" x14ac:dyDescent="0.2">
      <c r="A187" s="277" t="s">
        <v>981</v>
      </c>
      <c r="B187" s="285"/>
      <c r="C187" s="295"/>
      <c r="D187" s="295"/>
      <c r="E187" s="295"/>
      <c r="F187" s="295"/>
      <c r="G187" s="295"/>
      <c r="H187" s="295"/>
      <c r="I187" s="295"/>
    </row>
    <row r="188" spans="1:9" ht="20.100000000000001" customHeight="1" x14ac:dyDescent="0.2">
      <c r="A188" s="277">
        <v>22</v>
      </c>
      <c r="B188" s="285" t="s">
        <v>982</v>
      </c>
      <c r="C188" s="285">
        <f>data!AL90</f>
        <v>0</v>
      </c>
      <c r="D188" s="285">
        <f>data!AM90</f>
        <v>0</v>
      </c>
      <c r="E188" s="285">
        <f>data!AN90</f>
        <v>0</v>
      </c>
      <c r="F188" s="285">
        <f>data!AO90</f>
        <v>0</v>
      </c>
      <c r="G188" s="285">
        <f>data!AP90</f>
        <v>45968</v>
      </c>
      <c r="H188" s="285">
        <f>data!AQ90</f>
        <v>0</v>
      </c>
      <c r="I188" s="285">
        <f>data!AR90</f>
        <v>0</v>
      </c>
    </row>
    <row r="189" spans="1:9" ht="20.100000000000001" customHeight="1" x14ac:dyDescent="0.2">
      <c r="A189" s="277">
        <v>23</v>
      </c>
      <c r="B189" s="285" t="s">
        <v>983</v>
      </c>
      <c r="C189" s="285">
        <f>data!AL91</f>
        <v>0</v>
      </c>
      <c r="D189" s="285">
        <f>data!AM91</f>
        <v>0</v>
      </c>
      <c r="E189" s="285">
        <f>data!AN91</f>
        <v>0</v>
      </c>
      <c r="F189" s="285">
        <f>data!AO91</f>
        <v>0</v>
      </c>
      <c r="G189" s="285">
        <f>data!AP91</f>
        <v>0</v>
      </c>
      <c r="H189" s="285">
        <f>data!AQ91</f>
        <v>0</v>
      </c>
      <c r="I189" s="285">
        <f>data!AR91</f>
        <v>0</v>
      </c>
    </row>
    <row r="190" spans="1:9" ht="20.100000000000001" customHeight="1" x14ac:dyDescent="0.2">
      <c r="A190" s="277">
        <v>24</v>
      </c>
      <c r="B190" s="285" t="s">
        <v>984</v>
      </c>
      <c r="C190" s="285">
        <f>data!AL92</f>
        <v>0</v>
      </c>
      <c r="D190" s="285">
        <f>data!AM92</f>
        <v>0</v>
      </c>
      <c r="E190" s="285">
        <f>data!AN92</f>
        <v>0</v>
      </c>
      <c r="F190" s="285">
        <f>data!AO92</f>
        <v>0</v>
      </c>
      <c r="G190" s="285">
        <f>data!AP92</f>
        <v>5862.8</v>
      </c>
      <c r="H190" s="285">
        <f>data!AQ92</f>
        <v>0</v>
      </c>
      <c r="I190" s="285">
        <f>data!AR92</f>
        <v>0</v>
      </c>
    </row>
    <row r="191" spans="1:9" ht="20.100000000000001" customHeight="1" x14ac:dyDescent="0.2">
      <c r="A191" s="277">
        <v>25</v>
      </c>
      <c r="B191" s="285" t="s">
        <v>985</v>
      </c>
      <c r="C191" s="285">
        <f>data!AL93</f>
        <v>0</v>
      </c>
      <c r="D191" s="285">
        <f>data!AM93</f>
        <v>0</v>
      </c>
      <c r="E191" s="285">
        <f>data!AN93</f>
        <v>0</v>
      </c>
      <c r="F191" s="285">
        <f>data!AO93</f>
        <v>0</v>
      </c>
      <c r="G191" s="285">
        <f>data!AP93</f>
        <v>0</v>
      </c>
      <c r="H191" s="285">
        <f>data!AQ93</f>
        <v>0</v>
      </c>
      <c r="I191" s="285">
        <f>data!AR93</f>
        <v>0</v>
      </c>
    </row>
    <row r="192" spans="1:9" ht="20.100000000000001" customHeight="1" x14ac:dyDescent="0.2">
      <c r="A192" s="277">
        <v>26</v>
      </c>
      <c r="B192" s="285" t="s">
        <v>279</v>
      </c>
      <c r="C192" s="292">
        <f>data!AL94</f>
        <v>0</v>
      </c>
      <c r="D192" s="292">
        <f>data!AM94</f>
        <v>0</v>
      </c>
      <c r="E192" s="292">
        <f>data!AN94</f>
        <v>0</v>
      </c>
      <c r="F192" s="292">
        <f>data!AO94</f>
        <v>0</v>
      </c>
      <c r="G192" s="292">
        <f>data!AP94</f>
        <v>16.23483173076923</v>
      </c>
      <c r="H192" s="292">
        <f>data!AQ94</f>
        <v>0</v>
      </c>
      <c r="I192" s="292">
        <f>data!AR94</f>
        <v>175.07</v>
      </c>
    </row>
    <row r="193" spans="1:9" ht="20.100000000000001" customHeight="1" x14ac:dyDescent="0.2">
      <c r="A193" s="278" t="s">
        <v>967</v>
      </c>
      <c r="B193" s="279"/>
      <c r="C193" s="279"/>
      <c r="D193" s="279"/>
      <c r="E193" s="279"/>
      <c r="F193" s="279"/>
      <c r="G193" s="279"/>
      <c r="H193" s="279"/>
      <c r="I193" s="278"/>
    </row>
    <row r="194" spans="1:9" ht="20.100000000000001" customHeight="1" x14ac:dyDescent="0.2">
      <c r="D194" s="281"/>
      <c r="I194" s="282" t="s">
        <v>1005</v>
      </c>
    </row>
    <row r="195" spans="1:9" ht="20.100000000000001" customHeight="1" x14ac:dyDescent="0.2">
      <c r="A195" s="281"/>
    </row>
    <row r="196" spans="1:9" ht="20.100000000000001" customHeight="1" x14ac:dyDescent="0.2">
      <c r="A196" s="283" t="str">
        <f>"Hospital: "&amp;data!C98</f>
        <v>Hospital: EvergreenHealth Kirkland / King Country Public Hos #2</v>
      </c>
      <c r="G196" s="284"/>
      <c r="H196" s="283" t="str">
        <f>"FYE: "&amp;data!C96</f>
        <v>FYE: 12/31/2022</v>
      </c>
    </row>
    <row r="197" spans="1:9" ht="20.100000000000001" customHeight="1" x14ac:dyDescent="0.2">
      <c r="A197" s="277">
        <v>1</v>
      </c>
      <c r="B197" s="285" t="s">
        <v>221</v>
      </c>
      <c r="C197" s="287" t="s">
        <v>63</v>
      </c>
      <c r="D197" s="287" t="s">
        <v>64</v>
      </c>
      <c r="E197" s="287" t="s">
        <v>65</v>
      </c>
      <c r="F197" s="287" t="s">
        <v>66</v>
      </c>
      <c r="G197" s="287" t="s">
        <v>67</v>
      </c>
      <c r="H197" s="287" t="s">
        <v>68</v>
      </c>
      <c r="I197" s="287" t="s">
        <v>69</v>
      </c>
    </row>
    <row r="198" spans="1:9" ht="20.100000000000001" customHeight="1" x14ac:dyDescent="0.2">
      <c r="A198" s="288">
        <v>2</v>
      </c>
      <c r="B198" s="289" t="s">
        <v>969</v>
      </c>
      <c r="C198" s="291"/>
      <c r="D198" s="291" t="s">
        <v>142</v>
      </c>
      <c r="E198" s="291" t="s">
        <v>143</v>
      </c>
      <c r="F198" s="291" t="s">
        <v>144</v>
      </c>
      <c r="G198" s="291" t="s">
        <v>1006</v>
      </c>
      <c r="H198" s="291" t="s">
        <v>146</v>
      </c>
      <c r="I198" s="291"/>
    </row>
    <row r="199" spans="1:9" ht="20.100000000000001" customHeight="1" x14ac:dyDescent="0.2">
      <c r="A199" s="288"/>
      <c r="B199" s="289"/>
      <c r="C199" s="291" t="s">
        <v>141</v>
      </c>
      <c r="D199" s="291" t="s">
        <v>243</v>
      </c>
      <c r="E199" s="291" t="s">
        <v>1007</v>
      </c>
      <c r="F199" s="291" t="s">
        <v>198</v>
      </c>
      <c r="G199" s="291" t="s">
        <v>213</v>
      </c>
      <c r="H199" s="291" t="s">
        <v>200</v>
      </c>
      <c r="I199" s="291" t="s">
        <v>147</v>
      </c>
    </row>
    <row r="200" spans="1:9" ht="20.100000000000001" customHeight="1" x14ac:dyDescent="0.2">
      <c r="A200" s="277">
        <v>3</v>
      </c>
      <c r="B200" s="285" t="s">
        <v>973</v>
      </c>
      <c r="C200" s="287" t="s">
        <v>238</v>
      </c>
      <c r="D200" s="287" t="s">
        <v>243</v>
      </c>
      <c r="E200" s="287" t="s">
        <v>240</v>
      </c>
      <c r="F200" s="297"/>
      <c r="G200" s="297"/>
      <c r="H200" s="297"/>
      <c r="I200" s="287" t="s">
        <v>244</v>
      </c>
    </row>
    <row r="201" spans="1:9" ht="20.100000000000001" customHeight="1" x14ac:dyDescent="0.2">
      <c r="A201" s="277">
        <v>4</v>
      </c>
      <c r="B201" s="285" t="s">
        <v>246</v>
      </c>
      <c r="C201" s="285">
        <f>data!AS59</f>
        <v>0</v>
      </c>
      <c r="D201" s="285">
        <f>data!AT59</f>
        <v>0</v>
      </c>
      <c r="E201" s="285">
        <f>data!AU59</f>
        <v>0</v>
      </c>
      <c r="F201" s="297"/>
      <c r="G201" s="297"/>
      <c r="H201" s="297"/>
      <c r="I201" s="285">
        <f>data!AY59</f>
        <v>0</v>
      </c>
    </row>
    <row r="202" spans="1:9" ht="20.100000000000001" customHeight="1" x14ac:dyDescent="0.2">
      <c r="A202" s="277">
        <v>5</v>
      </c>
      <c r="B202" s="285" t="s">
        <v>247</v>
      </c>
      <c r="C202" s="292">
        <f>data!AS60</f>
        <v>0</v>
      </c>
      <c r="D202" s="292">
        <f>data!AT60</f>
        <v>0</v>
      </c>
      <c r="E202" s="292">
        <f>data!AU60</f>
        <v>0</v>
      </c>
      <c r="F202" s="292">
        <f>data!AV60</f>
        <v>23.968250000000001</v>
      </c>
      <c r="G202" s="292">
        <f>data!AW60</f>
        <v>22.016120192307696</v>
      </c>
      <c r="H202" s="292">
        <f>data!AX60</f>
        <v>0</v>
      </c>
      <c r="I202" s="292">
        <f>data!AY60</f>
        <v>0</v>
      </c>
    </row>
    <row r="203" spans="1:9" ht="20.100000000000001" customHeight="1" x14ac:dyDescent="0.2">
      <c r="A203" s="277">
        <v>6</v>
      </c>
      <c r="B203" s="285" t="s">
        <v>248</v>
      </c>
      <c r="C203" s="285">
        <f>data!AS61</f>
        <v>0</v>
      </c>
      <c r="D203" s="285">
        <f>data!AT61</f>
        <v>0</v>
      </c>
      <c r="E203" s="285">
        <f>data!AU61</f>
        <v>0</v>
      </c>
      <c r="F203" s="285">
        <f>data!AV61</f>
        <v>2903558.61</v>
      </c>
      <c r="G203" s="285">
        <f>data!AW61</f>
        <v>1982988.4100000004</v>
      </c>
      <c r="H203" s="285">
        <f>data!AX61</f>
        <v>0</v>
      </c>
      <c r="I203" s="285">
        <f>data!AY61</f>
        <v>0</v>
      </c>
    </row>
    <row r="204" spans="1:9" ht="20.100000000000001" customHeight="1" x14ac:dyDescent="0.2">
      <c r="A204" s="277">
        <v>7</v>
      </c>
      <c r="B204" s="285" t="s">
        <v>9</v>
      </c>
      <c r="C204" s="285">
        <f>data!AS62</f>
        <v>0</v>
      </c>
      <c r="D204" s="285">
        <f>data!AT62</f>
        <v>0</v>
      </c>
      <c r="E204" s="285">
        <f>data!AU62</f>
        <v>0</v>
      </c>
      <c r="F204" s="285">
        <f>data!AV62</f>
        <v>633131</v>
      </c>
      <c r="G204" s="285">
        <f>data!AW62</f>
        <v>390305</v>
      </c>
      <c r="H204" s="285">
        <f>data!AX62</f>
        <v>0</v>
      </c>
      <c r="I204" s="285">
        <f>data!AY62</f>
        <v>0</v>
      </c>
    </row>
    <row r="205" spans="1:9" ht="20.100000000000001" customHeight="1" x14ac:dyDescent="0.2">
      <c r="A205" s="277">
        <v>8</v>
      </c>
      <c r="B205" s="285" t="s">
        <v>249</v>
      </c>
      <c r="C205" s="285">
        <f>data!AS63</f>
        <v>0</v>
      </c>
      <c r="D205" s="285">
        <f>data!AT63</f>
        <v>0</v>
      </c>
      <c r="E205" s="285">
        <f>data!AU63</f>
        <v>0</v>
      </c>
      <c r="F205" s="285">
        <f>data!AV63</f>
        <v>0</v>
      </c>
      <c r="G205" s="285">
        <f>data!AW63</f>
        <v>307335.82999999996</v>
      </c>
      <c r="H205" s="285">
        <f>data!AX63</f>
        <v>0</v>
      </c>
      <c r="I205" s="285">
        <f>data!AY63</f>
        <v>0</v>
      </c>
    </row>
    <row r="206" spans="1:9" ht="20.100000000000001" customHeight="1" x14ac:dyDescent="0.2">
      <c r="A206" s="277">
        <v>9</v>
      </c>
      <c r="B206" s="285" t="s">
        <v>250</v>
      </c>
      <c r="C206" s="285">
        <f>data!AS64</f>
        <v>0</v>
      </c>
      <c r="D206" s="285">
        <f>data!AT64</f>
        <v>0</v>
      </c>
      <c r="E206" s="285">
        <f>data!AU64</f>
        <v>0</v>
      </c>
      <c r="F206" s="285">
        <f>data!AV64</f>
        <v>9143633.6099999994</v>
      </c>
      <c r="G206" s="285">
        <f>data!AW64</f>
        <v>43133.59</v>
      </c>
      <c r="H206" s="285">
        <f>data!AX64</f>
        <v>339095.25999999995</v>
      </c>
      <c r="I206" s="285">
        <f>data!AY64</f>
        <v>0</v>
      </c>
    </row>
    <row r="207" spans="1:9" ht="20.100000000000001" customHeight="1" x14ac:dyDescent="0.2">
      <c r="A207" s="277">
        <v>10</v>
      </c>
      <c r="B207" s="285" t="s">
        <v>497</v>
      </c>
      <c r="C207" s="285">
        <f>data!AS65</f>
        <v>0</v>
      </c>
      <c r="D207" s="285">
        <f>data!AT65</f>
        <v>0</v>
      </c>
      <c r="E207" s="285">
        <f>data!AU65</f>
        <v>0</v>
      </c>
      <c r="F207" s="285">
        <f>data!AV65</f>
        <v>2645.24</v>
      </c>
      <c r="G207" s="285">
        <f>data!AW65</f>
        <v>0</v>
      </c>
      <c r="H207" s="285">
        <f>data!AX65</f>
        <v>3357.52</v>
      </c>
      <c r="I207" s="285">
        <f>data!AY65</f>
        <v>0</v>
      </c>
    </row>
    <row r="208" spans="1:9" ht="20.100000000000001" customHeight="1" x14ac:dyDescent="0.2">
      <c r="A208" s="277">
        <v>11</v>
      </c>
      <c r="B208" s="285" t="s">
        <v>498</v>
      </c>
      <c r="C208" s="285">
        <f>data!AS66</f>
        <v>0</v>
      </c>
      <c r="D208" s="285">
        <f>data!AT66</f>
        <v>0</v>
      </c>
      <c r="E208" s="285">
        <f>data!AU66</f>
        <v>0</v>
      </c>
      <c r="F208" s="285">
        <f>data!AV66</f>
        <v>688883.09</v>
      </c>
      <c r="G208" s="285">
        <f>data!AW66</f>
        <v>96716.060000000012</v>
      </c>
      <c r="H208" s="285">
        <f>data!AX66</f>
        <v>825386.48</v>
      </c>
      <c r="I208" s="285">
        <f>data!AY66</f>
        <v>0</v>
      </c>
    </row>
    <row r="209" spans="1:9" ht="20.100000000000001" customHeight="1" x14ac:dyDescent="0.2">
      <c r="A209" s="277">
        <v>12</v>
      </c>
      <c r="B209" s="285" t="s">
        <v>11</v>
      </c>
      <c r="C209" s="285">
        <f>data!AS67</f>
        <v>0</v>
      </c>
      <c r="D209" s="285">
        <f>data!AT67</f>
        <v>0</v>
      </c>
      <c r="E209" s="285">
        <f>data!AU67</f>
        <v>0</v>
      </c>
      <c r="F209" s="285">
        <f>data!AV67</f>
        <v>195144</v>
      </c>
      <c r="G209" s="285">
        <f>data!AW67</f>
        <v>34863</v>
      </c>
      <c r="H209" s="285">
        <f>data!AX67</f>
        <v>466612</v>
      </c>
      <c r="I209" s="285">
        <f>data!AY67</f>
        <v>0</v>
      </c>
    </row>
    <row r="210" spans="1:9" ht="20.100000000000001" customHeight="1" x14ac:dyDescent="0.2">
      <c r="A210" s="277">
        <v>13</v>
      </c>
      <c r="B210" s="285" t="s">
        <v>974</v>
      </c>
      <c r="C210" s="285">
        <f>data!AS68</f>
        <v>0</v>
      </c>
      <c r="D210" s="285">
        <f>data!AT68</f>
        <v>0</v>
      </c>
      <c r="E210" s="285">
        <f>data!AU68</f>
        <v>0</v>
      </c>
      <c r="F210" s="285">
        <f>data!AV68</f>
        <v>604.34</v>
      </c>
      <c r="G210" s="285">
        <f>data!AW68</f>
        <v>12224.73</v>
      </c>
      <c r="H210" s="285">
        <f>data!AX68</f>
        <v>977578.01</v>
      </c>
      <c r="I210" s="285">
        <f>data!AY68</f>
        <v>0</v>
      </c>
    </row>
    <row r="211" spans="1:9" ht="20.100000000000001" customHeight="1" x14ac:dyDescent="0.2">
      <c r="A211" s="277">
        <v>14</v>
      </c>
      <c r="B211" s="285" t="s">
        <v>975</v>
      </c>
      <c r="C211" s="285">
        <f>data!AS69</f>
        <v>0</v>
      </c>
      <c r="D211" s="285">
        <f>data!AT69</f>
        <v>0</v>
      </c>
      <c r="E211" s="285">
        <f>data!AU69</f>
        <v>0</v>
      </c>
      <c r="F211" s="285">
        <f>data!AV69</f>
        <v>7471</v>
      </c>
      <c r="G211" s="285">
        <f>data!AW69</f>
        <v>71226.929999999993</v>
      </c>
      <c r="H211" s="285">
        <f>data!AX69</f>
        <v>24243.25</v>
      </c>
      <c r="I211" s="285">
        <f>data!AY69</f>
        <v>0</v>
      </c>
    </row>
    <row r="212" spans="1:9" ht="20.100000000000001" customHeight="1" x14ac:dyDescent="0.2">
      <c r="A212" s="277">
        <v>15</v>
      </c>
      <c r="B212" s="285" t="s">
        <v>269</v>
      </c>
      <c r="C212" s="285">
        <f>-data!AS84</f>
        <v>0</v>
      </c>
      <c r="D212" s="285">
        <f>-data!AT84</f>
        <v>0</v>
      </c>
      <c r="E212" s="285">
        <f>-data!AU84</f>
        <v>0</v>
      </c>
      <c r="F212" s="285">
        <f>-data!AV84</f>
        <v>-9157965.2300000004</v>
      </c>
      <c r="G212" s="285">
        <f>-data!AW84</f>
        <v>-3587244.33</v>
      </c>
      <c r="H212" s="285">
        <f>-data!AX84</f>
        <v>0</v>
      </c>
      <c r="I212" s="285">
        <f>-data!AY84</f>
        <v>0</v>
      </c>
    </row>
    <row r="213" spans="1:9" ht="20.100000000000001" customHeight="1" x14ac:dyDescent="0.2">
      <c r="A213" s="277">
        <v>16</v>
      </c>
      <c r="B213" s="293" t="s">
        <v>976</v>
      </c>
      <c r="C213" s="285">
        <f>data!AS85</f>
        <v>0</v>
      </c>
      <c r="D213" s="285">
        <f>data!AT85</f>
        <v>0</v>
      </c>
      <c r="E213" s="285">
        <f>data!AU85</f>
        <v>0</v>
      </c>
      <c r="F213" s="285">
        <f>data!AV85</f>
        <v>4417105.6599999983</v>
      </c>
      <c r="G213" s="285">
        <f>data!AW85</f>
        <v>-648450.7799999998</v>
      </c>
      <c r="H213" s="285">
        <f>data!AX85</f>
        <v>2636272.52</v>
      </c>
      <c r="I213" s="285">
        <f>data!AY85</f>
        <v>0</v>
      </c>
    </row>
    <row r="214" spans="1:9" ht="20.100000000000001" customHeight="1" x14ac:dyDescent="0.2">
      <c r="A214" s="277">
        <v>17</v>
      </c>
      <c r="B214" s="285" t="s">
        <v>271</v>
      </c>
      <c r="C214" s="295"/>
      <c r="D214" s="295"/>
      <c r="E214" s="295"/>
      <c r="F214" s="295"/>
      <c r="G214" s="295"/>
      <c r="H214" s="295"/>
      <c r="I214" s="295"/>
    </row>
    <row r="215" spans="1:9" ht="20.100000000000001" customHeight="1" x14ac:dyDescent="0.2">
      <c r="A215" s="277">
        <v>18</v>
      </c>
      <c r="B215" s="285" t="s">
        <v>977</v>
      </c>
      <c r="C215" s="293">
        <f>+data!M710</f>
        <v>0</v>
      </c>
      <c r="D215" s="293">
        <f>+data!M711</f>
        <v>0</v>
      </c>
      <c r="E215" s="293">
        <f>+data!M712</f>
        <v>0</v>
      </c>
      <c r="F215" s="293">
        <f>+data!M713</f>
        <v>3011155</v>
      </c>
      <c r="G215" s="299"/>
      <c r="H215" s="285"/>
      <c r="I215" s="285"/>
    </row>
    <row r="216" spans="1:9" ht="20.100000000000001" customHeight="1" x14ac:dyDescent="0.2">
      <c r="A216" s="277">
        <v>19</v>
      </c>
      <c r="B216" s="293" t="s">
        <v>978</v>
      </c>
      <c r="C216" s="285">
        <f>data!AS87</f>
        <v>0</v>
      </c>
      <c r="D216" s="285">
        <f>data!AT87</f>
        <v>0</v>
      </c>
      <c r="E216" s="285">
        <f>data!AU87</f>
        <v>0</v>
      </c>
      <c r="F216" s="285">
        <f>data!AV87</f>
        <v>8091454.7400000002</v>
      </c>
      <c r="G216" s="300" t="str">
        <f>IF(data!AW73&gt;0,data!AW73,"")</f>
        <v/>
      </c>
      <c r="H216" s="300" t="str">
        <f>IF(data!AX73&gt;0,data!AX73,"")</f>
        <v/>
      </c>
      <c r="I216" s="300" t="str">
        <f>IF(data!AY73&gt;0,data!AY73,"")</f>
        <v/>
      </c>
    </row>
    <row r="217" spans="1:9" ht="20.100000000000001" customHeight="1" x14ac:dyDescent="0.2">
      <c r="A217" s="277">
        <v>20</v>
      </c>
      <c r="B217" s="293" t="s">
        <v>979</v>
      </c>
      <c r="C217" s="285">
        <f>data!AS88</f>
        <v>0</v>
      </c>
      <c r="D217" s="285">
        <f>data!AT88</f>
        <v>0</v>
      </c>
      <c r="E217" s="285">
        <f>data!AU88</f>
        <v>0</v>
      </c>
      <c r="F217" s="285">
        <f>data!AV88</f>
        <v>22026954.539999999</v>
      </c>
      <c r="G217" s="300" t="str">
        <f>IF(data!AW74&gt;0,data!AW74,"")</f>
        <v/>
      </c>
      <c r="H217" s="300" t="str">
        <f>IF(data!AX74&gt;0,data!AX74,"")</f>
        <v/>
      </c>
      <c r="I217" s="300" t="str">
        <f>IF(data!AY74&gt;0,data!AY74,"")</f>
        <v/>
      </c>
    </row>
    <row r="218" spans="1:9" ht="20.100000000000001" customHeight="1" x14ac:dyDescent="0.2">
      <c r="A218" s="277">
        <v>21</v>
      </c>
      <c r="B218" s="293" t="s">
        <v>980</v>
      </c>
      <c r="C218" s="285">
        <f>data!AS89</f>
        <v>0</v>
      </c>
      <c r="D218" s="285">
        <f>data!AT89</f>
        <v>0</v>
      </c>
      <c r="E218" s="285">
        <f>data!AU89</f>
        <v>0</v>
      </c>
      <c r="F218" s="285">
        <f>data!AV89</f>
        <v>30118409.280000001</v>
      </c>
      <c r="G218" s="300" t="str">
        <f>IF(data!AW75&gt;0,data!AW75,"")</f>
        <v/>
      </c>
      <c r="H218" s="300" t="str">
        <f>IF(data!AX75&gt;0,data!AX75,"")</f>
        <v/>
      </c>
      <c r="I218" s="300" t="str">
        <f>IF(data!AY75&gt;0,data!AY75,"")</f>
        <v/>
      </c>
    </row>
    <row r="219" spans="1:9" ht="20.100000000000001" customHeight="1" x14ac:dyDescent="0.2">
      <c r="A219" s="277" t="s">
        <v>981</v>
      </c>
      <c r="B219" s="285"/>
      <c r="C219" s="295"/>
      <c r="D219" s="295"/>
      <c r="E219" s="295"/>
      <c r="F219" s="295"/>
      <c r="G219" s="295"/>
      <c r="H219" s="295"/>
      <c r="I219" s="295"/>
    </row>
    <row r="220" spans="1:9" ht="20.100000000000001" customHeight="1" x14ac:dyDescent="0.2">
      <c r="A220" s="277">
        <v>22</v>
      </c>
      <c r="B220" s="285" t="s">
        <v>982</v>
      </c>
      <c r="C220" s="285">
        <f>data!AS90</f>
        <v>0</v>
      </c>
      <c r="D220" s="285">
        <f>data!AT90</f>
        <v>0</v>
      </c>
      <c r="E220" s="285">
        <f>data!AU90</f>
        <v>0</v>
      </c>
      <c r="F220" s="285">
        <f>data!AV90</f>
        <v>13135</v>
      </c>
      <c r="G220" s="285">
        <f>data!AW90</f>
        <v>3911</v>
      </c>
      <c r="H220" s="285">
        <f>data!AX90</f>
        <v>0</v>
      </c>
      <c r="I220" s="285">
        <f>data!AY90</f>
        <v>0</v>
      </c>
    </row>
    <row r="221" spans="1:9" ht="20.100000000000001" customHeight="1" x14ac:dyDescent="0.2">
      <c r="A221" s="277">
        <v>23</v>
      </c>
      <c r="B221" s="285" t="s">
        <v>983</v>
      </c>
      <c r="C221" s="285">
        <f>data!AS91</f>
        <v>0</v>
      </c>
      <c r="D221" s="285">
        <f>data!AT91</f>
        <v>0</v>
      </c>
      <c r="E221" s="285">
        <f>data!AU91</f>
        <v>0</v>
      </c>
      <c r="F221" s="285">
        <f>data!AV91</f>
        <v>0</v>
      </c>
      <c r="G221" s="285">
        <f>data!AW91</f>
        <v>0</v>
      </c>
      <c r="H221" s="300" t="str">
        <f>IF(data!AX77&gt;0,data!AX77,"")</f>
        <v/>
      </c>
      <c r="I221" s="300" t="str">
        <f>IF(data!AY77&gt;0,data!AY77,"")</f>
        <v/>
      </c>
    </row>
    <row r="222" spans="1:9" ht="20.100000000000001" customHeight="1" x14ac:dyDescent="0.2">
      <c r="A222" s="277">
        <v>24</v>
      </c>
      <c r="B222" s="285" t="s">
        <v>984</v>
      </c>
      <c r="C222" s="285">
        <f>data!AS92</f>
        <v>0</v>
      </c>
      <c r="D222" s="285">
        <f>data!AT92</f>
        <v>0</v>
      </c>
      <c r="E222" s="285">
        <f>data!AU92</f>
        <v>0</v>
      </c>
      <c r="F222" s="285">
        <f>data!AV92</f>
        <v>1675.22</v>
      </c>
      <c r="G222" s="285">
        <f>data!AW92</f>
        <v>498.81</v>
      </c>
      <c r="H222" s="300" t="str">
        <f>IF(data!AX78&gt;0,data!AX78,"")</f>
        <v/>
      </c>
      <c r="I222" s="300" t="str">
        <f>IF(data!AY78&gt;0,data!AY78,"")</f>
        <v/>
      </c>
    </row>
    <row r="223" spans="1:9" ht="20.100000000000001" customHeight="1" x14ac:dyDescent="0.2">
      <c r="A223" s="277">
        <v>25</v>
      </c>
      <c r="B223" s="285" t="s">
        <v>985</v>
      </c>
      <c r="C223" s="285">
        <f>data!AS93</f>
        <v>0</v>
      </c>
      <c r="D223" s="285">
        <f>data!AT93</f>
        <v>0</v>
      </c>
      <c r="E223" s="285">
        <f>data!AU93</f>
        <v>0</v>
      </c>
      <c r="F223" s="285">
        <f>data!AV93</f>
        <v>29157.05</v>
      </c>
      <c r="G223" s="285">
        <f>data!AW93</f>
        <v>0</v>
      </c>
      <c r="H223" s="300" t="str">
        <f>IF(data!AX79&gt;0,data!AX79,"")</f>
        <v/>
      </c>
      <c r="I223" s="300" t="str">
        <f>IF(data!AY79&gt;0,data!AY79,"")</f>
        <v/>
      </c>
    </row>
    <row r="224" spans="1:9" ht="20.100000000000001" customHeight="1" x14ac:dyDescent="0.2">
      <c r="A224" s="277">
        <v>26</v>
      </c>
      <c r="B224" s="285" t="s">
        <v>279</v>
      </c>
      <c r="C224" s="292">
        <f>data!AS94</f>
        <v>0</v>
      </c>
      <c r="D224" s="292">
        <f>data!AT94</f>
        <v>0</v>
      </c>
      <c r="E224" s="292">
        <f>data!AU94</f>
        <v>0</v>
      </c>
      <c r="F224" s="292">
        <f>data!AV94</f>
        <v>7.7082259615384618</v>
      </c>
      <c r="G224" s="300" t="str">
        <f>IF(data!AW80&gt;0,data!AW80,"")</f>
        <v/>
      </c>
      <c r="H224" s="300" t="str">
        <f>IF(data!AX80&gt;0,data!AX80,"")</f>
        <v/>
      </c>
      <c r="I224" s="300" t="str">
        <f>IF(data!AY80&gt;0,data!AY80,"")</f>
        <v/>
      </c>
    </row>
    <row r="225" spans="1:9" ht="20.100000000000001" customHeight="1" x14ac:dyDescent="0.2">
      <c r="A225" s="278" t="s">
        <v>967</v>
      </c>
      <c r="B225" s="279"/>
      <c r="C225" s="279"/>
      <c r="D225" s="279"/>
      <c r="E225" s="279"/>
      <c r="F225" s="279"/>
      <c r="G225" s="279"/>
      <c r="H225" s="279"/>
      <c r="I225" s="278"/>
    </row>
    <row r="226" spans="1:9" ht="20.100000000000001" customHeight="1" x14ac:dyDescent="0.2">
      <c r="D226" s="281"/>
      <c r="I226" s="282" t="s">
        <v>1008</v>
      </c>
    </row>
    <row r="227" spans="1:9" ht="20.100000000000001" customHeight="1" x14ac:dyDescent="0.2">
      <c r="A227" s="281"/>
    </row>
    <row r="228" spans="1:9" ht="20.100000000000001" customHeight="1" x14ac:dyDescent="0.2">
      <c r="A228" s="283" t="str">
        <f>"Hospital: "&amp;data!C98</f>
        <v>Hospital: EvergreenHealth Kirkland / King Country Public Hos #2</v>
      </c>
      <c r="G228" s="284"/>
      <c r="H228" s="283" t="str">
        <f>"FYE: "&amp;data!C96</f>
        <v>FYE: 12/31/2022</v>
      </c>
    </row>
    <row r="229" spans="1:9" ht="20.100000000000001" customHeight="1" x14ac:dyDescent="0.2">
      <c r="A229" s="277">
        <v>1</v>
      </c>
      <c r="B229" s="285" t="s">
        <v>221</v>
      </c>
      <c r="C229" s="287" t="s">
        <v>70</v>
      </c>
      <c r="D229" s="287" t="s">
        <v>71</v>
      </c>
      <c r="E229" s="287" t="s">
        <v>72</v>
      </c>
      <c r="F229" s="287" t="s">
        <v>73</v>
      </c>
      <c r="G229" s="287" t="s">
        <v>74</v>
      </c>
      <c r="H229" s="287" t="s">
        <v>75</v>
      </c>
      <c r="I229" s="287" t="s">
        <v>76</v>
      </c>
    </row>
    <row r="230" spans="1:9" ht="20.100000000000001" customHeight="1" x14ac:dyDescent="0.2">
      <c r="A230" s="288">
        <v>2</v>
      </c>
      <c r="B230" s="289" t="s">
        <v>969</v>
      </c>
      <c r="C230" s="291"/>
      <c r="D230" s="291" t="s">
        <v>149</v>
      </c>
      <c r="E230" s="291" t="s">
        <v>150</v>
      </c>
      <c r="F230" s="291" t="s">
        <v>119</v>
      </c>
      <c r="G230" s="291"/>
      <c r="H230" s="291"/>
      <c r="I230" s="291"/>
    </row>
    <row r="231" spans="1:9" ht="20.100000000000001" customHeight="1" x14ac:dyDescent="0.2">
      <c r="A231" s="288"/>
      <c r="B231" s="289"/>
      <c r="C231" s="291" t="s">
        <v>148</v>
      </c>
      <c r="D231" s="291" t="s">
        <v>201</v>
      </c>
      <c r="E231" s="291" t="s">
        <v>1009</v>
      </c>
      <c r="F231" s="291" t="s">
        <v>1010</v>
      </c>
      <c r="G231" s="291" t="s">
        <v>151</v>
      </c>
      <c r="H231" s="291" t="s">
        <v>152</v>
      </c>
      <c r="I231" s="291" t="s">
        <v>153</v>
      </c>
    </row>
    <row r="232" spans="1:9" ht="20.100000000000001" customHeight="1" x14ac:dyDescent="0.2">
      <c r="A232" s="277">
        <v>3</v>
      </c>
      <c r="B232" s="285" t="s">
        <v>973</v>
      </c>
      <c r="C232" s="287" t="s">
        <v>1011</v>
      </c>
      <c r="D232" s="287" t="s">
        <v>1012</v>
      </c>
      <c r="E232" s="297"/>
      <c r="F232" s="297"/>
      <c r="G232" s="297"/>
      <c r="H232" s="287" t="s">
        <v>245</v>
      </c>
      <c r="I232" s="297"/>
    </row>
    <row r="233" spans="1:9" ht="20.100000000000001" customHeight="1" x14ac:dyDescent="0.2">
      <c r="A233" s="277">
        <v>4</v>
      </c>
      <c r="B233" s="285" t="s">
        <v>246</v>
      </c>
      <c r="C233" s="285">
        <f>data!AZ59</f>
        <v>743097.14</v>
      </c>
      <c r="D233" s="285">
        <f>data!BA59</f>
        <v>0</v>
      </c>
      <c r="E233" s="297"/>
      <c r="F233" s="297"/>
      <c r="G233" s="297"/>
      <c r="H233" s="285">
        <f>data!BE59</f>
        <v>679195</v>
      </c>
      <c r="I233" s="297"/>
    </row>
    <row r="234" spans="1:9" ht="20.100000000000001" customHeight="1" x14ac:dyDescent="0.2">
      <c r="A234" s="277">
        <v>5</v>
      </c>
      <c r="B234" s="285" t="s">
        <v>247</v>
      </c>
      <c r="C234" s="292">
        <f>data!AZ60</f>
        <v>53.978298076923075</v>
      </c>
      <c r="D234" s="292">
        <f>data!BA60</f>
        <v>5.4640432692307694</v>
      </c>
      <c r="E234" s="292">
        <f>data!BB60</f>
        <v>0.50330769230769223</v>
      </c>
      <c r="F234" s="292">
        <f>data!BC60</f>
        <v>7.8017740384615388</v>
      </c>
      <c r="G234" s="292">
        <f>data!BD60</f>
        <v>37.475812500000004</v>
      </c>
      <c r="H234" s="292">
        <f>data!BE60</f>
        <v>49.177269230769234</v>
      </c>
      <c r="I234" s="292">
        <f>data!BF60</f>
        <v>98.434269230769232</v>
      </c>
    </row>
    <row r="235" spans="1:9" ht="20.100000000000001" customHeight="1" x14ac:dyDescent="0.2">
      <c r="A235" s="277">
        <v>6</v>
      </c>
      <c r="B235" s="285" t="s">
        <v>248</v>
      </c>
      <c r="C235" s="285">
        <f>data!AZ61</f>
        <v>2900587</v>
      </c>
      <c r="D235" s="285">
        <f>data!BA61</f>
        <v>266382.21999999997</v>
      </c>
      <c r="E235" s="285">
        <f>data!BB61</f>
        <v>84749.14</v>
      </c>
      <c r="F235" s="285">
        <f>data!BC61</f>
        <v>390126.92000000004</v>
      </c>
      <c r="G235" s="285">
        <f>data!BD61</f>
        <v>2541998.7799999998</v>
      </c>
      <c r="H235" s="285">
        <f>data!BE61</f>
        <v>3778026.83</v>
      </c>
      <c r="I235" s="285">
        <f>data!BF61</f>
        <v>4990882.7300000004</v>
      </c>
    </row>
    <row r="236" spans="1:9" ht="20.100000000000001" customHeight="1" x14ac:dyDescent="0.2">
      <c r="A236" s="277">
        <v>7</v>
      </c>
      <c r="B236" s="285" t="s">
        <v>9</v>
      </c>
      <c r="C236" s="285">
        <f>data!AZ62</f>
        <v>984284</v>
      </c>
      <c r="D236" s="285">
        <f>data!BA62</f>
        <v>114825</v>
      </c>
      <c r="E236" s="285">
        <f>data!BB62</f>
        <v>0</v>
      </c>
      <c r="F236" s="285">
        <f>data!BC62</f>
        <v>112886</v>
      </c>
      <c r="G236" s="285">
        <f>data!BD62</f>
        <v>756122</v>
      </c>
      <c r="H236" s="285">
        <f>data!BE62</f>
        <v>1046406</v>
      </c>
      <c r="I236" s="285">
        <f>data!BF62</f>
        <v>1747325</v>
      </c>
    </row>
    <row r="237" spans="1:9" ht="20.100000000000001" customHeight="1" x14ac:dyDescent="0.2">
      <c r="A237" s="277">
        <v>8</v>
      </c>
      <c r="B237" s="285" t="s">
        <v>249</v>
      </c>
      <c r="C237" s="285">
        <f>data!AZ63</f>
        <v>125.9</v>
      </c>
      <c r="D237" s="285">
        <f>data!BA63</f>
        <v>0</v>
      </c>
      <c r="E237" s="285">
        <f>data!BB63</f>
        <v>0</v>
      </c>
      <c r="F237" s="285">
        <f>data!BC63</f>
        <v>0</v>
      </c>
      <c r="G237" s="285">
        <f>data!BD63</f>
        <v>0</v>
      </c>
      <c r="H237" s="285">
        <f>data!BE63</f>
        <v>337.5</v>
      </c>
      <c r="I237" s="285">
        <f>data!BF63</f>
        <v>0</v>
      </c>
    </row>
    <row r="238" spans="1:9" ht="20.100000000000001" customHeight="1" x14ac:dyDescent="0.2">
      <c r="A238" s="277">
        <v>9</v>
      </c>
      <c r="B238" s="285" t="s">
        <v>250</v>
      </c>
      <c r="C238" s="285">
        <f>data!AZ64</f>
        <v>2035358.74</v>
      </c>
      <c r="D238" s="285">
        <f>data!BA64</f>
        <v>35118.35</v>
      </c>
      <c r="E238" s="285">
        <f>data!BB64</f>
        <v>0</v>
      </c>
      <c r="F238" s="285">
        <f>data!BC64</f>
        <v>2391.38</v>
      </c>
      <c r="G238" s="285">
        <f>data!BD64</f>
        <v>78310.279999999984</v>
      </c>
      <c r="H238" s="285">
        <f>data!BE64</f>
        <v>491617.15</v>
      </c>
      <c r="I238" s="285">
        <f>data!BF64</f>
        <v>362151.17</v>
      </c>
    </row>
    <row r="239" spans="1:9" ht="20.100000000000001" customHeight="1" x14ac:dyDescent="0.2">
      <c r="A239" s="277">
        <v>10</v>
      </c>
      <c r="B239" s="285" t="s">
        <v>497</v>
      </c>
      <c r="C239" s="285">
        <f>data!AZ65</f>
        <v>0</v>
      </c>
      <c r="D239" s="285">
        <f>data!BA65</f>
        <v>0</v>
      </c>
      <c r="E239" s="285">
        <f>data!BB65</f>
        <v>0</v>
      </c>
      <c r="F239" s="285">
        <f>data!BC65</f>
        <v>0</v>
      </c>
      <c r="G239" s="285">
        <f>data!BD65</f>
        <v>0</v>
      </c>
      <c r="H239" s="285">
        <f>data!BE65</f>
        <v>4610709.6800000006</v>
      </c>
      <c r="I239" s="285">
        <f>data!BF65</f>
        <v>521250.52</v>
      </c>
    </row>
    <row r="240" spans="1:9" ht="20.100000000000001" customHeight="1" x14ac:dyDescent="0.2">
      <c r="A240" s="277">
        <v>11</v>
      </c>
      <c r="B240" s="285" t="s">
        <v>498</v>
      </c>
      <c r="C240" s="285">
        <f>data!AZ66</f>
        <v>269763.15000000002</v>
      </c>
      <c r="D240" s="285">
        <f>data!BA66</f>
        <v>1.77</v>
      </c>
      <c r="E240" s="285">
        <f>data!BB66</f>
        <v>240700</v>
      </c>
      <c r="F240" s="285">
        <f>data!BC66</f>
        <v>0</v>
      </c>
      <c r="G240" s="285">
        <f>data!BD66</f>
        <v>9181.2900000000009</v>
      </c>
      <c r="H240" s="285">
        <f>data!BE66</f>
        <v>2905582.7199999997</v>
      </c>
      <c r="I240" s="285">
        <f>data!BF66</f>
        <v>-1033133.0499999999</v>
      </c>
    </row>
    <row r="241" spans="1:9" ht="20.100000000000001" customHeight="1" x14ac:dyDescent="0.2">
      <c r="A241" s="277">
        <v>12</v>
      </c>
      <c r="B241" s="285" t="s">
        <v>11</v>
      </c>
      <c r="C241" s="285">
        <f>data!AZ67</f>
        <v>745045</v>
      </c>
      <c r="D241" s="285">
        <f>data!BA67</f>
        <v>5511</v>
      </c>
      <c r="E241" s="285">
        <f>data!BB67</f>
        <v>0</v>
      </c>
      <c r="F241" s="285">
        <f>data!BC67</f>
        <v>11595</v>
      </c>
      <c r="G241" s="285">
        <f>data!BD67</f>
        <v>68466</v>
      </c>
      <c r="H241" s="285">
        <f>data!BE67</f>
        <v>8671469</v>
      </c>
      <c r="I241" s="285">
        <f>data!BF67</f>
        <v>65002</v>
      </c>
    </row>
    <row r="242" spans="1:9" ht="20.100000000000001" customHeight="1" x14ac:dyDescent="0.2">
      <c r="A242" s="277">
        <v>13</v>
      </c>
      <c r="B242" s="285" t="s">
        <v>974</v>
      </c>
      <c r="C242" s="285">
        <f>data!AZ68</f>
        <v>10876.35</v>
      </c>
      <c r="D242" s="285">
        <f>data!BA68</f>
        <v>0</v>
      </c>
      <c r="E242" s="285">
        <f>data!BB68</f>
        <v>0</v>
      </c>
      <c r="F242" s="285">
        <f>data!BC68</f>
        <v>0</v>
      </c>
      <c r="G242" s="285">
        <f>data!BD68</f>
        <v>0</v>
      </c>
      <c r="H242" s="285">
        <f>data!BE68</f>
        <v>1207824.9300000002</v>
      </c>
      <c r="I242" s="285">
        <f>data!BF68</f>
        <v>0</v>
      </c>
    </row>
    <row r="243" spans="1:9" ht="20.100000000000001" customHeight="1" x14ac:dyDescent="0.2">
      <c r="A243" s="277">
        <v>14</v>
      </c>
      <c r="B243" s="285" t="s">
        <v>975</v>
      </c>
      <c r="C243" s="285">
        <f>data!AZ69</f>
        <v>197.07</v>
      </c>
      <c r="D243" s="285">
        <f>data!BA69</f>
        <v>0</v>
      </c>
      <c r="E243" s="285">
        <f>data!BB69</f>
        <v>0</v>
      </c>
      <c r="F243" s="285">
        <f>data!BC69</f>
        <v>0</v>
      </c>
      <c r="G243" s="285">
        <f>data!BD69</f>
        <v>202473.03</v>
      </c>
      <c r="H243" s="285">
        <f>data!BE69</f>
        <v>200032.27</v>
      </c>
      <c r="I243" s="285">
        <f>data!BF69</f>
        <v>1556.37</v>
      </c>
    </row>
    <row r="244" spans="1:9" ht="20.100000000000001" customHeight="1" x14ac:dyDescent="0.2">
      <c r="A244" s="277">
        <v>15</v>
      </c>
      <c r="B244" s="285" t="s">
        <v>269</v>
      </c>
      <c r="C244" s="285">
        <f>-data!AZ84</f>
        <v>-1795499.73</v>
      </c>
      <c r="D244" s="285">
        <f>-data!BA84</f>
        <v>0</v>
      </c>
      <c r="E244" s="285">
        <f>-data!BB84</f>
        <v>0</v>
      </c>
      <c r="F244" s="285">
        <f>-data!BC84</f>
        <v>0</v>
      </c>
      <c r="G244" s="285">
        <f>-data!BD84</f>
        <v>-37186.26</v>
      </c>
      <c r="H244" s="285">
        <f>-data!BE84</f>
        <v>-7357121.5199999996</v>
      </c>
      <c r="I244" s="285">
        <f>-data!BF84</f>
        <v>-13802.28</v>
      </c>
    </row>
    <row r="245" spans="1:9" ht="20.100000000000001" customHeight="1" x14ac:dyDescent="0.2">
      <c r="A245" s="277">
        <v>16</v>
      </c>
      <c r="B245" s="293" t="s">
        <v>976</v>
      </c>
      <c r="C245" s="285">
        <f>data!AZ85</f>
        <v>5150737.4800000004</v>
      </c>
      <c r="D245" s="285">
        <f>data!BA85</f>
        <v>421838.33999999997</v>
      </c>
      <c r="E245" s="285">
        <f>data!BB85</f>
        <v>325449.14</v>
      </c>
      <c r="F245" s="285">
        <f>data!BC85</f>
        <v>516999.30000000005</v>
      </c>
      <c r="G245" s="285">
        <f>data!BD85</f>
        <v>3619365.1199999996</v>
      </c>
      <c r="H245" s="285">
        <f>data!BE85</f>
        <v>15554884.559999999</v>
      </c>
      <c r="I245" s="285">
        <f>data!BF85</f>
        <v>6641232.46</v>
      </c>
    </row>
    <row r="246" spans="1:9" ht="20.100000000000001" customHeight="1" x14ac:dyDescent="0.2">
      <c r="A246" s="277">
        <v>17</v>
      </c>
      <c r="B246" s="285" t="s">
        <v>271</v>
      </c>
      <c r="C246" s="295"/>
      <c r="D246" s="295"/>
      <c r="E246" s="295"/>
      <c r="F246" s="295"/>
      <c r="G246" s="295"/>
      <c r="H246" s="295"/>
      <c r="I246" s="295"/>
    </row>
    <row r="247" spans="1:9" ht="20.100000000000001" customHeight="1" x14ac:dyDescent="0.2">
      <c r="A247" s="277">
        <v>18</v>
      </c>
      <c r="B247" s="285" t="s">
        <v>977</v>
      </c>
      <c r="C247" s="285"/>
      <c r="D247" s="285"/>
      <c r="E247" s="285"/>
      <c r="F247" s="285"/>
      <c r="G247" s="285"/>
      <c r="H247" s="285"/>
      <c r="I247" s="285"/>
    </row>
    <row r="248" spans="1:9" ht="20.100000000000001" customHeight="1" x14ac:dyDescent="0.2">
      <c r="A248" s="277">
        <v>19</v>
      </c>
      <c r="B248" s="293" t="s">
        <v>978</v>
      </c>
      <c r="C248" s="300" t="str">
        <f>IF(data!AZ73&gt;0,data!AZ73,"")</f>
        <v/>
      </c>
      <c r="D248" s="300" t="str">
        <f>IF(data!BA73&gt;0,data!BA73,"")</f>
        <v/>
      </c>
      <c r="E248" s="300" t="str">
        <f>IF(data!BB73&gt;0,data!BB73,"")</f>
        <v/>
      </c>
      <c r="F248" s="300" t="str">
        <f>IF(data!BC73&gt;0,data!BC73,"")</f>
        <v/>
      </c>
      <c r="G248" s="300" t="str">
        <f>IF(data!BD73&gt;0,data!BD73,"")</f>
        <v/>
      </c>
      <c r="H248" s="300" t="str">
        <f>IF(data!BE73&gt;0,data!BE73,"")</f>
        <v/>
      </c>
      <c r="I248" s="300" t="str">
        <f>IF(data!BF73&gt;0,data!BF73,"")</f>
        <v/>
      </c>
    </row>
    <row r="249" spans="1:9" ht="20.100000000000001" customHeight="1" x14ac:dyDescent="0.2">
      <c r="A249" s="277">
        <v>20</v>
      </c>
      <c r="B249" s="293" t="s">
        <v>979</v>
      </c>
      <c r="C249" s="300" t="str">
        <f>IF(data!AZ74&gt;0,data!AZ74,"")</f>
        <v/>
      </c>
      <c r="D249" s="300" t="str">
        <f>IF(data!BA74&gt;0,data!BA74,"")</f>
        <v/>
      </c>
      <c r="E249" s="300" t="str">
        <f>IF(data!BB74&gt;0,data!BB74,"")</f>
        <v/>
      </c>
      <c r="F249" s="300" t="str">
        <f>IF(data!BC74&gt;0,data!BC74,"")</f>
        <v/>
      </c>
      <c r="G249" s="300" t="str">
        <f>IF(data!BD74&gt;0,data!BD74,"")</f>
        <v/>
      </c>
      <c r="H249" s="300" t="str">
        <f>IF(data!BE74&gt;0,data!BE74,"")</f>
        <v/>
      </c>
      <c r="I249" s="300" t="str">
        <f>IF(data!BF74&gt;0,data!BF74,"")</f>
        <v/>
      </c>
    </row>
    <row r="250" spans="1:9" ht="20.100000000000001" customHeight="1" x14ac:dyDescent="0.2">
      <c r="A250" s="277">
        <v>21</v>
      </c>
      <c r="B250" s="293" t="s">
        <v>980</v>
      </c>
      <c r="C250" s="300" t="str">
        <f>IF(data!AZ75&gt;0,data!AZ75,"")</f>
        <v/>
      </c>
      <c r="D250" s="300" t="str">
        <f>IF(data!BA75&gt;0,data!BA75,"")</f>
        <v/>
      </c>
      <c r="E250" s="300" t="str">
        <f>IF(data!BB75&gt;0,data!BB75,"")</f>
        <v/>
      </c>
      <c r="F250" s="300" t="str">
        <f>IF(data!BC75&gt;0,data!BC75,"")</f>
        <v/>
      </c>
      <c r="G250" s="300" t="str">
        <f>IF(data!BD75&gt;0,data!BD75,"")</f>
        <v/>
      </c>
      <c r="H250" s="300" t="str">
        <f>IF(data!BE75&gt;0,data!BE75,"")</f>
        <v/>
      </c>
      <c r="I250" s="300" t="str">
        <f>IF(data!BF75&gt;0,data!BF75,"")</f>
        <v/>
      </c>
    </row>
    <row r="251" spans="1:9" ht="20.100000000000001" customHeight="1" x14ac:dyDescent="0.2">
      <c r="A251" s="277" t="s">
        <v>981</v>
      </c>
      <c r="B251" s="285"/>
      <c r="C251" s="295"/>
      <c r="D251" s="295"/>
      <c r="E251" s="295"/>
      <c r="F251" s="295"/>
      <c r="G251" s="295"/>
      <c r="H251" s="295"/>
      <c r="I251" s="295"/>
    </row>
    <row r="252" spans="1:9" ht="20.100000000000001" customHeight="1" x14ac:dyDescent="0.2">
      <c r="A252" s="277">
        <v>22</v>
      </c>
      <c r="B252" s="285" t="s">
        <v>982</v>
      </c>
      <c r="C252" s="301">
        <f>data!AZ90</f>
        <v>23579</v>
      </c>
      <c r="D252" s="301">
        <f>data!BA90</f>
        <v>3589</v>
      </c>
      <c r="E252" s="301">
        <f>data!BB90</f>
        <v>0</v>
      </c>
      <c r="F252" s="301">
        <f>data!BC90</f>
        <v>0</v>
      </c>
      <c r="G252" s="301">
        <f>data!BD90</f>
        <v>9077</v>
      </c>
      <c r="H252" s="301">
        <f>data!BE90</f>
        <v>679195</v>
      </c>
      <c r="I252" s="301">
        <f>data!BF90</f>
        <v>9629</v>
      </c>
    </row>
    <row r="253" spans="1:9" ht="20.100000000000001" customHeight="1" x14ac:dyDescent="0.2">
      <c r="A253" s="277">
        <v>23</v>
      </c>
      <c r="B253" s="285" t="s">
        <v>983</v>
      </c>
      <c r="C253" s="301">
        <f>data!AZ91</f>
        <v>0</v>
      </c>
      <c r="D253" s="301">
        <f>data!BA91</f>
        <v>0</v>
      </c>
      <c r="E253" s="301">
        <f>data!BB91</f>
        <v>0</v>
      </c>
      <c r="F253" s="301">
        <f>data!BC91</f>
        <v>0</v>
      </c>
      <c r="G253" s="300" t="str">
        <f>IF(data!BD77&gt;0,data!BD77,"")</f>
        <v/>
      </c>
      <c r="H253" s="300" t="str">
        <f>IF(data!BE77&gt;0,data!BE77,"")</f>
        <v/>
      </c>
      <c r="I253" s="301">
        <f>data!BF91</f>
        <v>0</v>
      </c>
    </row>
    <row r="254" spans="1:9" ht="20.100000000000001" customHeight="1" x14ac:dyDescent="0.2">
      <c r="A254" s="277">
        <v>24</v>
      </c>
      <c r="B254" s="285" t="s">
        <v>984</v>
      </c>
      <c r="C254" s="300" t="str">
        <f>IF(data!AZ78&gt;0,data!AZ78,"")</f>
        <v/>
      </c>
      <c r="D254" s="301">
        <f>data!BA92</f>
        <v>457.78</v>
      </c>
      <c r="E254" s="301">
        <f>data!BB92</f>
        <v>0</v>
      </c>
      <c r="F254" s="301">
        <f>data!BC92</f>
        <v>0</v>
      </c>
      <c r="G254" s="300" t="str">
        <f>IF(data!BD78&gt;0,data!BD78,"")</f>
        <v/>
      </c>
      <c r="H254" s="300" t="str">
        <f>IF(data!BE78&gt;0,data!BE78,"")</f>
        <v/>
      </c>
      <c r="I254" s="300" t="str">
        <f>IF(data!BF78&gt;0,data!BF78,"")</f>
        <v/>
      </c>
    </row>
    <row r="255" spans="1:9" ht="20.100000000000001" customHeight="1" x14ac:dyDescent="0.2">
      <c r="A255" s="277">
        <v>25</v>
      </c>
      <c r="B255" s="285" t="s">
        <v>985</v>
      </c>
      <c r="C255" s="300" t="str">
        <f>IF(data!AZ79&gt;0,data!AZ79,"")</f>
        <v/>
      </c>
      <c r="D255" s="300" t="str">
        <f>IF(data!BA79&gt;0,data!BA79,"")</f>
        <v/>
      </c>
      <c r="E255" s="301">
        <f>data!BB93</f>
        <v>0</v>
      </c>
      <c r="F255" s="301">
        <f>data!BC93</f>
        <v>0</v>
      </c>
      <c r="G255" s="300" t="str">
        <f>IF(data!BD79&gt;0,data!BD79,"")</f>
        <v/>
      </c>
      <c r="H255" s="300" t="str">
        <f>IF(data!BE79&gt;0,data!BE79,"")</f>
        <v/>
      </c>
      <c r="I255" s="300" t="str">
        <f>IF(data!BF79&gt;0,data!BF79,"")</f>
        <v/>
      </c>
    </row>
    <row r="256" spans="1:9" ht="20.100000000000001" customHeight="1" x14ac:dyDescent="0.2">
      <c r="A256" s="277">
        <v>26</v>
      </c>
      <c r="B256" s="285" t="s">
        <v>279</v>
      </c>
      <c r="C256" s="300" t="str">
        <f>IF(data!AZ80&gt;0,data!AZ80,"")</f>
        <v/>
      </c>
      <c r="D256" s="300" t="str">
        <f>IF(data!BA80&gt;0,data!BA80,"")</f>
        <v/>
      </c>
      <c r="E256" s="300" t="str">
        <f>IF(data!BB80&gt;0,data!BB80,"")</f>
        <v/>
      </c>
      <c r="F256" s="300" t="str">
        <f>IF(data!BC80&gt;0,data!BC80,"")</f>
        <v/>
      </c>
      <c r="G256" s="300" t="str">
        <f>IF(data!BD80&gt;0,data!BD80,"")</f>
        <v/>
      </c>
      <c r="H256" s="300" t="str">
        <f>IF(data!BE80&gt;0,data!BE80,"")</f>
        <v/>
      </c>
      <c r="I256" s="300" t="str">
        <f>IF(data!BF80&gt;0,data!BF80,"")</f>
        <v/>
      </c>
    </row>
    <row r="257" spans="1:9" ht="20.100000000000001" customHeight="1" x14ac:dyDescent="0.2">
      <c r="A257" s="278" t="s">
        <v>967</v>
      </c>
      <c r="B257" s="279"/>
      <c r="C257" s="279"/>
      <c r="D257" s="279"/>
      <c r="E257" s="279"/>
      <c r="F257" s="279"/>
      <c r="G257" s="279"/>
      <c r="H257" s="279"/>
      <c r="I257" s="278"/>
    </row>
    <row r="258" spans="1:9" ht="20.100000000000001" customHeight="1" x14ac:dyDescent="0.2">
      <c r="D258" s="281"/>
      <c r="I258" s="282" t="s">
        <v>1013</v>
      </c>
    </row>
    <row r="259" spans="1:9" ht="20.100000000000001" customHeight="1" x14ac:dyDescent="0.2">
      <c r="A259" s="281"/>
    </row>
    <row r="260" spans="1:9" ht="20.100000000000001" customHeight="1" x14ac:dyDescent="0.2">
      <c r="A260" s="283" t="str">
        <f>"Hospital: "&amp;data!C98</f>
        <v>Hospital: EvergreenHealth Kirkland / King Country Public Hos #2</v>
      </c>
      <c r="G260" s="284"/>
      <c r="H260" s="283" t="str">
        <f>"FYE: "&amp;data!C96</f>
        <v>FYE: 12/31/2022</v>
      </c>
    </row>
    <row r="261" spans="1:9" ht="20.100000000000001" customHeight="1" x14ac:dyDescent="0.2">
      <c r="A261" s="277">
        <v>1</v>
      </c>
      <c r="B261" s="285" t="s">
        <v>221</v>
      </c>
      <c r="C261" s="287" t="s">
        <v>77</v>
      </c>
      <c r="D261" s="287" t="s">
        <v>78</v>
      </c>
      <c r="E261" s="287" t="s">
        <v>79</v>
      </c>
      <c r="F261" s="287" t="s">
        <v>80</v>
      </c>
      <c r="G261" s="287" t="s">
        <v>81</v>
      </c>
      <c r="H261" s="287" t="s">
        <v>82</v>
      </c>
      <c r="I261" s="287" t="s">
        <v>83</v>
      </c>
    </row>
    <row r="262" spans="1:9" ht="20.100000000000001" customHeight="1" x14ac:dyDescent="0.2">
      <c r="A262" s="288">
        <v>2</v>
      </c>
      <c r="B262" s="289" t="s">
        <v>969</v>
      </c>
      <c r="C262" s="291" t="s">
        <v>1014</v>
      </c>
      <c r="D262" s="291" t="s">
        <v>155</v>
      </c>
      <c r="E262" s="291" t="s">
        <v>156</v>
      </c>
      <c r="F262" s="291"/>
      <c r="G262" s="291" t="s">
        <v>158</v>
      </c>
      <c r="H262" s="291"/>
      <c r="I262" s="291" t="s">
        <v>144</v>
      </c>
    </row>
    <row r="263" spans="1:9" ht="20.100000000000001" customHeight="1" x14ac:dyDescent="0.2">
      <c r="A263" s="288"/>
      <c r="B263" s="289"/>
      <c r="C263" s="291" t="s">
        <v>1015</v>
      </c>
      <c r="D263" s="291" t="s">
        <v>202</v>
      </c>
      <c r="E263" s="291" t="s">
        <v>181</v>
      </c>
      <c r="F263" s="291" t="s">
        <v>157</v>
      </c>
      <c r="G263" s="291" t="s">
        <v>203</v>
      </c>
      <c r="H263" s="291" t="s">
        <v>159</v>
      </c>
      <c r="I263" s="291" t="s">
        <v>1016</v>
      </c>
    </row>
    <row r="264" spans="1:9" ht="20.100000000000001" customHeight="1" x14ac:dyDescent="0.2">
      <c r="A264" s="277">
        <v>3</v>
      </c>
      <c r="B264" s="285" t="s">
        <v>973</v>
      </c>
      <c r="C264" s="297"/>
      <c r="D264" s="297"/>
      <c r="E264" s="297"/>
      <c r="F264" s="297"/>
      <c r="G264" s="297"/>
      <c r="H264" s="297"/>
      <c r="I264" s="297"/>
    </row>
    <row r="265" spans="1:9" ht="20.100000000000001" customHeight="1" x14ac:dyDescent="0.2">
      <c r="A265" s="277">
        <v>4</v>
      </c>
      <c r="B265" s="285" t="s">
        <v>246</v>
      </c>
      <c r="C265" s="297"/>
      <c r="D265" s="297"/>
      <c r="E265" s="297"/>
      <c r="F265" s="297"/>
      <c r="G265" s="297"/>
      <c r="H265" s="297"/>
      <c r="I265" s="297"/>
    </row>
    <row r="266" spans="1:9" ht="20.100000000000001" customHeight="1" x14ac:dyDescent="0.2">
      <c r="A266" s="277">
        <v>5</v>
      </c>
      <c r="B266" s="285" t="s">
        <v>247</v>
      </c>
      <c r="C266" s="292">
        <f>data!BG60</f>
        <v>16.49370673076923</v>
      </c>
      <c r="D266" s="292">
        <f>data!BH60</f>
        <v>141.16565384615387</v>
      </c>
      <c r="E266" s="292">
        <f>data!BI60</f>
        <v>55.700346153846155</v>
      </c>
      <c r="F266" s="292">
        <f>data!BJ60</f>
        <v>18.434091346153849</v>
      </c>
      <c r="G266" s="292">
        <f>data!BK60</f>
        <v>85.431860576923086</v>
      </c>
      <c r="H266" s="292">
        <f>data!BL60</f>
        <v>87.180336538461532</v>
      </c>
      <c r="I266" s="292">
        <f>data!BM60</f>
        <v>47.098067307692311</v>
      </c>
    </row>
    <row r="267" spans="1:9" ht="20.100000000000001" customHeight="1" x14ac:dyDescent="0.2">
      <c r="A267" s="277">
        <v>6</v>
      </c>
      <c r="B267" s="285" t="s">
        <v>248</v>
      </c>
      <c r="C267" s="285">
        <f>data!BG61</f>
        <v>1308258.9099999999</v>
      </c>
      <c r="D267" s="285">
        <f>data!BH61</f>
        <v>18592548.219999999</v>
      </c>
      <c r="E267" s="285">
        <f>data!BI61</f>
        <v>4906733.43</v>
      </c>
      <c r="F267" s="285">
        <f>data!BJ61</f>
        <v>1820825.5200000003</v>
      </c>
      <c r="G267" s="285">
        <f>data!BK61</f>
        <v>5691181.1599999992</v>
      </c>
      <c r="H267" s="285">
        <f>data!BL61</f>
        <v>5204006.0999999996</v>
      </c>
      <c r="I267" s="285">
        <f>data!BM61</f>
        <v>4280354.49</v>
      </c>
    </row>
    <row r="268" spans="1:9" ht="20.100000000000001" customHeight="1" x14ac:dyDescent="0.2">
      <c r="A268" s="277">
        <v>7</v>
      </c>
      <c r="B268" s="285" t="s">
        <v>9</v>
      </c>
      <c r="C268" s="285">
        <f>data!BG62</f>
        <v>273333</v>
      </c>
      <c r="D268" s="285">
        <f>data!BH62</f>
        <v>2806413</v>
      </c>
      <c r="E268" s="285">
        <f>data!BI62</f>
        <v>510307</v>
      </c>
      <c r="F268" s="285">
        <f>data!BJ62</f>
        <v>423290</v>
      </c>
      <c r="G268" s="285">
        <f>data!BK62</f>
        <v>1605972</v>
      </c>
      <c r="H268" s="285">
        <f>data!BL62</f>
        <v>1536858</v>
      </c>
      <c r="I268" s="285">
        <f>data!BM62</f>
        <v>1166256</v>
      </c>
    </row>
    <row r="269" spans="1:9" ht="20.100000000000001" customHeight="1" x14ac:dyDescent="0.2">
      <c r="A269" s="277">
        <v>8</v>
      </c>
      <c r="B269" s="285" t="s">
        <v>249</v>
      </c>
      <c r="C269" s="285">
        <f>data!BG63</f>
        <v>0</v>
      </c>
      <c r="D269" s="285">
        <f>data!BH63</f>
        <v>1950</v>
      </c>
      <c r="E269" s="285">
        <f>data!BI63</f>
        <v>416116.54</v>
      </c>
      <c r="F269" s="285">
        <f>data!BJ63</f>
        <v>354674.80000000005</v>
      </c>
      <c r="G269" s="285">
        <f>data!BK63</f>
        <v>158699.65</v>
      </c>
      <c r="H269" s="285">
        <f>data!BL63</f>
        <v>0</v>
      </c>
      <c r="I269" s="285">
        <f>data!BM63</f>
        <v>-50</v>
      </c>
    </row>
    <row r="270" spans="1:9" ht="20.100000000000001" customHeight="1" x14ac:dyDescent="0.2">
      <c r="A270" s="277">
        <v>9</v>
      </c>
      <c r="B270" s="285" t="s">
        <v>250</v>
      </c>
      <c r="C270" s="285">
        <f>data!BG64</f>
        <v>147834.56</v>
      </c>
      <c r="D270" s="285">
        <f>data!BH64</f>
        <v>1831358.54</v>
      </c>
      <c r="E270" s="285">
        <f>data!BI64</f>
        <v>396810.67000000004</v>
      </c>
      <c r="F270" s="285">
        <f>data!BJ64</f>
        <v>14238.329999999998</v>
      </c>
      <c r="G270" s="285">
        <f>data!BK64</f>
        <v>50326.170000000006</v>
      </c>
      <c r="H270" s="285">
        <f>data!BL64</f>
        <v>46144.72</v>
      </c>
      <c r="I270" s="285">
        <f>data!BM64</f>
        <v>24539.500000000004</v>
      </c>
    </row>
    <row r="271" spans="1:9" ht="20.100000000000001" customHeight="1" x14ac:dyDescent="0.2">
      <c r="A271" s="277">
        <v>10</v>
      </c>
      <c r="B271" s="285" t="s">
        <v>497</v>
      </c>
      <c r="C271" s="285">
        <f>data!BG65</f>
        <v>1290825.24</v>
      </c>
      <c r="D271" s="285">
        <f>data!BH65</f>
        <v>1386.67</v>
      </c>
      <c r="E271" s="285">
        <f>data!BI65</f>
        <v>1505.21</v>
      </c>
      <c r="F271" s="285">
        <f>data!BJ65</f>
        <v>0</v>
      </c>
      <c r="G271" s="285">
        <f>data!BK65</f>
        <v>0</v>
      </c>
      <c r="H271" s="285">
        <f>data!BL65</f>
        <v>0</v>
      </c>
      <c r="I271" s="285">
        <f>data!BM65</f>
        <v>0</v>
      </c>
    </row>
    <row r="272" spans="1:9" ht="20.100000000000001" customHeight="1" x14ac:dyDescent="0.2">
      <c r="A272" s="277">
        <v>11</v>
      </c>
      <c r="B272" s="285" t="s">
        <v>498</v>
      </c>
      <c r="C272" s="285">
        <f>data!BG66</f>
        <v>1319775.74</v>
      </c>
      <c r="D272" s="285">
        <f>data!BH66</f>
        <v>32166388.559999999</v>
      </c>
      <c r="E272" s="285">
        <f>data!BI66</f>
        <v>452066.48999999993</v>
      </c>
      <c r="F272" s="285">
        <f>data!BJ66</f>
        <v>63002.91</v>
      </c>
      <c r="G272" s="285">
        <f>data!BK66</f>
        <v>2794435.9200000004</v>
      </c>
      <c r="H272" s="285">
        <f>data!BL66</f>
        <v>556439.07000000007</v>
      </c>
      <c r="I272" s="285">
        <f>data!BM66</f>
        <v>487617.88</v>
      </c>
    </row>
    <row r="273" spans="1:9" ht="20.100000000000001" customHeight="1" x14ac:dyDescent="0.2">
      <c r="A273" s="277">
        <v>12</v>
      </c>
      <c r="B273" s="285" t="s">
        <v>11</v>
      </c>
      <c r="C273" s="285">
        <f>data!BG67</f>
        <v>58176</v>
      </c>
      <c r="D273" s="285">
        <f>data!BH67</f>
        <v>7013961</v>
      </c>
      <c r="E273" s="285">
        <f>data!BI67</f>
        <v>909223</v>
      </c>
      <c r="F273" s="285">
        <f>data!BJ67</f>
        <v>37313</v>
      </c>
      <c r="G273" s="285">
        <f>data!BK67</f>
        <v>48836</v>
      </c>
      <c r="H273" s="285">
        <f>data!BL67</f>
        <v>26203</v>
      </c>
      <c r="I273" s="285">
        <f>data!BM67</f>
        <v>12735</v>
      </c>
    </row>
    <row r="274" spans="1:9" ht="20.100000000000001" customHeight="1" x14ac:dyDescent="0.2">
      <c r="A274" s="277">
        <v>13</v>
      </c>
      <c r="B274" s="285" t="s">
        <v>974</v>
      </c>
      <c r="C274" s="285">
        <f>data!BG68</f>
        <v>10306.65</v>
      </c>
      <c r="D274" s="285">
        <f>data!BH68</f>
        <v>0</v>
      </c>
      <c r="E274" s="285">
        <f>data!BI68</f>
        <v>351234.31000000006</v>
      </c>
      <c r="F274" s="285">
        <f>data!BJ68</f>
        <v>0</v>
      </c>
      <c r="G274" s="285">
        <f>data!BK68</f>
        <v>636.91999999999996</v>
      </c>
      <c r="H274" s="285">
        <f>data!BL68</f>
        <v>0</v>
      </c>
      <c r="I274" s="285">
        <f>data!BM68</f>
        <v>0</v>
      </c>
    </row>
    <row r="275" spans="1:9" ht="20.100000000000001" customHeight="1" x14ac:dyDescent="0.2">
      <c r="A275" s="277">
        <v>14</v>
      </c>
      <c r="B275" s="285" t="s">
        <v>975</v>
      </c>
      <c r="C275" s="285">
        <f>data!BG69</f>
        <v>0</v>
      </c>
      <c r="D275" s="285">
        <f>data!BH69</f>
        <v>73103.960000000006</v>
      </c>
      <c r="E275" s="285">
        <f>data!BI69</f>
        <v>23285.800000000003</v>
      </c>
      <c r="F275" s="285">
        <f>data!BJ69</f>
        <v>1410.98</v>
      </c>
      <c r="G275" s="285">
        <f>data!BK69</f>
        <v>0</v>
      </c>
      <c r="H275" s="285">
        <f>data!BL69</f>
        <v>488.51000000000005</v>
      </c>
      <c r="I275" s="285">
        <f>data!BM69</f>
        <v>42300.479999999996</v>
      </c>
    </row>
    <row r="276" spans="1:9" ht="20.100000000000001" customHeight="1" x14ac:dyDescent="0.2">
      <c r="A276" s="277">
        <v>15</v>
      </c>
      <c r="B276" s="285" t="s">
        <v>269</v>
      </c>
      <c r="C276" s="285">
        <f>-data!BG84</f>
        <v>-276316.93</v>
      </c>
      <c r="D276" s="285">
        <f>-data!BH84</f>
        <v>-594941.41</v>
      </c>
      <c r="E276" s="285">
        <f>-data!BI84</f>
        <v>-1050128.32</v>
      </c>
      <c r="F276" s="285">
        <f>-data!BJ84</f>
        <v>-280741.88</v>
      </c>
      <c r="G276" s="285">
        <f>-data!BK84</f>
        <v>-128571.47</v>
      </c>
      <c r="H276" s="285">
        <f>-data!BL84</f>
        <v>-710176.68</v>
      </c>
      <c r="I276" s="285">
        <f>-data!BM84</f>
        <v>0</v>
      </c>
    </row>
    <row r="277" spans="1:9" ht="20.100000000000001" customHeight="1" x14ac:dyDescent="0.2">
      <c r="A277" s="277">
        <v>16</v>
      </c>
      <c r="B277" s="293" t="s">
        <v>976</v>
      </c>
      <c r="C277" s="285">
        <f>data!BG85</f>
        <v>4132193.1700000004</v>
      </c>
      <c r="D277" s="285">
        <f>data!BH85</f>
        <v>61892168.539999999</v>
      </c>
      <c r="E277" s="285">
        <f>data!BI85</f>
        <v>6917154.1299999999</v>
      </c>
      <c r="F277" s="285">
        <f>data!BJ85</f>
        <v>2434013.6600000006</v>
      </c>
      <c r="G277" s="285">
        <f>data!BK85</f>
        <v>10221516.35</v>
      </c>
      <c r="H277" s="285">
        <f>data!BL85</f>
        <v>6659962.7199999997</v>
      </c>
      <c r="I277" s="285">
        <f>data!BM85</f>
        <v>6013753.3500000006</v>
      </c>
    </row>
    <row r="278" spans="1:9" ht="20.100000000000001" customHeight="1" x14ac:dyDescent="0.2">
      <c r="A278" s="277">
        <v>17</v>
      </c>
      <c r="B278" s="285" t="s">
        <v>271</v>
      </c>
      <c r="C278" s="295"/>
      <c r="D278" s="295"/>
      <c r="E278" s="295"/>
      <c r="F278" s="295"/>
      <c r="G278" s="295"/>
      <c r="H278" s="295"/>
      <c r="I278" s="295"/>
    </row>
    <row r="279" spans="1:9" ht="20.100000000000001" customHeight="1" x14ac:dyDescent="0.2">
      <c r="A279" s="277">
        <v>18</v>
      </c>
      <c r="B279" s="285" t="s">
        <v>977</v>
      </c>
      <c r="C279" s="285"/>
      <c r="D279" s="285"/>
      <c r="E279" s="285"/>
      <c r="F279" s="285"/>
      <c r="G279" s="285"/>
      <c r="H279" s="285"/>
      <c r="I279" s="285"/>
    </row>
    <row r="280" spans="1:9" ht="20.100000000000001" customHeight="1" x14ac:dyDescent="0.2">
      <c r="A280" s="277">
        <v>19</v>
      </c>
      <c r="B280" s="293" t="s">
        <v>978</v>
      </c>
      <c r="C280" s="300" t="str">
        <f>IF(data!BG73&gt;0,data!BG73,"")</f>
        <v/>
      </c>
      <c r="D280" s="300" t="str">
        <f>IF(data!BH73&gt;0,data!BH73,"")</f>
        <v/>
      </c>
      <c r="E280" s="300" t="str">
        <f>IF(data!BI73&gt;0,data!BI73,"")</f>
        <v/>
      </c>
      <c r="F280" s="300" t="str">
        <f>IF(data!BJ73&gt;0,data!BJ73,"")</f>
        <v/>
      </c>
      <c r="G280" s="300" t="str">
        <f>IF(data!BK73&gt;0,data!BK73,"")</f>
        <v/>
      </c>
      <c r="H280" s="300" t="str">
        <f>IF(data!BL73&gt;0,data!BL73,"")</f>
        <v/>
      </c>
      <c r="I280" s="300" t="str">
        <f>IF(data!BM73&gt;0,data!BM73,"")</f>
        <v/>
      </c>
    </row>
    <row r="281" spans="1:9" ht="20.100000000000001" customHeight="1" x14ac:dyDescent="0.2">
      <c r="A281" s="277">
        <v>20</v>
      </c>
      <c r="B281" s="293" t="s">
        <v>979</v>
      </c>
      <c r="C281" s="300" t="str">
        <f>IF(data!BG74&gt;0,data!BG74,"")</f>
        <v/>
      </c>
      <c r="D281" s="300" t="str">
        <f>IF(data!BH74&gt;0,data!BH74,"")</f>
        <v/>
      </c>
      <c r="E281" s="300" t="str">
        <f>IF(data!BI74&gt;0,data!BI74,"")</f>
        <v/>
      </c>
      <c r="F281" s="300" t="str">
        <f>IF(data!BJ74&gt;0,data!BJ74,"")</f>
        <v/>
      </c>
      <c r="G281" s="300" t="str">
        <f>IF(data!BK74&gt;0,data!BK74,"")</f>
        <v/>
      </c>
      <c r="H281" s="300" t="str">
        <f>IF(data!BL74&gt;0,data!BL74,"")</f>
        <v/>
      </c>
      <c r="I281" s="300" t="str">
        <f>IF(data!BM74&gt;0,data!BM74,"")</f>
        <v/>
      </c>
    </row>
    <row r="282" spans="1:9" ht="20.100000000000001" customHeight="1" x14ac:dyDescent="0.2">
      <c r="A282" s="277">
        <v>21</v>
      </c>
      <c r="B282" s="293" t="s">
        <v>980</v>
      </c>
      <c r="C282" s="300" t="str">
        <f>IF(data!BG75&gt;0,data!BG75,"")</f>
        <v/>
      </c>
      <c r="D282" s="300" t="str">
        <f>IF(data!BH75&gt;0,data!BH75,"")</f>
        <v/>
      </c>
      <c r="E282" s="300" t="str">
        <f>IF(data!BI75&gt;0,data!BI75,"")</f>
        <v/>
      </c>
      <c r="F282" s="300" t="str">
        <f>IF(data!BJ75&gt;0,data!BJ75,"")</f>
        <v/>
      </c>
      <c r="G282" s="300" t="str">
        <f>IF(data!BK75&gt;0,data!BK75,"")</f>
        <v/>
      </c>
      <c r="H282" s="300" t="str">
        <f>IF(data!BL75&gt;0,data!BL75,"")</f>
        <v/>
      </c>
      <c r="I282" s="300" t="str">
        <f>IF(data!BM75&gt;0,data!BM75,"")</f>
        <v/>
      </c>
    </row>
    <row r="283" spans="1:9" ht="20.100000000000001" customHeight="1" x14ac:dyDescent="0.2">
      <c r="A283" s="277" t="s">
        <v>981</v>
      </c>
      <c r="B283" s="285"/>
      <c r="C283" s="302"/>
      <c r="D283" s="302"/>
      <c r="E283" s="302"/>
      <c r="F283" s="302"/>
      <c r="G283" s="302"/>
      <c r="H283" s="302"/>
      <c r="I283" s="302"/>
    </row>
    <row r="284" spans="1:9" ht="20.100000000000001" customHeight="1" x14ac:dyDescent="0.2">
      <c r="A284" s="277">
        <v>22</v>
      </c>
      <c r="B284" s="285" t="s">
        <v>982</v>
      </c>
      <c r="C284" s="301">
        <f>data!BG90</f>
        <v>5077</v>
      </c>
      <c r="D284" s="301">
        <f>data!BH90</f>
        <v>24834</v>
      </c>
      <c r="E284" s="301">
        <f>data!BI90</f>
        <v>26210</v>
      </c>
      <c r="F284" s="301">
        <f>data!BJ90</f>
        <v>4555</v>
      </c>
      <c r="G284" s="301">
        <f>data!BK90</f>
        <v>11014</v>
      </c>
      <c r="H284" s="301">
        <f>data!BL90</f>
        <v>5010</v>
      </c>
      <c r="I284" s="301">
        <f>data!BM90</f>
        <v>4678</v>
      </c>
    </row>
    <row r="285" spans="1:9" ht="20.100000000000001" customHeight="1" x14ac:dyDescent="0.2">
      <c r="A285" s="277">
        <v>23</v>
      </c>
      <c r="B285" s="285" t="s">
        <v>983</v>
      </c>
      <c r="C285" s="300" t="str">
        <f>IF(data!BG77&gt;0,data!BG77,"")</f>
        <v/>
      </c>
      <c r="D285" s="301">
        <f>data!BH91</f>
        <v>0</v>
      </c>
      <c r="E285" s="301">
        <f>data!BI91</f>
        <v>0</v>
      </c>
      <c r="F285" s="300" t="str">
        <f>IF(data!BJ77&gt;0,data!BJ77,"")</f>
        <v/>
      </c>
      <c r="G285" s="301">
        <f>data!BK91</f>
        <v>0</v>
      </c>
      <c r="H285" s="301">
        <f>data!BL91</f>
        <v>0</v>
      </c>
      <c r="I285" s="301">
        <f>data!BM91</f>
        <v>0</v>
      </c>
    </row>
    <row r="286" spans="1:9" ht="20.100000000000001" customHeight="1" x14ac:dyDescent="0.2">
      <c r="A286" s="277">
        <v>24</v>
      </c>
      <c r="B286" s="285" t="s">
        <v>984</v>
      </c>
      <c r="C286" s="300" t="str">
        <f>IF(data!BG78&gt;0,data!BG78,"")</f>
        <v/>
      </c>
      <c r="D286" s="301">
        <f>data!BH92</f>
        <v>3167.34</v>
      </c>
      <c r="E286" s="301">
        <f>data!BI92</f>
        <v>3342.9</v>
      </c>
      <c r="F286" s="300" t="str">
        <f>IF(data!BJ78&gt;0,data!BJ78,"")</f>
        <v/>
      </c>
      <c r="G286" s="301">
        <f>data!BK92</f>
        <v>1404.68</v>
      </c>
      <c r="H286" s="301">
        <f>data!BL92</f>
        <v>639.03</v>
      </c>
      <c r="I286" s="301">
        <f>data!BM92</f>
        <v>596.62</v>
      </c>
    </row>
    <row r="287" spans="1:9" ht="20.100000000000001" customHeight="1" x14ac:dyDescent="0.2">
      <c r="A287" s="277">
        <v>25</v>
      </c>
      <c r="B287" s="285" t="s">
        <v>985</v>
      </c>
      <c r="C287" s="300" t="str">
        <f>IF(data!BG79&gt;0,data!BG79,"")</f>
        <v/>
      </c>
      <c r="D287" s="301">
        <f>data!BH93</f>
        <v>0</v>
      </c>
      <c r="E287" s="301">
        <f>data!BI93</f>
        <v>17457.18</v>
      </c>
      <c r="F287" s="300" t="str">
        <f>IF(data!BJ79&gt;0,data!BJ79,"")</f>
        <v/>
      </c>
      <c r="G287" s="301">
        <f>data!BK93</f>
        <v>0</v>
      </c>
      <c r="H287" s="301">
        <f>data!BL93</f>
        <v>0</v>
      </c>
      <c r="I287" s="301">
        <f>data!BM93</f>
        <v>0</v>
      </c>
    </row>
    <row r="288" spans="1:9" ht="20.100000000000001" customHeight="1" x14ac:dyDescent="0.2">
      <c r="A288" s="277">
        <v>26</v>
      </c>
      <c r="B288" s="285" t="s">
        <v>279</v>
      </c>
      <c r="C288" s="300" t="str">
        <f>IF(data!BG80&gt;0,data!BG80,"")</f>
        <v/>
      </c>
      <c r="D288" s="300" t="str">
        <f>IF(data!BH80&gt;0,data!BH80,"")</f>
        <v/>
      </c>
      <c r="E288" s="300" t="str">
        <f>IF(data!BI80&gt;0,data!BI80,"")</f>
        <v/>
      </c>
      <c r="F288" s="300" t="str">
        <f>IF(data!BJ80&gt;0,data!BJ80,"")</f>
        <v/>
      </c>
      <c r="G288" s="300" t="str">
        <f>IF(data!BK80&gt;0,data!BK80,"")</f>
        <v/>
      </c>
      <c r="H288" s="300" t="str">
        <f>IF(data!BL80&gt;0,data!BL80,"")</f>
        <v/>
      </c>
      <c r="I288" s="300" t="str">
        <f>IF(data!BM80&gt;0,data!BM80,"")</f>
        <v/>
      </c>
    </row>
    <row r="289" spans="1:9" ht="20.100000000000001" customHeight="1" x14ac:dyDescent="0.2">
      <c r="A289" s="278" t="s">
        <v>967</v>
      </c>
      <c r="B289" s="279"/>
      <c r="C289" s="279"/>
      <c r="D289" s="279"/>
      <c r="E289" s="279"/>
      <c r="F289" s="279"/>
      <c r="G289" s="279"/>
      <c r="H289" s="279"/>
      <c r="I289" s="278"/>
    </row>
    <row r="290" spans="1:9" ht="20.100000000000001" customHeight="1" x14ac:dyDescent="0.2">
      <c r="D290" s="281"/>
      <c r="I290" s="282" t="s">
        <v>1017</v>
      </c>
    </row>
    <row r="291" spans="1:9" ht="20.100000000000001" customHeight="1" x14ac:dyDescent="0.2">
      <c r="A291" s="281"/>
    </row>
    <row r="292" spans="1:9" ht="20.100000000000001" customHeight="1" x14ac:dyDescent="0.2">
      <c r="A292" s="283" t="str">
        <f>"Hospital: "&amp;data!C98</f>
        <v>Hospital: EvergreenHealth Kirkland / King Country Public Hos #2</v>
      </c>
      <c r="G292" s="284"/>
      <c r="H292" s="283" t="str">
        <f>"FYE: "&amp;data!C96</f>
        <v>FYE: 12/31/2022</v>
      </c>
    </row>
    <row r="293" spans="1:9" ht="20.100000000000001" customHeight="1" x14ac:dyDescent="0.2">
      <c r="A293" s="277">
        <v>1</v>
      </c>
      <c r="B293" s="285" t="s">
        <v>221</v>
      </c>
      <c r="C293" s="287" t="s">
        <v>84</v>
      </c>
      <c r="D293" s="287" t="s">
        <v>85</v>
      </c>
      <c r="E293" s="287" t="s">
        <v>86</v>
      </c>
      <c r="F293" s="287" t="s">
        <v>87</v>
      </c>
      <c r="G293" s="287" t="s">
        <v>88</v>
      </c>
      <c r="H293" s="287" t="s">
        <v>89</v>
      </c>
      <c r="I293" s="287" t="s">
        <v>90</v>
      </c>
    </row>
    <row r="294" spans="1:9" ht="20.100000000000001" customHeight="1" x14ac:dyDescent="0.2">
      <c r="A294" s="288">
        <v>2</v>
      </c>
      <c r="B294" s="289" t="s">
        <v>969</v>
      </c>
      <c r="C294" s="291" t="s">
        <v>160</v>
      </c>
      <c r="D294" s="291" t="s">
        <v>161</v>
      </c>
      <c r="E294" s="291" t="s">
        <v>162</v>
      </c>
      <c r="F294" s="291" t="s">
        <v>163</v>
      </c>
      <c r="G294" s="291"/>
      <c r="H294" s="291" t="s">
        <v>165</v>
      </c>
      <c r="I294" s="291" t="s">
        <v>166</v>
      </c>
    </row>
    <row r="295" spans="1:9" ht="20.100000000000001" customHeight="1" x14ac:dyDescent="0.2">
      <c r="A295" s="288"/>
      <c r="B295" s="289"/>
      <c r="C295" s="291" t="s">
        <v>1018</v>
      </c>
      <c r="D295" s="291" t="s">
        <v>206</v>
      </c>
      <c r="E295" s="291" t="s">
        <v>207</v>
      </c>
      <c r="F295" s="291" t="s">
        <v>208</v>
      </c>
      <c r="G295" s="291" t="s">
        <v>164</v>
      </c>
      <c r="H295" s="291" t="s">
        <v>209</v>
      </c>
      <c r="I295" s="291" t="s">
        <v>181</v>
      </c>
    </row>
    <row r="296" spans="1:9" ht="20.100000000000001" customHeight="1" x14ac:dyDescent="0.2">
      <c r="A296" s="277">
        <v>3</v>
      </c>
      <c r="B296" s="285" t="s">
        <v>973</v>
      </c>
      <c r="C296" s="297"/>
      <c r="D296" s="297"/>
      <c r="E296" s="297"/>
      <c r="F296" s="297"/>
      <c r="G296" s="297"/>
      <c r="H296" s="297"/>
      <c r="I296" s="297"/>
    </row>
    <row r="297" spans="1:9" ht="20.100000000000001" customHeight="1" x14ac:dyDescent="0.2">
      <c r="A297" s="277">
        <v>4</v>
      </c>
      <c r="B297" s="285" t="s">
        <v>246</v>
      </c>
      <c r="C297" s="297"/>
      <c r="D297" s="297"/>
      <c r="E297" s="297"/>
      <c r="F297" s="297"/>
      <c r="G297" s="297"/>
      <c r="H297" s="297"/>
      <c r="I297" s="297"/>
    </row>
    <row r="298" spans="1:9" ht="20.100000000000001" customHeight="1" x14ac:dyDescent="0.2">
      <c r="A298" s="277">
        <v>5</v>
      </c>
      <c r="B298" s="285" t="s">
        <v>247</v>
      </c>
      <c r="C298" s="292">
        <f>data!BN60</f>
        <v>26.630081730769231</v>
      </c>
      <c r="D298" s="292">
        <f>data!BO60</f>
        <v>9.9694759615384623</v>
      </c>
      <c r="E298" s="292">
        <f>data!BP60</f>
        <v>10.167740384615385</v>
      </c>
      <c r="F298" s="292">
        <f>data!BQ60</f>
        <v>4.2926634615384618</v>
      </c>
      <c r="G298" s="292">
        <f>data!BR60</f>
        <v>31.588865384615382</v>
      </c>
      <c r="H298" s="292">
        <f>data!BS60</f>
        <v>5.6887499999999998</v>
      </c>
      <c r="I298" s="292">
        <f>data!BT60</f>
        <v>1.8015528846153845</v>
      </c>
    </row>
    <row r="299" spans="1:9" ht="20.100000000000001" customHeight="1" x14ac:dyDescent="0.2">
      <c r="A299" s="277">
        <v>6</v>
      </c>
      <c r="B299" s="285" t="s">
        <v>248</v>
      </c>
      <c r="C299" s="285">
        <f>data!BN61</f>
        <v>7767527.6800000006</v>
      </c>
      <c r="D299" s="285">
        <f>data!BO61</f>
        <v>1320105.54</v>
      </c>
      <c r="E299" s="285">
        <f>data!BP61</f>
        <v>1204736.8999999999</v>
      </c>
      <c r="F299" s="285">
        <f>data!BQ61</f>
        <v>529323.44999999995</v>
      </c>
      <c r="G299" s="285">
        <f>data!BR61</f>
        <v>2559584.61</v>
      </c>
      <c r="H299" s="285">
        <f>data!BS61</f>
        <v>367803.86</v>
      </c>
      <c r="I299" s="285">
        <f>data!BT61</f>
        <v>137837.5</v>
      </c>
    </row>
    <row r="300" spans="1:9" ht="20.100000000000001" customHeight="1" x14ac:dyDescent="0.2">
      <c r="A300" s="277">
        <v>7</v>
      </c>
      <c r="B300" s="285" t="s">
        <v>9</v>
      </c>
      <c r="C300" s="285">
        <f>data!BN62</f>
        <v>1259322</v>
      </c>
      <c r="D300" s="285">
        <f>data!BO62</f>
        <v>277989</v>
      </c>
      <c r="E300" s="285">
        <f>data!BP62</f>
        <v>356865</v>
      </c>
      <c r="F300" s="285">
        <f>data!BQ62</f>
        <v>116190</v>
      </c>
      <c r="G300" s="285">
        <f>data!BR62</f>
        <v>5158748</v>
      </c>
      <c r="H300" s="285">
        <f>data!BS62</f>
        <v>122575</v>
      </c>
      <c r="I300" s="285">
        <f>data!BT62</f>
        <v>56661</v>
      </c>
    </row>
    <row r="301" spans="1:9" ht="20.100000000000001" customHeight="1" x14ac:dyDescent="0.2">
      <c r="A301" s="277">
        <v>8</v>
      </c>
      <c r="B301" s="285" t="s">
        <v>249</v>
      </c>
      <c r="C301" s="285">
        <f>data!BN63</f>
        <v>6478328.79</v>
      </c>
      <c r="D301" s="285">
        <f>data!BO63</f>
        <v>1234</v>
      </c>
      <c r="E301" s="285">
        <f>data!BP63</f>
        <v>-7620</v>
      </c>
      <c r="F301" s="285">
        <f>data!BQ63</f>
        <v>0</v>
      </c>
      <c r="G301" s="285">
        <f>data!BR63</f>
        <v>2592718.8199999998</v>
      </c>
      <c r="H301" s="285">
        <f>data!BS63</f>
        <v>0</v>
      </c>
      <c r="I301" s="285">
        <f>data!BT63</f>
        <v>0</v>
      </c>
    </row>
    <row r="302" spans="1:9" ht="20.100000000000001" customHeight="1" x14ac:dyDescent="0.2">
      <c r="A302" s="277">
        <v>9</v>
      </c>
      <c r="B302" s="285" t="s">
        <v>250</v>
      </c>
      <c r="C302" s="285">
        <f>data!BN64</f>
        <v>48004.81</v>
      </c>
      <c r="D302" s="285">
        <f>data!BO64</f>
        <v>235139.44999999998</v>
      </c>
      <c r="E302" s="285">
        <f>data!BP64</f>
        <v>84419.09</v>
      </c>
      <c r="F302" s="285">
        <f>data!BQ64</f>
        <v>1757.74</v>
      </c>
      <c r="G302" s="285">
        <f>data!BR64</f>
        <v>60032.080000000009</v>
      </c>
      <c r="H302" s="285">
        <f>data!BS64</f>
        <v>249631.61000000002</v>
      </c>
      <c r="I302" s="285">
        <f>data!BT64</f>
        <v>35.24</v>
      </c>
    </row>
    <row r="303" spans="1:9" ht="20.100000000000001" customHeight="1" x14ac:dyDescent="0.2">
      <c r="A303" s="277">
        <v>10</v>
      </c>
      <c r="B303" s="285" t="s">
        <v>497</v>
      </c>
      <c r="C303" s="285">
        <f>data!BN65</f>
        <v>0</v>
      </c>
      <c r="D303" s="285">
        <f>data!BO65</f>
        <v>418.76</v>
      </c>
      <c r="E303" s="285">
        <f>data!BP65</f>
        <v>666.72</v>
      </c>
      <c r="F303" s="285">
        <f>data!BQ65</f>
        <v>0</v>
      </c>
      <c r="G303" s="285">
        <f>data!BR65</f>
        <v>0</v>
      </c>
      <c r="H303" s="285">
        <f>data!BS65</f>
        <v>566.72</v>
      </c>
      <c r="I303" s="285">
        <f>data!BT65</f>
        <v>3991.29</v>
      </c>
    </row>
    <row r="304" spans="1:9" ht="20.100000000000001" customHeight="1" x14ac:dyDescent="0.2">
      <c r="A304" s="277">
        <v>11</v>
      </c>
      <c r="B304" s="285" t="s">
        <v>498</v>
      </c>
      <c r="C304" s="285">
        <f>data!BN66</f>
        <v>1125408.1000000001</v>
      </c>
      <c r="D304" s="285">
        <f>data!BO66</f>
        <v>98607.040000000008</v>
      </c>
      <c r="E304" s="285">
        <f>data!BP66</f>
        <v>5360035.3100000005</v>
      </c>
      <c r="F304" s="285">
        <f>data!BQ66</f>
        <v>281.11</v>
      </c>
      <c r="G304" s="285">
        <f>data!BR66</f>
        <v>724549.29</v>
      </c>
      <c r="H304" s="285">
        <f>data!BS66</f>
        <v>11733.5</v>
      </c>
      <c r="I304" s="285">
        <f>data!BT66</f>
        <v>139.63999999999999</v>
      </c>
    </row>
    <row r="305" spans="1:9" ht="20.100000000000001" customHeight="1" x14ac:dyDescent="0.2">
      <c r="A305" s="277">
        <v>12</v>
      </c>
      <c r="B305" s="285" t="s">
        <v>11</v>
      </c>
      <c r="C305" s="285">
        <f>data!BN67</f>
        <v>226493</v>
      </c>
      <c r="D305" s="285">
        <f>data!BO67</f>
        <v>56926</v>
      </c>
      <c r="E305" s="285">
        <f>data!BP67</f>
        <v>74856</v>
      </c>
      <c r="F305" s="285">
        <f>data!BQ67</f>
        <v>3058</v>
      </c>
      <c r="G305" s="285">
        <f>data!BR67</f>
        <v>6528</v>
      </c>
      <c r="H305" s="285">
        <f>data!BS67</f>
        <v>17793</v>
      </c>
      <c r="I305" s="285">
        <f>data!BT67</f>
        <v>20389</v>
      </c>
    </row>
    <row r="306" spans="1:9" ht="20.100000000000001" customHeight="1" x14ac:dyDescent="0.2">
      <c r="A306" s="277">
        <v>13</v>
      </c>
      <c r="B306" s="285" t="s">
        <v>974</v>
      </c>
      <c r="C306" s="285">
        <f>data!BN68</f>
        <v>0</v>
      </c>
      <c r="D306" s="285">
        <f>data!BO68</f>
        <v>0</v>
      </c>
      <c r="E306" s="285">
        <f>data!BP68</f>
        <v>0</v>
      </c>
      <c r="F306" s="285">
        <f>data!BQ68</f>
        <v>0</v>
      </c>
      <c r="G306" s="285">
        <f>data!BR68</f>
        <v>968.5</v>
      </c>
      <c r="H306" s="285">
        <f>data!BS68</f>
        <v>0</v>
      </c>
      <c r="I306" s="285">
        <f>data!BT68</f>
        <v>0</v>
      </c>
    </row>
    <row r="307" spans="1:9" ht="20.100000000000001" customHeight="1" x14ac:dyDescent="0.2">
      <c r="A307" s="277">
        <v>14</v>
      </c>
      <c r="B307" s="285" t="s">
        <v>975</v>
      </c>
      <c r="C307" s="285">
        <f>data!BN69</f>
        <v>911764.04000000015</v>
      </c>
      <c r="D307" s="285">
        <f>data!BO69</f>
        <v>2767.95</v>
      </c>
      <c r="E307" s="285">
        <f>data!BP69</f>
        <v>13264.26</v>
      </c>
      <c r="F307" s="285">
        <f>data!BQ69</f>
        <v>7733.66</v>
      </c>
      <c r="G307" s="285">
        <f>data!BR69</f>
        <v>24515.34</v>
      </c>
      <c r="H307" s="285">
        <f>data!BS69</f>
        <v>2022.2499999999998</v>
      </c>
      <c r="I307" s="285">
        <f>data!BT69</f>
        <v>0</v>
      </c>
    </row>
    <row r="308" spans="1:9" ht="20.100000000000001" customHeight="1" x14ac:dyDescent="0.2">
      <c r="A308" s="277">
        <v>15</v>
      </c>
      <c r="B308" s="285" t="s">
        <v>269</v>
      </c>
      <c r="C308" s="285">
        <f>-data!BN84</f>
        <v>-8589.61</v>
      </c>
      <c r="D308" s="285">
        <f>-data!BO84</f>
        <v>-80026.570000000007</v>
      </c>
      <c r="E308" s="285">
        <f>-data!BP84</f>
        <v>0</v>
      </c>
      <c r="F308" s="285">
        <f>-data!BQ84</f>
        <v>0</v>
      </c>
      <c r="G308" s="285">
        <f>-data!BR84</f>
        <v>0</v>
      </c>
      <c r="H308" s="285">
        <f>-data!BS84</f>
        <v>-449997.41</v>
      </c>
      <c r="I308" s="285">
        <f>-data!BT84</f>
        <v>-49.92</v>
      </c>
    </row>
    <row r="309" spans="1:9" ht="20.100000000000001" customHeight="1" x14ac:dyDescent="0.2">
      <c r="A309" s="277">
        <v>16</v>
      </c>
      <c r="B309" s="293" t="s">
        <v>976</v>
      </c>
      <c r="C309" s="285">
        <f>data!BN85</f>
        <v>17808258.809999999</v>
      </c>
      <c r="D309" s="285">
        <f>data!BO85</f>
        <v>1913161.17</v>
      </c>
      <c r="E309" s="285">
        <f>data!BP85</f>
        <v>7087223.2800000003</v>
      </c>
      <c r="F309" s="285">
        <f>data!BQ85</f>
        <v>658343.96</v>
      </c>
      <c r="G309" s="285">
        <f>data!BR85</f>
        <v>11127644.640000001</v>
      </c>
      <c r="H309" s="285">
        <f>data!BS85</f>
        <v>322128.52999999997</v>
      </c>
      <c r="I309" s="285">
        <f>data!BT85</f>
        <v>219003.75</v>
      </c>
    </row>
    <row r="310" spans="1:9" ht="20.100000000000001" customHeight="1" x14ac:dyDescent="0.2">
      <c r="A310" s="277">
        <v>17</v>
      </c>
      <c r="B310" s="285" t="s">
        <v>271</v>
      </c>
      <c r="C310" s="295"/>
      <c r="D310" s="295"/>
      <c r="E310" s="295"/>
      <c r="F310" s="295"/>
      <c r="G310" s="295"/>
      <c r="H310" s="295"/>
      <c r="I310" s="295"/>
    </row>
    <row r="311" spans="1:9" ht="20.100000000000001" customHeight="1" x14ac:dyDescent="0.2">
      <c r="A311" s="277">
        <v>18</v>
      </c>
      <c r="B311" s="285" t="s">
        <v>977</v>
      </c>
      <c r="C311" s="285"/>
      <c r="D311" s="285"/>
      <c r="E311" s="285"/>
      <c r="F311" s="285"/>
      <c r="G311" s="285"/>
      <c r="H311" s="285"/>
      <c r="I311" s="285"/>
    </row>
    <row r="312" spans="1:9" ht="20.100000000000001" customHeight="1" x14ac:dyDescent="0.2">
      <c r="A312" s="277">
        <v>19</v>
      </c>
      <c r="B312" s="293" t="s">
        <v>978</v>
      </c>
      <c r="C312" s="300" t="str">
        <f>IF(data!BN73&gt;0,data!BN73,"")</f>
        <v/>
      </c>
      <c r="D312" s="300" t="str">
        <f>IF(data!BO73&gt;0,data!BO73,"")</f>
        <v/>
      </c>
      <c r="E312" s="300" t="str">
        <f>IF(data!BP73&gt;0,data!BP73,"")</f>
        <v/>
      </c>
      <c r="F312" s="300" t="str">
        <f>IF(data!BQ73&gt;0,data!BQ73,"")</f>
        <v/>
      </c>
      <c r="G312" s="300" t="str">
        <f>IF(data!BR73&gt;0,data!BR73,"")</f>
        <v/>
      </c>
      <c r="H312" s="300" t="str">
        <f>IF(data!BS73&gt;0,data!BS73,"")</f>
        <v/>
      </c>
      <c r="I312" s="300" t="str">
        <f>IF(data!BT73&gt;0,data!BT73,"")</f>
        <v/>
      </c>
    </row>
    <row r="313" spans="1:9" ht="20.100000000000001" customHeight="1" x14ac:dyDescent="0.2">
      <c r="A313" s="277">
        <v>20</v>
      </c>
      <c r="B313" s="293" t="s">
        <v>979</v>
      </c>
      <c r="C313" s="300" t="str">
        <f>IF(data!BN74&gt;0,data!BN74,"")</f>
        <v/>
      </c>
      <c r="D313" s="300" t="str">
        <f>IF(data!BO74&gt;0,data!BO74,"")</f>
        <v/>
      </c>
      <c r="E313" s="300" t="str">
        <f>IF(data!BP74&gt;0,data!BP74,"")</f>
        <v/>
      </c>
      <c r="F313" s="300" t="str">
        <f>IF(data!BQ74&gt;0,data!BQ74,"")</f>
        <v/>
      </c>
      <c r="G313" s="300" t="str">
        <f>IF(data!BR74&gt;0,data!BR74,"")</f>
        <v/>
      </c>
      <c r="H313" s="300" t="str">
        <f>IF(data!BS74&gt;0,data!BS74,"")</f>
        <v/>
      </c>
      <c r="I313" s="300" t="str">
        <f>IF(data!BT74&gt;0,data!BT74,"")</f>
        <v/>
      </c>
    </row>
    <row r="314" spans="1:9" ht="20.100000000000001" customHeight="1" x14ac:dyDescent="0.2">
      <c r="A314" s="277">
        <v>21</v>
      </c>
      <c r="B314" s="293" t="s">
        <v>980</v>
      </c>
      <c r="C314" s="300" t="str">
        <f>IF(data!BN75&gt;0,data!BN75,"")</f>
        <v/>
      </c>
      <c r="D314" s="300" t="str">
        <f>IF(data!BO75&gt;0,data!BO75,"")</f>
        <v/>
      </c>
      <c r="E314" s="300" t="str">
        <f>IF(data!BP75&gt;0,data!BP75,"")</f>
        <v/>
      </c>
      <c r="F314" s="300" t="str">
        <f>IF(data!BQ75&gt;0,data!BQ75,"")</f>
        <v/>
      </c>
      <c r="G314" s="300" t="str">
        <f>IF(data!BR75&gt;0,data!BR75,"")</f>
        <v/>
      </c>
      <c r="H314" s="300" t="str">
        <f>IF(data!BS75&gt;0,data!BS75,"")</f>
        <v/>
      </c>
      <c r="I314" s="300" t="str">
        <f>IF(data!BT75&gt;0,data!BT75,"")</f>
        <v/>
      </c>
    </row>
    <row r="315" spans="1:9" ht="20.100000000000001" customHeight="1" x14ac:dyDescent="0.2">
      <c r="A315" s="277" t="s">
        <v>981</v>
      </c>
      <c r="B315" s="285"/>
      <c r="C315" s="295"/>
      <c r="D315" s="295"/>
      <c r="E315" s="295"/>
      <c r="F315" s="295"/>
      <c r="G315" s="295"/>
      <c r="H315" s="295"/>
      <c r="I315" s="295"/>
    </row>
    <row r="316" spans="1:9" ht="20.100000000000001" customHeight="1" x14ac:dyDescent="0.2">
      <c r="A316" s="277">
        <v>22</v>
      </c>
      <c r="B316" s="285" t="s">
        <v>982</v>
      </c>
      <c r="C316" s="301">
        <f>data!BN90</f>
        <v>14258</v>
      </c>
      <c r="D316" s="301">
        <f>data!BO90</f>
        <v>2082</v>
      </c>
      <c r="E316" s="301">
        <f>data!BP90</f>
        <v>1894</v>
      </c>
      <c r="F316" s="301">
        <f>data!BQ90</f>
        <v>1677</v>
      </c>
      <c r="G316" s="301">
        <f>data!BR90</f>
        <v>3400</v>
      </c>
      <c r="H316" s="301">
        <f>data!BS90</f>
        <v>5109</v>
      </c>
      <c r="I316" s="301">
        <f>data!BT90</f>
        <v>947</v>
      </c>
    </row>
    <row r="317" spans="1:9" ht="20.100000000000001" customHeight="1" x14ac:dyDescent="0.2">
      <c r="A317" s="277">
        <v>23</v>
      </c>
      <c r="B317" s="285" t="s">
        <v>983</v>
      </c>
      <c r="C317" s="300" t="str">
        <f>IF(data!BN77&gt;0,data!BN77,"")</f>
        <v/>
      </c>
      <c r="D317" s="300" t="str">
        <f>IF(data!BO77&gt;0,data!BO77,"")</f>
        <v/>
      </c>
      <c r="E317" s="300" t="str">
        <f>IF(data!BP77&gt;0,data!BP77,"")</f>
        <v/>
      </c>
      <c r="F317" s="300" t="str">
        <f>IF(data!BQ77&gt;0,data!BQ77,"")</f>
        <v/>
      </c>
      <c r="G317" s="301">
        <f>data!BR91</f>
        <v>0</v>
      </c>
      <c r="H317" s="301">
        <f>data!BS91</f>
        <v>0</v>
      </c>
      <c r="I317" s="301">
        <f>data!BT91</f>
        <v>0</v>
      </c>
    </row>
    <row r="318" spans="1:9" ht="20.100000000000001" customHeight="1" x14ac:dyDescent="0.2">
      <c r="A318" s="277">
        <v>24</v>
      </c>
      <c r="B318" s="285" t="s">
        <v>984</v>
      </c>
      <c r="C318" s="300" t="str">
        <f>IF(data!BN78&gt;0,data!BN78,"")</f>
        <v/>
      </c>
      <c r="D318" s="300" t="str">
        <f>IF(data!BO78&gt;0,data!BO78,"")</f>
        <v/>
      </c>
      <c r="E318" s="300" t="str">
        <f>IF(data!BP78&gt;0,data!BP78,"")</f>
        <v/>
      </c>
      <c r="F318" s="300" t="str">
        <f>IF(data!BQ78&gt;0,data!BQ78,"")</f>
        <v/>
      </c>
      <c r="G318" s="300" t="str">
        <f>IF(data!BR78&gt;0,data!BR78,"")</f>
        <v/>
      </c>
      <c r="H318" s="301">
        <f>data!BS92</f>
        <v>651.66999999999996</v>
      </c>
      <c r="I318" s="301">
        <f>data!BT92</f>
        <v>120.79</v>
      </c>
    </row>
    <row r="319" spans="1:9" ht="20.100000000000001" customHeight="1" x14ac:dyDescent="0.2">
      <c r="A319" s="277">
        <v>25</v>
      </c>
      <c r="B319" s="285" t="s">
        <v>985</v>
      </c>
      <c r="C319" s="300" t="str">
        <f>IF(data!BN79&gt;0,data!BN79,"")</f>
        <v/>
      </c>
      <c r="D319" s="300" t="str">
        <f>IF(data!BO79&gt;0,data!BO79,"")</f>
        <v/>
      </c>
      <c r="E319" s="300" t="str">
        <f>IF(data!BP79&gt;0,data!BP79,"")</f>
        <v/>
      </c>
      <c r="F319" s="300" t="str">
        <f>IF(data!BQ79&gt;0,data!BQ79,"")</f>
        <v/>
      </c>
      <c r="G319" s="300" t="str">
        <f>IF(data!BR79&gt;0,data!BR79,"")</f>
        <v/>
      </c>
      <c r="H319" s="301">
        <f>data!BS93</f>
        <v>0</v>
      </c>
      <c r="I319" s="301">
        <f>data!BT93</f>
        <v>0</v>
      </c>
    </row>
    <row r="320" spans="1:9" ht="20.100000000000001" customHeight="1" x14ac:dyDescent="0.2">
      <c r="A320" s="277">
        <v>26</v>
      </c>
      <c r="B320" s="285" t="s">
        <v>279</v>
      </c>
      <c r="C320" s="303" t="str">
        <f>IF(data!BN80&gt;0,data!BN80,"")</f>
        <v/>
      </c>
      <c r="D320" s="303" t="str">
        <f>IF(data!BO80&gt;0,data!BO80,"")</f>
        <v/>
      </c>
      <c r="E320" s="303" t="str">
        <f>IF(data!BP80&gt;0,data!BP80,"")</f>
        <v/>
      </c>
      <c r="F320" s="303" t="str">
        <f>IF(data!BQ80&gt;0,data!BQ80,"")</f>
        <v/>
      </c>
      <c r="G320" s="303" t="str">
        <f>IF(data!BR80&gt;0,data!BR80,"")</f>
        <v/>
      </c>
      <c r="H320" s="303" t="str">
        <f>IF(data!BS80&gt;0,data!BS80,"")</f>
        <v/>
      </c>
      <c r="I320" s="303" t="str">
        <f>IF(data!BT80&gt;0,data!BT80,"")</f>
        <v/>
      </c>
    </row>
    <row r="321" spans="1:9" ht="20.100000000000001" customHeight="1" x14ac:dyDescent="0.2">
      <c r="A321" s="278" t="s">
        <v>967</v>
      </c>
      <c r="B321" s="279"/>
      <c r="C321" s="279"/>
      <c r="D321" s="279"/>
      <c r="E321" s="279"/>
      <c r="F321" s="279"/>
      <c r="G321" s="279"/>
      <c r="H321" s="279"/>
      <c r="I321" s="278"/>
    </row>
    <row r="322" spans="1:9" ht="20.100000000000001" customHeight="1" x14ac:dyDescent="0.2">
      <c r="D322" s="281"/>
      <c r="I322" s="282" t="s">
        <v>1019</v>
      </c>
    </row>
    <row r="323" spans="1:9" ht="20.100000000000001" customHeight="1" x14ac:dyDescent="0.2">
      <c r="A323" s="281"/>
    </row>
    <row r="324" spans="1:9" ht="20.100000000000001" customHeight="1" x14ac:dyDescent="0.2">
      <c r="A324" s="283" t="str">
        <f>"Hospital: "&amp;data!C98</f>
        <v>Hospital: EvergreenHealth Kirkland / King Country Public Hos #2</v>
      </c>
      <c r="G324" s="284"/>
      <c r="H324" s="283" t="str">
        <f>"FYE: "&amp;data!C96</f>
        <v>FYE: 12/31/2022</v>
      </c>
    </row>
    <row r="325" spans="1:9" ht="20.100000000000001" customHeight="1" x14ac:dyDescent="0.2">
      <c r="A325" s="277">
        <v>1</v>
      </c>
      <c r="B325" s="285" t="s">
        <v>221</v>
      </c>
      <c r="C325" s="287" t="s">
        <v>91</v>
      </c>
      <c r="D325" s="287" t="s">
        <v>92</v>
      </c>
      <c r="E325" s="287" t="s">
        <v>93</v>
      </c>
      <c r="F325" s="287" t="s">
        <v>94</v>
      </c>
      <c r="G325" s="287" t="s">
        <v>95</v>
      </c>
      <c r="H325" s="287" t="s">
        <v>96</v>
      </c>
      <c r="I325" s="287" t="s">
        <v>97</v>
      </c>
    </row>
    <row r="326" spans="1:9" ht="20.100000000000001" customHeight="1" x14ac:dyDescent="0.2">
      <c r="A326" s="288">
        <v>2</v>
      </c>
      <c r="B326" s="289" t="s">
        <v>969</v>
      </c>
      <c r="C326" s="291" t="s">
        <v>167</v>
      </c>
      <c r="D326" s="291" t="s">
        <v>167</v>
      </c>
      <c r="E326" s="291" t="s">
        <v>167</v>
      </c>
      <c r="F326" s="291" t="s">
        <v>168</v>
      </c>
      <c r="G326" s="291" t="s">
        <v>169</v>
      </c>
      <c r="H326" s="291" t="s">
        <v>170</v>
      </c>
      <c r="I326" s="291" t="s">
        <v>171</v>
      </c>
    </row>
    <row r="327" spans="1:9" ht="20.100000000000001" customHeight="1" x14ac:dyDescent="0.2">
      <c r="A327" s="288"/>
      <c r="B327" s="289"/>
      <c r="C327" s="291" t="s">
        <v>210</v>
      </c>
      <c r="D327" s="291" t="s">
        <v>211</v>
      </c>
      <c r="E327" s="291" t="s">
        <v>212</v>
      </c>
      <c r="F327" s="291" t="s">
        <v>163</v>
      </c>
      <c r="G327" s="291" t="s">
        <v>1018</v>
      </c>
      <c r="H327" s="291" t="s">
        <v>164</v>
      </c>
      <c r="I327" s="291" t="s">
        <v>213</v>
      </c>
    </row>
    <row r="328" spans="1:9" ht="20.100000000000001" customHeight="1" x14ac:dyDescent="0.2">
      <c r="A328" s="277">
        <v>3</v>
      </c>
      <c r="B328" s="285" t="s">
        <v>973</v>
      </c>
      <c r="C328" s="297"/>
      <c r="D328" s="297"/>
      <c r="E328" s="297"/>
      <c r="F328" s="297"/>
      <c r="G328" s="297"/>
      <c r="H328" s="297"/>
      <c r="I328" s="297"/>
    </row>
    <row r="329" spans="1:9" ht="20.100000000000001" customHeight="1" x14ac:dyDescent="0.2">
      <c r="A329" s="277">
        <v>4</v>
      </c>
      <c r="B329" s="285" t="s">
        <v>246</v>
      </c>
      <c r="C329" s="297"/>
      <c r="D329" s="297"/>
      <c r="E329" s="297"/>
      <c r="F329" s="297"/>
      <c r="G329" s="297"/>
      <c r="H329" s="297"/>
      <c r="I329" s="297"/>
    </row>
    <row r="330" spans="1:9" ht="20.100000000000001" customHeight="1" x14ac:dyDescent="0.2">
      <c r="A330" s="277">
        <v>5</v>
      </c>
      <c r="B330" s="285" t="s">
        <v>247</v>
      </c>
      <c r="C330" s="292">
        <f>data!BU60</f>
        <v>0</v>
      </c>
      <c r="D330" s="292">
        <f>data!BV60</f>
        <v>55.457471153846157</v>
      </c>
      <c r="E330" s="292">
        <f>data!BW60</f>
        <v>8.1218798076923076</v>
      </c>
      <c r="F330" s="292">
        <f>data!BX60</f>
        <v>53.623326923076917</v>
      </c>
      <c r="G330" s="292">
        <f>data!BY60</f>
        <v>12.335701923076924</v>
      </c>
      <c r="H330" s="292">
        <f>data!BZ60</f>
        <v>41.36040865384615</v>
      </c>
      <c r="I330" s="292">
        <f>data!CA60</f>
        <v>14.156913461538462</v>
      </c>
    </row>
    <row r="331" spans="1:9" ht="20.100000000000001" customHeight="1" x14ac:dyDescent="0.2">
      <c r="A331" s="277">
        <v>6</v>
      </c>
      <c r="B331" s="285" t="s">
        <v>248</v>
      </c>
      <c r="C331" s="304">
        <f>data!BU61</f>
        <v>0</v>
      </c>
      <c r="D331" s="304">
        <f>data!BV61</f>
        <v>3958012.169999999</v>
      </c>
      <c r="E331" s="304">
        <f>data!BW61</f>
        <v>3003271.7</v>
      </c>
      <c r="F331" s="304">
        <f>data!BX61</f>
        <v>6611060.919999999</v>
      </c>
      <c r="G331" s="304">
        <f>data!BY61</f>
        <v>1494478.0699999996</v>
      </c>
      <c r="H331" s="304">
        <f>data!BZ61</f>
        <v>4227814.16</v>
      </c>
      <c r="I331" s="304">
        <f>data!CA61</f>
        <v>1661008.4500000004</v>
      </c>
    </row>
    <row r="332" spans="1:9" ht="20.100000000000001" customHeight="1" x14ac:dyDescent="0.2">
      <c r="A332" s="277">
        <v>7</v>
      </c>
      <c r="B332" s="285" t="s">
        <v>9</v>
      </c>
      <c r="C332" s="304">
        <f>data!BU62</f>
        <v>0</v>
      </c>
      <c r="D332" s="304">
        <f>data!BV62</f>
        <v>1231879</v>
      </c>
      <c r="E332" s="304">
        <f>data!BW62</f>
        <v>163854</v>
      </c>
      <c r="F332" s="304">
        <f>data!BX62</f>
        <v>1369685</v>
      </c>
      <c r="G332" s="304">
        <f>data!BY62</f>
        <v>374354</v>
      </c>
      <c r="H332" s="304">
        <f>data!BZ62</f>
        <v>1188814</v>
      </c>
      <c r="I332" s="304">
        <f>data!CA62</f>
        <v>399258</v>
      </c>
    </row>
    <row r="333" spans="1:9" ht="20.100000000000001" customHeight="1" x14ac:dyDescent="0.2">
      <c r="A333" s="277">
        <v>8</v>
      </c>
      <c r="B333" s="285" t="s">
        <v>249</v>
      </c>
      <c r="C333" s="304">
        <f>data!BU63</f>
        <v>0</v>
      </c>
      <c r="D333" s="304">
        <f>data!BV63</f>
        <v>-6744.56</v>
      </c>
      <c r="E333" s="304">
        <f>data!BW63</f>
        <v>2138121.15</v>
      </c>
      <c r="F333" s="304">
        <f>data!BX63</f>
        <v>125944.93</v>
      </c>
      <c r="G333" s="304">
        <f>data!BY63</f>
        <v>1280</v>
      </c>
      <c r="H333" s="304">
        <f>data!BZ63</f>
        <v>0</v>
      </c>
      <c r="I333" s="304">
        <f>data!CA63</f>
        <v>1031.25</v>
      </c>
    </row>
    <row r="334" spans="1:9" ht="20.100000000000001" customHeight="1" x14ac:dyDescent="0.2">
      <c r="A334" s="277">
        <v>9</v>
      </c>
      <c r="B334" s="285" t="s">
        <v>250</v>
      </c>
      <c r="C334" s="304">
        <f>data!BU64</f>
        <v>36664.03</v>
      </c>
      <c r="D334" s="304">
        <f>data!BV64</f>
        <v>7087.3</v>
      </c>
      <c r="E334" s="304">
        <f>data!BW64</f>
        <v>1549.79</v>
      </c>
      <c r="F334" s="304">
        <f>data!BX64</f>
        <v>57496.08</v>
      </c>
      <c r="G334" s="304">
        <f>data!BY64</f>
        <v>8730.85</v>
      </c>
      <c r="H334" s="304">
        <f>data!BZ64</f>
        <v>3718.9700000000003</v>
      </c>
      <c r="I334" s="304">
        <f>data!CA64</f>
        <v>369300.67</v>
      </c>
    </row>
    <row r="335" spans="1:9" ht="20.100000000000001" customHeight="1" x14ac:dyDescent="0.2">
      <c r="A335" s="277">
        <v>10</v>
      </c>
      <c r="B335" s="285" t="s">
        <v>497</v>
      </c>
      <c r="C335" s="304">
        <f>data!BU65</f>
        <v>0</v>
      </c>
      <c r="D335" s="304">
        <f>data!BV65</f>
        <v>0</v>
      </c>
      <c r="E335" s="304">
        <f>data!BW65</f>
        <v>0</v>
      </c>
      <c r="F335" s="304">
        <f>data!BX65</f>
        <v>6387.54</v>
      </c>
      <c r="G335" s="304">
        <f>data!BY65</f>
        <v>1241.21</v>
      </c>
      <c r="H335" s="304">
        <f>data!BZ65</f>
        <v>0</v>
      </c>
      <c r="I335" s="304">
        <f>data!CA65</f>
        <v>0</v>
      </c>
    </row>
    <row r="336" spans="1:9" ht="20.100000000000001" customHeight="1" x14ac:dyDescent="0.2">
      <c r="A336" s="277">
        <v>11</v>
      </c>
      <c r="B336" s="285" t="s">
        <v>498</v>
      </c>
      <c r="C336" s="304">
        <f>data!BU66</f>
        <v>0</v>
      </c>
      <c r="D336" s="304">
        <f>data!BV66</f>
        <v>1611799.11</v>
      </c>
      <c r="E336" s="304">
        <f>data!BW66</f>
        <v>184782.67</v>
      </c>
      <c r="F336" s="304">
        <f>data!BX66</f>
        <v>1163551.93</v>
      </c>
      <c r="G336" s="304">
        <f>data!BY66</f>
        <v>109943.44</v>
      </c>
      <c r="H336" s="304">
        <f>data!BZ66</f>
        <v>19.87</v>
      </c>
      <c r="I336" s="304">
        <f>data!CA66</f>
        <v>319246.61000000004</v>
      </c>
    </row>
    <row r="337" spans="1:9" ht="20.100000000000001" customHeight="1" x14ac:dyDescent="0.2">
      <c r="A337" s="277">
        <v>12</v>
      </c>
      <c r="B337" s="285" t="s">
        <v>11</v>
      </c>
      <c r="C337" s="304">
        <f>data!BU67</f>
        <v>0</v>
      </c>
      <c r="D337" s="304">
        <f>data!BV67</f>
        <v>118183</v>
      </c>
      <c r="E337" s="304">
        <f>data!BW67</f>
        <v>22702</v>
      </c>
      <c r="F337" s="304">
        <f>data!BX67</f>
        <v>66353</v>
      </c>
      <c r="G337" s="304">
        <f>data!BY67</f>
        <v>219574</v>
      </c>
      <c r="H337" s="304">
        <f>data!BZ67</f>
        <v>6913</v>
      </c>
      <c r="I337" s="304">
        <f>data!CA67</f>
        <v>18108</v>
      </c>
    </row>
    <row r="338" spans="1:9" ht="20.100000000000001" customHeight="1" x14ac:dyDescent="0.2">
      <c r="A338" s="277">
        <v>13</v>
      </c>
      <c r="B338" s="285" t="s">
        <v>974</v>
      </c>
      <c r="C338" s="304">
        <f>data!BU68</f>
        <v>0</v>
      </c>
      <c r="D338" s="304">
        <f>data!BV68</f>
        <v>30403.06</v>
      </c>
      <c r="E338" s="304">
        <f>data!BW68</f>
        <v>0</v>
      </c>
      <c r="F338" s="304">
        <f>data!BX68</f>
        <v>0</v>
      </c>
      <c r="G338" s="304">
        <f>data!BY68</f>
        <v>0</v>
      </c>
      <c r="H338" s="304">
        <f>data!BZ68</f>
        <v>0</v>
      </c>
      <c r="I338" s="304">
        <f>data!CA68</f>
        <v>0</v>
      </c>
    </row>
    <row r="339" spans="1:9" ht="20.100000000000001" customHeight="1" x14ac:dyDescent="0.2">
      <c r="A339" s="277">
        <v>14</v>
      </c>
      <c r="B339" s="285" t="s">
        <v>975</v>
      </c>
      <c r="C339" s="304">
        <f>data!BU69</f>
        <v>224990.13</v>
      </c>
      <c r="D339" s="304">
        <f>data!BV69</f>
        <v>3699.15</v>
      </c>
      <c r="E339" s="304">
        <f>data!BW69</f>
        <v>11816.77</v>
      </c>
      <c r="F339" s="304">
        <f>data!BX69</f>
        <v>10129.199999999999</v>
      </c>
      <c r="G339" s="304">
        <f>data!BY69</f>
        <v>16492.760000000002</v>
      </c>
      <c r="H339" s="304">
        <f>data!BZ69</f>
        <v>2156.7399999999998</v>
      </c>
      <c r="I339" s="304">
        <f>data!CA69</f>
        <v>383322.07</v>
      </c>
    </row>
    <row r="340" spans="1:9" ht="20.100000000000001" customHeight="1" x14ac:dyDescent="0.2">
      <c r="A340" s="277">
        <v>15</v>
      </c>
      <c r="B340" s="285" t="s">
        <v>269</v>
      </c>
      <c r="C340" s="285">
        <f>-data!BU84</f>
        <v>-15000</v>
      </c>
      <c r="D340" s="285">
        <f>-data!BV84</f>
        <v>-172684.15</v>
      </c>
      <c r="E340" s="285">
        <f>-data!BW84</f>
        <v>-512591.78</v>
      </c>
      <c r="F340" s="285">
        <f>-data!BX84</f>
        <v>-69883.649999999994</v>
      </c>
      <c r="G340" s="285">
        <f>-data!BY84</f>
        <v>-5639.81</v>
      </c>
      <c r="H340" s="285">
        <f>-data!BZ84</f>
        <v>0</v>
      </c>
      <c r="I340" s="285">
        <f>-data!CA84</f>
        <v>0</v>
      </c>
    </row>
    <row r="341" spans="1:9" ht="20.100000000000001" customHeight="1" x14ac:dyDescent="0.2">
      <c r="A341" s="277">
        <v>16</v>
      </c>
      <c r="B341" s="293" t="s">
        <v>976</v>
      </c>
      <c r="C341" s="285">
        <f>data!BU85</f>
        <v>246654.16</v>
      </c>
      <c r="D341" s="285">
        <f>data!BV85</f>
        <v>6781634.0799999991</v>
      </c>
      <c r="E341" s="285">
        <f>data!BW85</f>
        <v>5013506.2999999989</v>
      </c>
      <c r="F341" s="285">
        <f>data!BX85</f>
        <v>9340724.9499999974</v>
      </c>
      <c r="G341" s="285">
        <f>data!BY85</f>
        <v>2220454.5199999991</v>
      </c>
      <c r="H341" s="285">
        <f>data!BZ85</f>
        <v>5429436.7400000002</v>
      </c>
      <c r="I341" s="285">
        <f>data!CA85</f>
        <v>3151275.0500000003</v>
      </c>
    </row>
    <row r="342" spans="1:9" ht="20.100000000000001" customHeight="1" x14ac:dyDescent="0.2">
      <c r="A342" s="277">
        <v>17</v>
      </c>
      <c r="B342" s="285" t="s">
        <v>271</v>
      </c>
      <c r="C342" s="295"/>
      <c r="D342" s="295"/>
      <c r="E342" s="295"/>
      <c r="F342" s="295"/>
      <c r="G342" s="295"/>
      <c r="H342" s="295"/>
      <c r="I342" s="295"/>
    </row>
    <row r="343" spans="1:9" ht="20.100000000000001" customHeight="1" x14ac:dyDescent="0.2">
      <c r="A343" s="277">
        <v>18</v>
      </c>
      <c r="B343" s="285" t="s">
        <v>977</v>
      </c>
      <c r="C343" s="285"/>
      <c r="D343" s="285"/>
      <c r="E343" s="285"/>
      <c r="F343" s="285"/>
      <c r="G343" s="285"/>
      <c r="H343" s="285"/>
      <c r="I343" s="285"/>
    </row>
    <row r="344" spans="1:9" ht="20.100000000000001" customHeight="1" x14ac:dyDescent="0.2">
      <c r="A344" s="277">
        <v>19</v>
      </c>
      <c r="B344" s="293" t="s">
        <v>978</v>
      </c>
      <c r="C344" s="300" t="str">
        <f>IF(data!BU73&gt;0,data!BU73,"")</f>
        <v/>
      </c>
      <c r="D344" s="300" t="str">
        <f>IF(data!BV73&gt;0,data!BV73,"")</f>
        <v/>
      </c>
      <c r="E344" s="300" t="str">
        <f>IF(data!BW73&gt;0,data!BW73,"")</f>
        <v/>
      </c>
      <c r="F344" s="300" t="str">
        <f>IF(data!BX73&gt;0,data!BX73,"")</f>
        <v/>
      </c>
      <c r="G344" s="300" t="str">
        <f>IF(data!BY73&gt;0,data!BY73,"")</f>
        <v/>
      </c>
      <c r="H344" s="300" t="str">
        <f>IF(data!BZ73&gt;0,data!BZ73,"")</f>
        <v/>
      </c>
      <c r="I344" s="300" t="str">
        <f>IF(data!CA73&gt;0,data!CA73,"")</f>
        <v/>
      </c>
    </row>
    <row r="345" spans="1:9" ht="20.100000000000001" customHeight="1" x14ac:dyDescent="0.2">
      <c r="A345" s="277">
        <v>20</v>
      </c>
      <c r="B345" s="293" t="s">
        <v>979</v>
      </c>
      <c r="C345" s="300" t="str">
        <f>IF(data!BU74&gt;0,data!BU74,"")</f>
        <v/>
      </c>
      <c r="D345" s="300" t="str">
        <f>IF(data!BV74&gt;0,data!BV74,"")</f>
        <v/>
      </c>
      <c r="E345" s="300" t="str">
        <f>IF(data!BW74&gt;0,data!BW74,"")</f>
        <v/>
      </c>
      <c r="F345" s="300" t="str">
        <f>IF(data!BX74&gt;0,data!BX74,"")</f>
        <v/>
      </c>
      <c r="G345" s="300" t="str">
        <f>IF(data!BY74&gt;0,data!BY74,"")</f>
        <v/>
      </c>
      <c r="H345" s="300" t="str">
        <f>IF(data!BZ74&gt;0,data!BZ74,"")</f>
        <v/>
      </c>
      <c r="I345" s="300" t="str">
        <f>IF(data!CA74&gt;0,data!CA74,"")</f>
        <v/>
      </c>
    </row>
    <row r="346" spans="1:9" ht="20.100000000000001" customHeight="1" x14ac:dyDescent="0.2">
      <c r="A346" s="277">
        <v>21</v>
      </c>
      <c r="B346" s="293" t="s">
        <v>980</v>
      </c>
      <c r="C346" s="300" t="str">
        <f>IF(data!BU75&gt;0,data!BU75,"")</f>
        <v/>
      </c>
      <c r="D346" s="300" t="str">
        <f>IF(data!BV75&gt;0,data!BV75,"")</f>
        <v/>
      </c>
      <c r="E346" s="300" t="str">
        <f>IF(data!BW75&gt;0,data!BW75,"")</f>
        <v/>
      </c>
      <c r="F346" s="300" t="str">
        <f>IF(data!BX75&gt;0,data!BX75,"")</f>
        <v/>
      </c>
      <c r="G346" s="300" t="str">
        <f>IF(data!BY75&gt;0,data!BY75,"")</f>
        <v/>
      </c>
      <c r="H346" s="300" t="str">
        <f>IF(data!BZ75&gt;0,data!BZ75,"")</f>
        <v/>
      </c>
      <c r="I346" s="300" t="str">
        <f>IF(data!CA75&gt;0,data!CA75,"")</f>
        <v/>
      </c>
    </row>
    <row r="347" spans="1:9" ht="20.100000000000001" customHeight="1" x14ac:dyDescent="0.2">
      <c r="A347" s="277" t="s">
        <v>981</v>
      </c>
      <c r="B347" s="285"/>
      <c r="C347" s="295"/>
      <c r="D347" s="295"/>
      <c r="E347" s="295"/>
      <c r="F347" s="295"/>
      <c r="G347" s="295"/>
      <c r="H347" s="295"/>
      <c r="I347" s="295"/>
    </row>
    <row r="348" spans="1:9" ht="20.100000000000001" customHeight="1" x14ac:dyDescent="0.2">
      <c r="A348" s="277">
        <v>22</v>
      </c>
      <c r="B348" s="285" t="s">
        <v>982</v>
      </c>
      <c r="C348" s="301">
        <f>data!BU90</f>
        <v>0</v>
      </c>
      <c r="D348" s="301">
        <f>data!BV90</f>
        <v>17194</v>
      </c>
      <c r="E348" s="301">
        <f>data!BW90</f>
        <v>3446</v>
      </c>
      <c r="F348" s="301">
        <f>data!BX90</f>
        <v>3549</v>
      </c>
      <c r="G348" s="301">
        <f>data!BY90</f>
        <v>1319</v>
      </c>
      <c r="H348" s="301">
        <f>data!BZ90</f>
        <v>0</v>
      </c>
      <c r="I348" s="301">
        <f>data!CA90</f>
        <v>5571</v>
      </c>
    </row>
    <row r="349" spans="1:9" ht="20.100000000000001" customHeight="1" x14ac:dyDescent="0.2">
      <c r="A349" s="277">
        <v>23</v>
      </c>
      <c r="B349" s="285" t="s">
        <v>983</v>
      </c>
      <c r="C349" s="301">
        <f>data!BU91</f>
        <v>0</v>
      </c>
      <c r="D349" s="301">
        <f>data!BV91</f>
        <v>0</v>
      </c>
      <c r="E349" s="301">
        <f>data!BW91</f>
        <v>0</v>
      </c>
      <c r="F349" s="301">
        <f>data!BX91</f>
        <v>0</v>
      </c>
      <c r="G349" s="301">
        <f>data!BY91</f>
        <v>0</v>
      </c>
      <c r="H349" s="301">
        <f>data!BZ91</f>
        <v>0</v>
      </c>
      <c r="I349" s="301">
        <f>data!CA91</f>
        <v>0</v>
      </c>
    </row>
    <row r="350" spans="1:9" ht="20.100000000000001" customHeight="1" x14ac:dyDescent="0.2">
      <c r="A350" s="277">
        <v>24</v>
      </c>
      <c r="B350" s="285" t="s">
        <v>984</v>
      </c>
      <c r="C350" s="301">
        <f>data!BU92</f>
        <v>0</v>
      </c>
      <c r="D350" s="301">
        <f>data!BV92</f>
        <v>2192.9699999999998</v>
      </c>
      <c r="E350" s="301">
        <f>data!BW92</f>
        <v>439.56</v>
      </c>
      <c r="F350" s="301">
        <f>data!BX92</f>
        <v>452.96699999999998</v>
      </c>
      <c r="G350" s="301">
        <f>data!BY92</f>
        <v>168.28</v>
      </c>
      <c r="H350" s="301">
        <f>data!BZ92</f>
        <v>0</v>
      </c>
      <c r="I350" s="301">
        <f>data!CA92</f>
        <v>710.51</v>
      </c>
    </row>
    <row r="351" spans="1:9" ht="20.100000000000001" customHeight="1" x14ac:dyDescent="0.2">
      <c r="A351" s="277">
        <v>25</v>
      </c>
      <c r="B351" s="285" t="s">
        <v>985</v>
      </c>
      <c r="C351" s="301">
        <f>data!BU93</f>
        <v>0</v>
      </c>
      <c r="D351" s="301">
        <f>data!BV93</f>
        <v>0</v>
      </c>
      <c r="E351" s="301">
        <f>data!BW93</f>
        <v>0</v>
      </c>
      <c r="F351" s="301">
        <f>data!BX93</f>
        <v>0</v>
      </c>
      <c r="G351" s="301">
        <f>data!BY93</f>
        <v>0</v>
      </c>
      <c r="H351" s="301">
        <f>data!BZ93</f>
        <v>0</v>
      </c>
      <c r="I351" s="301">
        <f>data!CA93</f>
        <v>0</v>
      </c>
    </row>
    <row r="352" spans="1:9" ht="20.100000000000001" customHeight="1" x14ac:dyDescent="0.2">
      <c r="A352" s="277">
        <v>26</v>
      </c>
      <c r="B352" s="285" t="s">
        <v>279</v>
      </c>
      <c r="C352" s="303" t="str">
        <f>IF(data!BU80&gt;0,data!BU80,"")</f>
        <v/>
      </c>
      <c r="D352" s="303" t="str">
        <f>IF(data!BV80&gt;0,data!BV80,"")</f>
        <v/>
      </c>
      <c r="E352" s="303" t="str">
        <f>IF(data!BW80&gt;0,data!BW80,"")</f>
        <v/>
      </c>
      <c r="F352" s="303" t="str">
        <f>IF(data!BX80&gt;0,data!BX80,"")</f>
        <v/>
      </c>
      <c r="G352" s="303" t="str">
        <f>IF(data!BY80&gt;0,data!BY80,"")</f>
        <v/>
      </c>
      <c r="H352" s="303" t="str">
        <f>IF(data!BZ80&gt;0,data!BZ80,"")</f>
        <v/>
      </c>
      <c r="I352" s="303" t="str">
        <f>IF(data!CA80&gt;0,data!CA80,"")</f>
        <v/>
      </c>
    </row>
    <row r="353" spans="1:9" ht="20.100000000000001" customHeight="1" x14ac:dyDescent="0.2">
      <c r="A353" s="278" t="s">
        <v>967</v>
      </c>
      <c r="B353" s="279"/>
      <c r="C353" s="279"/>
      <c r="D353" s="279"/>
      <c r="E353" s="279"/>
      <c r="F353" s="279"/>
      <c r="G353" s="279"/>
      <c r="H353" s="279"/>
      <c r="I353" s="278"/>
    </row>
    <row r="354" spans="1:9" ht="20.100000000000001" customHeight="1" x14ac:dyDescent="0.2">
      <c r="D354" s="281"/>
      <c r="I354" s="282" t="s">
        <v>1020</v>
      </c>
    </row>
    <row r="355" spans="1:9" ht="20.100000000000001" customHeight="1" x14ac:dyDescent="0.2">
      <c r="A355" s="281"/>
    </row>
    <row r="356" spans="1:9" ht="20.100000000000001" customHeight="1" x14ac:dyDescent="0.2">
      <c r="A356" s="283" t="str">
        <f>"Hospital: "&amp;data!C98</f>
        <v>Hospital: EvergreenHealth Kirkland / King Country Public Hos #2</v>
      </c>
      <c r="G356" s="284"/>
      <c r="H356" s="283" t="str">
        <f>"FYE: "&amp;data!C96</f>
        <v>FYE: 12/31/2022</v>
      </c>
    </row>
    <row r="357" spans="1:9" ht="20.100000000000001" customHeight="1" x14ac:dyDescent="0.2">
      <c r="A357" s="277">
        <v>1</v>
      </c>
      <c r="B357" s="285" t="s">
        <v>221</v>
      </c>
      <c r="C357" s="287" t="s">
        <v>98</v>
      </c>
      <c r="D357" s="287" t="s">
        <v>99</v>
      </c>
      <c r="E357" s="287" t="s">
        <v>100</v>
      </c>
      <c r="F357" s="305"/>
      <c r="G357" s="305"/>
      <c r="H357" s="305"/>
      <c r="I357" s="287"/>
    </row>
    <row r="358" spans="1:9" ht="20.100000000000001" customHeight="1" x14ac:dyDescent="0.2">
      <c r="A358" s="288">
        <v>2</v>
      </c>
      <c r="B358" s="289" t="s">
        <v>969</v>
      </c>
      <c r="C358" s="291" t="s">
        <v>172</v>
      </c>
      <c r="D358" s="291" t="s">
        <v>144</v>
      </c>
      <c r="E358" s="291" t="s">
        <v>223</v>
      </c>
      <c r="F358" s="306"/>
      <c r="G358" s="306"/>
      <c r="H358" s="306"/>
      <c r="I358" s="291" t="s">
        <v>173</v>
      </c>
    </row>
    <row r="359" spans="1:9" ht="20.100000000000001" customHeight="1" x14ac:dyDescent="0.2">
      <c r="A359" s="288"/>
      <c r="B359" s="289"/>
      <c r="C359" s="291" t="s">
        <v>213</v>
      </c>
      <c r="D359" s="291" t="s">
        <v>1021</v>
      </c>
      <c r="E359" s="291" t="s">
        <v>225</v>
      </c>
      <c r="F359" s="306"/>
      <c r="G359" s="306"/>
      <c r="H359" s="306"/>
      <c r="I359" s="291" t="s">
        <v>215</v>
      </c>
    </row>
    <row r="360" spans="1:9" ht="20.100000000000001" customHeight="1" x14ac:dyDescent="0.2">
      <c r="A360" s="277">
        <v>3</v>
      </c>
      <c r="B360" s="285" t="s">
        <v>973</v>
      </c>
      <c r="C360" s="297"/>
      <c r="D360" s="297"/>
      <c r="E360" s="297"/>
      <c r="F360" s="297"/>
      <c r="G360" s="297"/>
      <c r="H360" s="297"/>
      <c r="I360" s="297"/>
    </row>
    <row r="361" spans="1:9" ht="20.100000000000001" customHeight="1" x14ac:dyDescent="0.2">
      <c r="A361" s="277">
        <v>4</v>
      </c>
      <c r="B361" s="285" t="s">
        <v>246</v>
      </c>
      <c r="C361" s="297"/>
      <c r="D361" s="297"/>
      <c r="E361" s="297"/>
      <c r="F361" s="297"/>
      <c r="G361" s="297"/>
      <c r="H361" s="297"/>
      <c r="I361" s="297"/>
    </row>
    <row r="362" spans="1:9" ht="20.100000000000001" customHeight="1" x14ac:dyDescent="0.2">
      <c r="A362" s="277">
        <v>5</v>
      </c>
      <c r="B362" s="285" t="s">
        <v>247</v>
      </c>
      <c r="C362" s="292">
        <f>data!CB60</f>
        <v>84.202653846153837</v>
      </c>
      <c r="D362" s="292">
        <f>data!CC60</f>
        <v>48.769999999999996</v>
      </c>
      <c r="E362" s="307"/>
      <c r="F362" s="295"/>
      <c r="G362" s="295"/>
      <c r="H362" s="295"/>
      <c r="I362" s="308">
        <f>data!CE60</f>
        <v>4134.1464182692307</v>
      </c>
    </row>
    <row r="363" spans="1:9" ht="20.100000000000001" customHeight="1" x14ac:dyDescent="0.2">
      <c r="A363" s="277">
        <v>6</v>
      </c>
      <c r="B363" s="285" t="s">
        <v>248</v>
      </c>
      <c r="C363" s="304">
        <f>data!CB61</f>
        <v>6769443.040000001</v>
      </c>
      <c r="D363" s="304">
        <f>data!CC61</f>
        <v>3659385.2699999996</v>
      </c>
      <c r="E363" s="309"/>
      <c r="F363" s="309"/>
      <c r="G363" s="309"/>
      <c r="H363" s="309"/>
      <c r="I363" s="304">
        <f>data!CE61</f>
        <v>517937101.93000019</v>
      </c>
    </row>
    <row r="364" spans="1:9" ht="20.100000000000001" customHeight="1" x14ac:dyDescent="0.2">
      <c r="A364" s="277">
        <v>7</v>
      </c>
      <c r="B364" s="285" t="s">
        <v>9</v>
      </c>
      <c r="C364" s="304">
        <f>data!CB62</f>
        <v>1862526</v>
      </c>
      <c r="D364" s="304">
        <f>data!CC62</f>
        <v>1176345</v>
      </c>
      <c r="E364" s="309"/>
      <c r="F364" s="309"/>
      <c r="G364" s="309"/>
      <c r="H364" s="309"/>
      <c r="I364" s="304">
        <f>data!CE62</f>
        <v>107031353</v>
      </c>
    </row>
    <row r="365" spans="1:9" ht="20.100000000000001" customHeight="1" x14ac:dyDescent="0.2">
      <c r="A365" s="277">
        <v>8</v>
      </c>
      <c r="B365" s="285" t="s">
        <v>249</v>
      </c>
      <c r="C365" s="304">
        <f>data!CB63</f>
        <v>0</v>
      </c>
      <c r="D365" s="304">
        <f>data!CC63</f>
        <v>204938.05</v>
      </c>
      <c r="E365" s="309"/>
      <c r="F365" s="309"/>
      <c r="G365" s="309"/>
      <c r="H365" s="309"/>
      <c r="I365" s="304">
        <f>data!CE63</f>
        <v>23869375.420000002</v>
      </c>
    </row>
    <row r="366" spans="1:9" ht="20.100000000000001" customHeight="1" x14ac:dyDescent="0.2">
      <c r="A366" s="277">
        <v>9</v>
      </c>
      <c r="B366" s="285" t="s">
        <v>250</v>
      </c>
      <c r="C366" s="304">
        <f>data!CB64</f>
        <v>43237.72</v>
      </c>
      <c r="D366" s="304">
        <f>data!CC64</f>
        <v>-1943058.83</v>
      </c>
      <c r="E366" s="309"/>
      <c r="F366" s="309"/>
      <c r="G366" s="309"/>
      <c r="H366" s="309"/>
      <c r="I366" s="304">
        <f>data!CE64</f>
        <v>118690905.78</v>
      </c>
    </row>
    <row r="367" spans="1:9" ht="20.100000000000001" customHeight="1" x14ac:dyDescent="0.2">
      <c r="A367" s="277">
        <v>10</v>
      </c>
      <c r="B367" s="285" t="s">
        <v>497</v>
      </c>
      <c r="C367" s="304">
        <f>data!CB65</f>
        <v>4463.74</v>
      </c>
      <c r="D367" s="304">
        <f>data!CC65</f>
        <v>0</v>
      </c>
      <c r="E367" s="309"/>
      <c r="F367" s="309"/>
      <c r="G367" s="309"/>
      <c r="H367" s="309"/>
      <c r="I367" s="304">
        <f>data!CE65</f>
        <v>7177896.7400000002</v>
      </c>
    </row>
    <row r="368" spans="1:9" ht="20.100000000000001" customHeight="1" x14ac:dyDescent="0.2">
      <c r="A368" s="277">
        <v>11</v>
      </c>
      <c r="B368" s="285" t="s">
        <v>498</v>
      </c>
      <c r="C368" s="304">
        <f>data!CB66</f>
        <v>52141.969999999994</v>
      </c>
      <c r="D368" s="304">
        <f>data!CC66</f>
        <v>4296895.93</v>
      </c>
      <c r="E368" s="309"/>
      <c r="F368" s="309"/>
      <c r="G368" s="309"/>
      <c r="H368" s="309"/>
      <c r="I368" s="304">
        <f>data!CE66</f>
        <v>84399251.25999999</v>
      </c>
    </row>
    <row r="369" spans="1:9" ht="20.100000000000001" customHeight="1" x14ac:dyDescent="0.2">
      <c r="A369" s="277">
        <v>12</v>
      </c>
      <c r="B369" s="285" t="s">
        <v>11</v>
      </c>
      <c r="C369" s="304">
        <f>data!CB67</f>
        <v>144318</v>
      </c>
      <c r="D369" s="304">
        <f>data!CC67</f>
        <v>216545</v>
      </c>
      <c r="E369" s="309"/>
      <c r="F369" s="309"/>
      <c r="G369" s="309"/>
      <c r="H369" s="309"/>
      <c r="I369" s="304">
        <f>data!CE67</f>
        <v>50511052</v>
      </c>
    </row>
    <row r="370" spans="1:9" ht="20.100000000000001" customHeight="1" x14ac:dyDescent="0.2">
      <c r="A370" s="277">
        <v>13</v>
      </c>
      <c r="B370" s="285" t="s">
        <v>974</v>
      </c>
      <c r="C370" s="304">
        <f>data!CB68</f>
        <v>77210.97</v>
      </c>
      <c r="D370" s="304">
        <f>data!CC68</f>
        <v>600</v>
      </c>
      <c r="E370" s="309"/>
      <c r="F370" s="309"/>
      <c r="G370" s="309"/>
      <c r="H370" s="309"/>
      <c r="I370" s="304">
        <f>data!CE68</f>
        <v>6201996.5399999991</v>
      </c>
    </row>
    <row r="371" spans="1:9" ht="20.100000000000001" customHeight="1" x14ac:dyDescent="0.2">
      <c r="A371" s="277">
        <v>14</v>
      </c>
      <c r="B371" s="285" t="s">
        <v>975</v>
      </c>
      <c r="C371" s="304">
        <f>data!CB69</f>
        <v>1868.44</v>
      </c>
      <c r="D371" s="304">
        <f>data!CC69</f>
        <v>3640473.2</v>
      </c>
      <c r="E371" s="304">
        <f>data!CD69</f>
        <v>12225992</v>
      </c>
      <c r="F371" s="309"/>
      <c r="G371" s="309"/>
      <c r="H371" s="309"/>
      <c r="I371" s="304">
        <f>data!CE69</f>
        <v>68699473.219999999</v>
      </c>
    </row>
    <row r="372" spans="1:9" ht="20.100000000000001" customHeight="1" x14ac:dyDescent="0.2">
      <c r="A372" s="277">
        <v>15</v>
      </c>
      <c r="B372" s="285" t="s">
        <v>269</v>
      </c>
      <c r="C372" s="285">
        <f>-data!CB84</f>
        <v>-1472779.36</v>
      </c>
      <c r="D372" s="285">
        <f>-data!CC84</f>
        <v>-8581854.3399999999</v>
      </c>
      <c r="E372" s="285">
        <f>-data!CD84</f>
        <v>-1918095.68</v>
      </c>
      <c r="F372" s="295"/>
      <c r="G372" s="295"/>
      <c r="H372" s="295"/>
      <c r="I372" s="285">
        <f>-data!CE84</f>
        <v>-46215887.979999997</v>
      </c>
    </row>
    <row r="373" spans="1:9" ht="20.100000000000001" customHeight="1" x14ac:dyDescent="0.2">
      <c r="A373" s="277">
        <v>16</v>
      </c>
      <c r="B373" s="293" t="s">
        <v>976</v>
      </c>
      <c r="C373" s="304">
        <f>data!CB85</f>
        <v>7482430.5200000023</v>
      </c>
      <c r="D373" s="304">
        <f>data!CC85</f>
        <v>2670269.2799999993</v>
      </c>
      <c r="E373" s="304">
        <f>data!CD85</f>
        <v>10307896.32</v>
      </c>
      <c r="F373" s="309"/>
      <c r="G373" s="309"/>
      <c r="H373" s="309"/>
      <c r="I373" s="285">
        <f>data!CE85</f>
        <v>892086629.92999971</v>
      </c>
    </row>
    <row r="374" spans="1:9" ht="20.100000000000001" customHeight="1" x14ac:dyDescent="0.2">
      <c r="A374" s="277">
        <v>17</v>
      </c>
      <c r="B374" s="285" t="s">
        <v>271</v>
      </c>
      <c r="C374" s="309"/>
      <c r="D374" s="309"/>
      <c r="E374" s="309"/>
      <c r="F374" s="309"/>
      <c r="G374" s="309"/>
      <c r="H374" s="309"/>
      <c r="I374" s="285">
        <f>data!CE86</f>
        <v>0</v>
      </c>
    </row>
    <row r="375" spans="1:9" ht="20.100000000000001" customHeight="1" x14ac:dyDescent="0.2">
      <c r="A375" s="277">
        <v>18</v>
      </c>
      <c r="B375" s="285" t="s">
        <v>977</v>
      </c>
      <c r="C375" s="285"/>
      <c r="D375" s="285"/>
      <c r="E375" s="285"/>
      <c r="F375" s="285"/>
      <c r="G375" s="285"/>
      <c r="H375" s="285"/>
      <c r="I375" s="285"/>
    </row>
    <row r="376" spans="1:9" ht="20.100000000000001" customHeight="1" x14ac:dyDescent="0.2">
      <c r="A376" s="277">
        <v>19</v>
      </c>
      <c r="B376" s="293" t="s">
        <v>978</v>
      </c>
      <c r="C376" s="300" t="str">
        <f>IF(data!CB73&gt;0,data!CB73,"")</f>
        <v/>
      </c>
      <c r="D376" s="300" t="str">
        <f>IF(data!CC73&gt;0,data!CC73,"")</f>
        <v/>
      </c>
      <c r="E376" s="295"/>
      <c r="F376" s="295"/>
      <c r="G376" s="295"/>
      <c r="H376" s="295"/>
      <c r="I376" s="301">
        <f>data!CE87</f>
        <v>911243186.11000013</v>
      </c>
    </row>
    <row r="377" spans="1:9" ht="20.100000000000001" customHeight="1" x14ac:dyDescent="0.2">
      <c r="A377" s="277">
        <v>20</v>
      </c>
      <c r="B377" s="293" t="s">
        <v>979</v>
      </c>
      <c r="C377" s="300" t="str">
        <f>IF(data!CB74&gt;0,data!CB74,"")</f>
        <v/>
      </c>
      <c r="D377" s="300" t="str">
        <f>IF(data!CC74&gt;0,data!CC74,"")</f>
        <v/>
      </c>
      <c r="E377" s="295"/>
      <c r="F377" s="295"/>
      <c r="G377" s="295"/>
      <c r="H377" s="295"/>
      <c r="I377" s="301">
        <f>data!CE88</f>
        <v>1320277526.5599997</v>
      </c>
    </row>
    <row r="378" spans="1:9" ht="20.100000000000001" customHeight="1" x14ac:dyDescent="0.2">
      <c r="A378" s="277">
        <v>21</v>
      </c>
      <c r="B378" s="293" t="s">
        <v>980</v>
      </c>
      <c r="C378" s="300" t="str">
        <f>IF(data!CB75&gt;0,data!CB75,"")</f>
        <v/>
      </c>
      <c r="D378" s="300" t="str">
        <f>IF(data!CC75&gt;0,data!CC75,"")</f>
        <v/>
      </c>
      <c r="E378" s="295"/>
      <c r="F378" s="295"/>
      <c r="G378" s="295"/>
      <c r="H378" s="295"/>
      <c r="I378" s="301">
        <f>data!CE89</f>
        <v>2231520712.6700006</v>
      </c>
    </row>
    <row r="379" spans="1:9" ht="20.100000000000001" customHeight="1" x14ac:dyDescent="0.2">
      <c r="A379" s="277" t="s">
        <v>981</v>
      </c>
      <c r="B379" s="285"/>
      <c r="C379" s="295"/>
      <c r="D379" s="295"/>
      <c r="E379" s="295"/>
      <c r="F379" s="295"/>
      <c r="G379" s="295"/>
      <c r="H379" s="295"/>
      <c r="I379" s="295"/>
    </row>
    <row r="380" spans="1:9" ht="20.100000000000001" customHeight="1" x14ac:dyDescent="0.2">
      <c r="A380" s="277">
        <v>22</v>
      </c>
      <c r="B380" s="285" t="s">
        <v>982</v>
      </c>
      <c r="C380" s="301">
        <f>data!CB90</f>
        <v>4031</v>
      </c>
      <c r="D380" s="301">
        <f>data!CC90</f>
        <v>7876</v>
      </c>
      <c r="E380" s="295"/>
      <c r="F380" s="295"/>
      <c r="G380" s="295"/>
      <c r="H380" s="295"/>
      <c r="I380" s="285">
        <f>data!CE90</f>
        <v>1605304</v>
      </c>
    </row>
    <row r="381" spans="1:9" ht="20.100000000000001" customHeight="1" x14ac:dyDescent="0.2">
      <c r="A381" s="277">
        <v>23</v>
      </c>
      <c r="B381" s="285" t="s">
        <v>983</v>
      </c>
      <c r="C381" s="301">
        <f>data!CB91</f>
        <v>0</v>
      </c>
      <c r="D381" s="300" t="str">
        <f>IF(data!CC77&gt;0,data!CC77,"")</f>
        <v/>
      </c>
      <c r="E381" s="295"/>
      <c r="F381" s="295"/>
      <c r="G381" s="295"/>
      <c r="H381" s="295"/>
      <c r="I381" s="285">
        <f>data!CE91</f>
        <v>238862</v>
      </c>
    </row>
    <row r="382" spans="1:9" ht="20.100000000000001" customHeight="1" x14ac:dyDescent="0.2">
      <c r="A382" s="277">
        <v>24</v>
      </c>
      <c r="B382" s="285" t="s">
        <v>984</v>
      </c>
      <c r="C382" s="301">
        <f>data!CB92</f>
        <v>514.15</v>
      </c>
      <c r="D382" s="300" t="str">
        <f>IF(data!CC78&gt;0,data!CC78,"")</f>
        <v/>
      </c>
      <c r="E382" s="295"/>
      <c r="F382" s="295"/>
      <c r="G382" s="295"/>
      <c r="H382" s="295"/>
      <c r="I382" s="285">
        <f>data!CE92</f>
        <v>107555.81699999995</v>
      </c>
    </row>
    <row r="383" spans="1:9" ht="20.100000000000001" customHeight="1" x14ac:dyDescent="0.2">
      <c r="A383" s="277">
        <v>25</v>
      </c>
      <c r="B383" s="285" t="s">
        <v>985</v>
      </c>
      <c r="C383" s="301">
        <f>data!CB93</f>
        <v>0</v>
      </c>
      <c r="D383" s="300" t="str">
        <f>IF(data!CC79&gt;0,data!CC79,"")</f>
        <v/>
      </c>
      <c r="E383" s="295"/>
      <c r="F383" s="295"/>
      <c r="G383" s="295"/>
      <c r="H383" s="295"/>
      <c r="I383" s="285">
        <f>data!CE93</f>
        <v>2277562.2800000003</v>
      </c>
    </row>
    <row r="384" spans="1:9" ht="20.100000000000001" customHeight="1" x14ac:dyDescent="0.2">
      <c r="A384" s="277">
        <v>26</v>
      </c>
      <c r="B384" s="285" t="s">
        <v>279</v>
      </c>
      <c r="C384" s="300" t="str">
        <f>IF(data!CB80&gt;0,data!CB80,"")</f>
        <v/>
      </c>
      <c r="D384" s="300" t="str">
        <f>IF(data!CC80&gt;0,data!CC80,"")</f>
        <v/>
      </c>
      <c r="E384" s="307"/>
      <c r="F384" s="295"/>
      <c r="G384" s="295"/>
      <c r="H384" s="295"/>
      <c r="I384" s="292">
        <f>data!CE94</f>
        <v>983.76450480769233</v>
      </c>
    </row>
    <row r="410" ht="15" x14ac:dyDescent="0.2"/>
  </sheetData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36143-7558-4647-8896-61F0DD76C8BC}">
  <sheetPr syncVertical="1" syncRef="A39" transitionEvaluation="1" transitionEntry="1" codeName="Sheet12">
    <tabColor rgb="FF92D050"/>
    <pageSetUpPr autoPageBreaks="0" fitToPage="1"/>
  </sheetPr>
  <dimension ref="A1:CF717"/>
  <sheetViews>
    <sheetView topLeftCell="A39" zoomScaleNormal="100" workbookViewId="0">
      <selection activeCell="BD52" sqref="BD52"/>
    </sheetView>
  </sheetViews>
  <sheetFormatPr defaultColWidth="11.77734375" defaultRowHeight="15" x14ac:dyDescent="0.25"/>
  <cols>
    <col min="1" max="1" width="44.44140625" style="11" customWidth="1"/>
    <col min="2" max="84" width="13.5546875" style="11" customWidth="1"/>
    <col min="85" max="86" width="11.77734375" style="11" customWidth="1"/>
    <col min="87" max="16384" width="11.77734375" style="11"/>
  </cols>
  <sheetData>
    <row r="1" spans="1:3" x14ac:dyDescent="0.25">
      <c r="A1" s="69" t="s">
        <v>0</v>
      </c>
    </row>
    <row r="2" spans="1:3" x14ac:dyDescent="0.25">
      <c r="A2" s="11" t="s">
        <v>1</v>
      </c>
      <c r="C2" s="16"/>
    </row>
    <row r="3" spans="1:3" x14ac:dyDescent="0.25">
      <c r="A3" s="68" t="s">
        <v>2</v>
      </c>
      <c r="C3" s="16"/>
    </row>
    <row r="4" spans="1:3" x14ac:dyDescent="0.25">
      <c r="A4" s="11" t="s">
        <v>3</v>
      </c>
      <c r="C4" s="16"/>
    </row>
    <row r="5" spans="1:3" x14ac:dyDescent="0.25">
      <c r="C5" s="16"/>
    </row>
    <row r="6" spans="1:3" x14ac:dyDescent="0.25">
      <c r="A6" s="11" t="s">
        <v>1327</v>
      </c>
    </row>
    <row r="7" spans="1:3" x14ac:dyDescent="0.25">
      <c r="A7" s="11" t="s">
        <v>4</v>
      </c>
    </row>
    <row r="8" spans="1:3" x14ac:dyDescent="0.25">
      <c r="A8" s="11" t="s">
        <v>1329</v>
      </c>
    </row>
    <row r="9" spans="1:3" x14ac:dyDescent="0.25">
      <c r="C9" s="16"/>
    </row>
    <row r="10" spans="1:3" x14ac:dyDescent="0.25">
      <c r="A10" s="68" t="s">
        <v>5</v>
      </c>
      <c r="C10" s="16"/>
    </row>
    <row r="11" spans="1:3" x14ac:dyDescent="0.25">
      <c r="A11" s="11" t="s">
        <v>1328</v>
      </c>
      <c r="C11" s="16"/>
    </row>
    <row r="12" spans="1:3" x14ac:dyDescent="0.25">
      <c r="A12" s="17" t="s">
        <v>6</v>
      </c>
      <c r="C12" s="16"/>
    </row>
    <row r="13" spans="1:3" x14ac:dyDescent="0.25">
      <c r="A13" s="15" t="s">
        <v>7</v>
      </c>
      <c r="C13" s="16"/>
    </row>
    <row r="14" spans="1:3" x14ac:dyDescent="0.25">
      <c r="A14" s="11" t="s">
        <v>8</v>
      </c>
      <c r="C14" s="16"/>
    </row>
    <row r="15" spans="1:3" x14ac:dyDescent="0.25">
      <c r="C15" s="16"/>
    </row>
    <row r="16" spans="1:3" x14ac:dyDescent="0.25">
      <c r="A16" s="72" t="s">
        <v>9</v>
      </c>
    </row>
    <row r="17" spans="1:10" x14ac:dyDescent="0.25">
      <c r="A17" s="15" t="s">
        <v>10</v>
      </c>
    </row>
    <row r="18" spans="1:10" ht="14.45" customHeight="1" x14ac:dyDescent="0.25">
      <c r="A18" s="17" t="s">
        <v>1330</v>
      </c>
    </row>
    <row r="19" spans="1:10" ht="14.45" customHeight="1" x14ac:dyDescent="0.25">
      <c r="A19" s="17" t="s">
        <v>1331</v>
      </c>
    </row>
    <row r="20" spans="1:10" ht="14.45" customHeight="1" x14ac:dyDescent="0.25">
      <c r="A20" s="17" t="s">
        <v>1332</v>
      </c>
    </row>
    <row r="21" spans="1:10" ht="14.45" customHeight="1" x14ac:dyDescent="0.25">
      <c r="A21" s="15"/>
      <c r="E21" s="71"/>
      <c r="F21" s="71"/>
      <c r="G21" s="71"/>
      <c r="I21" s="71"/>
      <c r="J21" s="71"/>
    </row>
    <row r="22" spans="1:10" ht="16.5" x14ac:dyDescent="0.25">
      <c r="A22" s="73" t="s">
        <v>11</v>
      </c>
      <c r="E22" s="71"/>
      <c r="F22" s="71"/>
      <c r="G22" s="71"/>
      <c r="I22" s="70"/>
      <c r="J22" s="70"/>
    </row>
    <row r="23" spans="1:10" ht="16.5" x14ac:dyDescent="0.25">
      <c r="A23" s="17" t="s">
        <v>12</v>
      </c>
      <c r="E23" s="70"/>
      <c r="F23" s="70"/>
      <c r="G23" s="70"/>
      <c r="I23" s="70"/>
      <c r="J23" s="70"/>
    </row>
    <row r="24" spans="1:10" ht="16.5" x14ac:dyDescent="0.25">
      <c r="A24" s="17" t="s">
        <v>1333</v>
      </c>
      <c r="E24" s="70"/>
      <c r="F24" s="70"/>
      <c r="G24" s="70"/>
    </row>
    <row r="25" spans="1:10" x14ac:dyDescent="0.25">
      <c r="A25" s="17" t="s">
        <v>1334</v>
      </c>
    </row>
    <row r="26" spans="1:10" x14ac:dyDescent="0.25">
      <c r="A26" s="17" t="s">
        <v>1335</v>
      </c>
    </row>
    <row r="27" spans="1:10" x14ac:dyDescent="0.25">
      <c r="A27" s="17"/>
    </row>
    <row r="28" spans="1:10" x14ac:dyDescent="0.25">
      <c r="A28" s="15" t="s">
        <v>13</v>
      </c>
      <c r="C28" s="16"/>
    </row>
    <row r="29" spans="1:10" x14ac:dyDescent="0.25">
      <c r="A29" s="17" t="s">
        <v>1336</v>
      </c>
      <c r="C29" s="16"/>
    </row>
    <row r="30" spans="1:10" x14ac:dyDescent="0.25">
      <c r="C30" s="16"/>
    </row>
    <row r="31" spans="1:10" x14ac:dyDescent="0.25">
      <c r="A31" s="11" t="s">
        <v>1346</v>
      </c>
      <c r="C31" s="331" t="s">
        <v>1347</v>
      </c>
      <c r="F31" s="18"/>
    </row>
    <row r="32" spans="1:10" x14ac:dyDescent="0.25">
      <c r="C32" s="16"/>
    </row>
    <row r="33" spans="1:83" x14ac:dyDescent="0.25">
      <c r="A33" s="68" t="s">
        <v>15</v>
      </c>
      <c r="B33" s="71"/>
      <c r="C33" s="71"/>
      <c r="D33" s="71"/>
    </row>
    <row r="34" spans="1:83" x14ac:dyDescent="0.25">
      <c r="A34" s="17" t="s">
        <v>16</v>
      </c>
      <c r="B34" s="71"/>
      <c r="C34" s="71"/>
      <c r="D34" s="71"/>
    </row>
    <row r="35" spans="1:83" ht="16.5" x14ac:dyDescent="0.25">
      <c r="A35" s="17" t="s">
        <v>17</v>
      </c>
      <c r="B35" s="70"/>
      <c r="C35" s="70"/>
      <c r="D35" s="70"/>
    </row>
    <row r="36" spans="1:83" ht="16.5" x14ac:dyDescent="0.25">
      <c r="B36" s="70"/>
      <c r="C36" s="70"/>
      <c r="D36" s="70"/>
    </row>
    <row r="37" spans="1:83" x14ac:dyDescent="0.25">
      <c r="A37" s="332" t="s">
        <v>18</v>
      </c>
      <c r="B37" s="333"/>
      <c r="C37" s="334"/>
      <c r="D37" s="333"/>
      <c r="E37" s="333"/>
      <c r="F37" s="333"/>
      <c r="G37" s="333"/>
    </row>
    <row r="38" spans="1:83" x14ac:dyDescent="0.25">
      <c r="A38" s="335" t="s">
        <v>1339</v>
      </c>
      <c r="B38" s="336"/>
      <c r="C38" s="334"/>
      <c r="D38" s="333"/>
      <c r="E38" s="333"/>
      <c r="F38" s="333"/>
      <c r="G38" s="333"/>
    </row>
    <row r="39" spans="1:83" x14ac:dyDescent="0.25">
      <c r="A39" s="337" t="s">
        <v>1337</v>
      </c>
      <c r="B39" s="336"/>
      <c r="C39" s="334"/>
      <c r="D39" s="333"/>
      <c r="E39" s="333"/>
      <c r="F39" s="333"/>
      <c r="G39" s="333"/>
    </row>
    <row r="40" spans="1:83" x14ac:dyDescent="0.25">
      <c r="A40" s="338" t="s">
        <v>1340</v>
      </c>
      <c r="B40" s="333"/>
      <c r="C40" s="334"/>
      <c r="D40" s="333"/>
      <c r="E40" s="333"/>
      <c r="F40" s="333"/>
      <c r="G40" s="333"/>
    </row>
    <row r="41" spans="1:83" x14ac:dyDescent="0.25">
      <c r="A41" s="337" t="s">
        <v>1338</v>
      </c>
      <c r="B41" s="333"/>
      <c r="C41" s="334"/>
      <c r="D41" s="333"/>
      <c r="E41" s="333"/>
      <c r="F41" s="333"/>
      <c r="G41" s="333"/>
    </row>
    <row r="42" spans="1:83" x14ac:dyDescent="0.25">
      <c r="C42" s="16"/>
    </row>
    <row r="43" spans="1:83" x14ac:dyDescent="0.25">
      <c r="A43" s="11" t="s">
        <v>19</v>
      </c>
      <c r="C43" s="16"/>
      <c r="G43" s="18" t="s">
        <v>14</v>
      </c>
    </row>
    <row r="44" spans="1:83" x14ac:dyDescent="0.25">
      <c r="A44" s="18" t="s">
        <v>20</v>
      </c>
      <c r="C44" s="16"/>
    </row>
    <row r="45" spans="1:83" x14ac:dyDescent="0.25">
      <c r="A45" s="19"/>
      <c r="B45" s="19"/>
      <c r="C45" s="20" t="s">
        <v>21</v>
      </c>
      <c r="D45" s="21" t="s">
        <v>22</v>
      </c>
      <c r="E45" s="21" t="s">
        <v>23</v>
      </c>
      <c r="F45" s="21" t="s">
        <v>24</v>
      </c>
      <c r="G45" s="21" t="s">
        <v>25</v>
      </c>
      <c r="H45" s="21" t="s">
        <v>26</v>
      </c>
      <c r="I45" s="21" t="s">
        <v>27</v>
      </c>
      <c r="J45" s="21" t="s">
        <v>28</v>
      </c>
      <c r="K45" s="21" t="s">
        <v>29</v>
      </c>
      <c r="L45" s="21" t="s">
        <v>30</v>
      </c>
      <c r="M45" s="21" t="s">
        <v>31</v>
      </c>
      <c r="N45" s="21" t="s">
        <v>32</v>
      </c>
      <c r="O45" s="21" t="s">
        <v>33</v>
      </c>
      <c r="P45" s="21" t="s">
        <v>34</v>
      </c>
      <c r="Q45" s="21" t="s">
        <v>35</v>
      </c>
      <c r="R45" s="21" t="s">
        <v>36</v>
      </c>
      <c r="S45" s="21" t="s">
        <v>37</v>
      </c>
      <c r="T45" s="21" t="s">
        <v>38</v>
      </c>
      <c r="U45" s="21" t="s">
        <v>39</v>
      </c>
      <c r="V45" s="21" t="s">
        <v>40</v>
      </c>
      <c r="W45" s="21" t="s">
        <v>41</v>
      </c>
      <c r="X45" s="21" t="s">
        <v>42</v>
      </c>
      <c r="Y45" s="21" t="s">
        <v>43</v>
      </c>
      <c r="Z45" s="21" t="s">
        <v>44</v>
      </c>
      <c r="AA45" s="21" t="s">
        <v>45</v>
      </c>
      <c r="AB45" s="21" t="s">
        <v>46</v>
      </c>
      <c r="AC45" s="21" t="s">
        <v>47</v>
      </c>
      <c r="AD45" s="21" t="s">
        <v>48</v>
      </c>
      <c r="AE45" s="21" t="s">
        <v>49</v>
      </c>
      <c r="AF45" s="21" t="s">
        <v>50</v>
      </c>
      <c r="AG45" s="21" t="s">
        <v>51</v>
      </c>
      <c r="AH45" s="21" t="s">
        <v>52</v>
      </c>
      <c r="AI45" s="21" t="s">
        <v>53</v>
      </c>
      <c r="AJ45" s="21" t="s">
        <v>54</v>
      </c>
      <c r="AK45" s="21" t="s">
        <v>55</v>
      </c>
      <c r="AL45" s="21" t="s">
        <v>56</v>
      </c>
      <c r="AM45" s="21" t="s">
        <v>57</v>
      </c>
      <c r="AN45" s="21" t="s">
        <v>58</v>
      </c>
      <c r="AO45" s="21" t="s">
        <v>59</v>
      </c>
      <c r="AP45" s="21" t="s">
        <v>60</v>
      </c>
      <c r="AQ45" s="21" t="s">
        <v>61</v>
      </c>
      <c r="AR45" s="21" t="s">
        <v>62</v>
      </c>
      <c r="AS45" s="21" t="s">
        <v>63</v>
      </c>
      <c r="AT45" s="21" t="s">
        <v>64</v>
      </c>
      <c r="AU45" s="21" t="s">
        <v>65</v>
      </c>
      <c r="AV45" s="21" t="s">
        <v>66</v>
      </c>
      <c r="AW45" s="21" t="s">
        <v>67</v>
      </c>
      <c r="AX45" s="21" t="s">
        <v>68</v>
      </c>
      <c r="AY45" s="21" t="s">
        <v>69</v>
      </c>
      <c r="AZ45" s="21" t="s">
        <v>70</v>
      </c>
      <c r="BA45" s="21" t="s">
        <v>71</v>
      </c>
      <c r="BB45" s="21" t="s">
        <v>72</v>
      </c>
      <c r="BC45" s="21" t="s">
        <v>73</v>
      </c>
      <c r="BD45" s="21" t="s">
        <v>74</v>
      </c>
      <c r="BE45" s="21" t="s">
        <v>75</v>
      </c>
      <c r="BF45" s="21" t="s">
        <v>76</v>
      </c>
      <c r="BG45" s="21" t="s">
        <v>77</v>
      </c>
      <c r="BH45" s="21" t="s">
        <v>78</v>
      </c>
      <c r="BI45" s="21" t="s">
        <v>79</v>
      </c>
      <c r="BJ45" s="21" t="s">
        <v>80</v>
      </c>
      <c r="BK45" s="21" t="s">
        <v>81</v>
      </c>
      <c r="BL45" s="21" t="s">
        <v>82</v>
      </c>
      <c r="BM45" s="21" t="s">
        <v>83</v>
      </c>
      <c r="BN45" s="21" t="s">
        <v>84</v>
      </c>
      <c r="BO45" s="21" t="s">
        <v>85</v>
      </c>
      <c r="BP45" s="21" t="s">
        <v>86</v>
      </c>
      <c r="BQ45" s="21" t="s">
        <v>87</v>
      </c>
      <c r="BR45" s="21" t="s">
        <v>88</v>
      </c>
      <c r="BS45" s="21" t="s">
        <v>89</v>
      </c>
      <c r="BT45" s="21" t="s">
        <v>90</v>
      </c>
      <c r="BU45" s="21" t="s">
        <v>91</v>
      </c>
      <c r="BV45" s="21" t="s">
        <v>92</v>
      </c>
      <c r="BW45" s="21" t="s">
        <v>93</v>
      </c>
      <c r="BX45" s="21" t="s">
        <v>94</v>
      </c>
      <c r="BY45" s="21" t="s">
        <v>95</v>
      </c>
      <c r="BZ45" s="21" t="s">
        <v>96</v>
      </c>
      <c r="CA45" s="21" t="s">
        <v>97</v>
      </c>
      <c r="CB45" s="21" t="s">
        <v>98</v>
      </c>
      <c r="CC45" s="21" t="s">
        <v>99</v>
      </c>
      <c r="CD45" s="21" t="s">
        <v>100</v>
      </c>
      <c r="CE45" s="21" t="s">
        <v>101</v>
      </c>
    </row>
    <row r="46" spans="1:83" x14ac:dyDescent="0.25">
      <c r="A46" s="19"/>
      <c r="B46" s="22" t="s">
        <v>102</v>
      </c>
      <c r="C46" s="20" t="s">
        <v>103</v>
      </c>
      <c r="D46" s="21" t="s">
        <v>104</v>
      </c>
      <c r="E46" s="21" t="s">
        <v>105</v>
      </c>
      <c r="F46" s="21" t="s">
        <v>106</v>
      </c>
      <c r="G46" s="21" t="s">
        <v>107</v>
      </c>
      <c r="H46" s="21" t="s">
        <v>108</v>
      </c>
      <c r="I46" s="21" t="s">
        <v>109</v>
      </c>
      <c r="J46" s="21" t="s">
        <v>110</v>
      </c>
      <c r="K46" s="21" t="s">
        <v>111</v>
      </c>
      <c r="L46" s="21" t="s">
        <v>112</v>
      </c>
      <c r="M46" s="21" t="s">
        <v>113</v>
      </c>
      <c r="N46" s="21" t="s">
        <v>114</v>
      </c>
      <c r="O46" s="21" t="s">
        <v>115</v>
      </c>
      <c r="P46" s="21" t="s">
        <v>116</v>
      </c>
      <c r="Q46" s="21" t="s">
        <v>117</v>
      </c>
      <c r="R46" s="21" t="s">
        <v>118</v>
      </c>
      <c r="S46" s="21" t="s">
        <v>119</v>
      </c>
      <c r="T46" s="21" t="s">
        <v>120</v>
      </c>
      <c r="U46" s="21" t="s">
        <v>121</v>
      </c>
      <c r="V46" s="21" t="s">
        <v>122</v>
      </c>
      <c r="W46" s="21" t="s">
        <v>123</v>
      </c>
      <c r="X46" s="21" t="s">
        <v>124</v>
      </c>
      <c r="Y46" s="21" t="s">
        <v>125</v>
      </c>
      <c r="Z46" s="21" t="s">
        <v>125</v>
      </c>
      <c r="AA46" s="21" t="s">
        <v>126</v>
      </c>
      <c r="AB46" s="21" t="s">
        <v>127</v>
      </c>
      <c r="AC46" s="21" t="s">
        <v>128</v>
      </c>
      <c r="AD46" s="21" t="s">
        <v>129</v>
      </c>
      <c r="AE46" s="21" t="s">
        <v>107</v>
      </c>
      <c r="AF46" s="21" t="s">
        <v>108</v>
      </c>
      <c r="AG46" s="21" t="s">
        <v>130</v>
      </c>
      <c r="AH46" s="21" t="s">
        <v>131</v>
      </c>
      <c r="AI46" s="21" t="s">
        <v>132</v>
      </c>
      <c r="AJ46" s="21" t="s">
        <v>133</v>
      </c>
      <c r="AK46" s="21" t="s">
        <v>134</v>
      </c>
      <c r="AL46" s="21" t="s">
        <v>135</v>
      </c>
      <c r="AM46" s="21" t="s">
        <v>136</v>
      </c>
      <c r="AN46" s="21" t="s">
        <v>122</v>
      </c>
      <c r="AO46" s="21" t="s">
        <v>137</v>
      </c>
      <c r="AP46" s="21" t="s">
        <v>138</v>
      </c>
      <c r="AQ46" s="21" t="s">
        <v>139</v>
      </c>
      <c r="AR46" s="21" t="s">
        <v>140</v>
      </c>
      <c r="AS46" s="21" t="s">
        <v>141</v>
      </c>
      <c r="AT46" s="21" t="s">
        <v>142</v>
      </c>
      <c r="AU46" s="21" t="s">
        <v>143</v>
      </c>
      <c r="AV46" s="21" t="s">
        <v>144</v>
      </c>
      <c r="AW46" s="21" t="s">
        <v>145</v>
      </c>
      <c r="AX46" s="21" t="s">
        <v>146</v>
      </c>
      <c r="AY46" s="21" t="s">
        <v>147</v>
      </c>
      <c r="AZ46" s="21" t="s">
        <v>148</v>
      </c>
      <c r="BA46" s="21" t="s">
        <v>149</v>
      </c>
      <c r="BB46" s="21" t="s">
        <v>150</v>
      </c>
      <c r="BC46" s="21" t="s">
        <v>119</v>
      </c>
      <c r="BD46" s="21" t="s">
        <v>151</v>
      </c>
      <c r="BE46" s="21" t="s">
        <v>152</v>
      </c>
      <c r="BF46" s="21" t="s">
        <v>153</v>
      </c>
      <c r="BG46" s="21" t="s">
        <v>154</v>
      </c>
      <c r="BH46" s="21" t="s">
        <v>155</v>
      </c>
      <c r="BI46" s="21" t="s">
        <v>156</v>
      </c>
      <c r="BJ46" s="21" t="s">
        <v>157</v>
      </c>
      <c r="BK46" s="21" t="s">
        <v>158</v>
      </c>
      <c r="BL46" s="21" t="s">
        <v>159</v>
      </c>
      <c r="BM46" s="21" t="s">
        <v>144</v>
      </c>
      <c r="BN46" s="21" t="s">
        <v>160</v>
      </c>
      <c r="BO46" s="21" t="s">
        <v>161</v>
      </c>
      <c r="BP46" s="21" t="s">
        <v>162</v>
      </c>
      <c r="BQ46" s="21" t="s">
        <v>163</v>
      </c>
      <c r="BR46" s="21" t="s">
        <v>164</v>
      </c>
      <c r="BS46" s="21" t="s">
        <v>165</v>
      </c>
      <c r="BT46" s="21" t="s">
        <v>166</v>
      </c>
      <c r="BU46" s="21" t="s">
        <v>167</v>
      </c>
      <c r="BV46" s="21" t="s">
        <v>167</v>
      </c>
      <c r="BW46" s="21" t="s">
        <v>167</v>
      </c>
      <c r="BX46" s="21" t="s">
        <v>168</v>
      </c>
      <c r="BY46" s="21" t="s">
        <v>169</v>
      </c>
      <c r="BZ46" s="21" t="s">
        <v>170</v>
      </c>
      <c r="CA46" s="21" t="s">
        <v>171</v>
      </c>
      <c r="CB46" s="21" t="s">
        <v>172</v>
      </c>
      <c r="CC46" s="21" t="s">
        <v>144</v>
      </c>
      <c r="CD46" s="21"/>
      <c r="CE46" s="21" t="s">
        <v>173</v>
      </c>
    </row>
    <row r="47" spans="1:83" x14ac:dyDescent="0.25">
      <c r="A47" s="19" t="s">
        <v>9</v>
      </c>
      <c r="B47" s="21" t="s">
        <v>174</v>
      </c>
      <c r="C47" s="20" t="s">
        <v>175</v>
      </c>
      <c r="D47" s="21" t="s">
        <v>175</v>
      </c>
      <c r="E47" s="21" t="s">
        <v>175</v>
      </c>
      <c r="F47" s="21" t="s">
        <v>176</v>
      </c>
      <c r="G47" s="21" t="s">
        <v>177</v>
      </c>
      <c r="H47" s="21" t="s">
        <v>175</v>
      </c>
      <c r="I47" s="21" t="s">
        <v>178</v>
      </c>
      <c r="J47" s="21"/>
      <c r="K47" s="21" t="s">
        <v>169</v>
      </c>
      <c r="L47" s="21" t="s">
        <v>179</v>
      </c>
      <c r="M47" s="21" t="s">
        <v>180</v>
      </c>
      <c r="N47" s="21" t="s">
        <v>181</v>
      </c>
      <c r="O47" s="21" t="s">
        <v>182</v>
      </c>
      <c r="P47" s="21" t="s">
        <v>181</v>
      </c>
      <c r="Q47" s="21" t="s">
        <v>183</v>
      </c>
      <c r="R47" s="21"/>
      <c r="S47" s="21" t="s">
        <v>181</v>
      </c>
      <c r="T47" s="21" t="s">
        <v>184</v>
      </c>
      <c r="U47" s="21"/>
      <c r="V47" s="21" t="s">
        <v>185</v>
      </c>
      <c r="W47" s="21" t="s">
        <v>186</v>
      </c>
      <c r="X47" s="21" t="s">
        <v>187</v>
      </c>
      <c r="Y47" s="21" t="s">
        <v>188</v>
      </c>
      <c r="Z47" s="21" t="s">
        <v>189</v>
      </c>
      <c r="AA47" s="21" t="s">
        <v>190</v>
      </c>
      <c r="AB47" s="21"/>
      <c r="AC47" s="21" t="s">
        <v>184</v>
      </c>
      <c r="AD47" s="21"/>
      <c r="AE47" s="21" t="s">
        <v>184</v>
      </c>
      <c r="AF47" s="21" t="s">
        <v>191</v>
      </c>
      <c r="AG47" s="21" t="s">
        <v>183</v>
      </c>
      <c r="AH47" s="21"/>
      <c r="AI47" s="21" t="s">
        <v>192</v>
      </c>
      <c r="AJ47" s="21"/>
      <c r="AK47" s="21" t="s">
        <v>184</v>
      </c>
      <c r="AL47" s="21" t="s">
        <v>184</v>
      </c>
      <c r="AM47" s="21" t="s">
        <v>184</v>
      </c>
      <c r="AN47" s="21" t="s">
        <v>193</v>
      </c>
      <c r="AO47" s="21" t="s">
        <v>194</v>
      </c>
      <c r="AP47" s="21" t="s">
        <v>133</v>
      </c>
      <c r="AQ47" s="21" t="s">
        <v>195</v>
      </c>
      <c r="AR47" s="21" t="s">
        <v>181</v>
      </c>
      <c r="AS47" s="21"/>
      <c r="AT47" s="21" t="s">
        <v>196</v>
      </c>
      <c r="AU47" s="21" t="s">
        <v>197</v>
      </c>
      <c r="AV47" s="21" t="s">
        <v>198</v>
      </c>
      <c r="AW47" s="21" t="s">
        <v>199</v>
      </c>
      <c r="AX47" s="21" t="s">
        <v>200</v>
      </c>
      <c r="AY47" s="21"/>
      <c r="AZ47" s="21"/>
      <c r="BA47" s="21" t="s">
        <v>201</v>
      </c>
      <c r="BB47" s="21" t="s">
        <v>181</v>
      </c>
      <c r="BC47" s="21" t="s">
        <v>195</v>
      </c>
      <c r="BD47" s="21"/>
      <c r="BE47" s="21"/>
      <c r="BF47" s="21"/>
      <c r="BG47" s="21"/>
      <c r="BH47" s="21" t="s">
        <v>202</v>
      </c>
      <c r="BI47" s="21" t="s">
        <v>181</v>
      </c>
      <c r="BJ47" s="21"/>
      <c r="BK47" s="21" t="s">
        <v>203</v>
      </c>
      <c r="BL47" s="21"/>
      <c r="BM47" s="21" t="s">
        <v>204</v>
      </c>
      <c r="BN47" s="21" t="s">
        <v>205</v>
      </c>
      <c r="BO47" s="21" t="s">
        <v>206</v>
      </c>
      <c r="BP47" s="21" t="s">
        <v>207</v>
      </c>
      <c r="BQ47" s="21" t="s">
        <v>208</v>
      </c>
      <c r="BR47" s="21"/>
      <c r="BS47" s="21" t="s">
        <v>209</v>
      </c>
      <c r="BT47" s="21" t="s">
        <v>181</v>
      </c>
      <c r="BU47" s="21" t="s">
        <v>210</v>
      </c>
      <c r="BV47" s="21" t="s">
        <v>211</v>
      </c>
      <c r="BW47" s="21" t="s">
        <v>212</v>
      </c>
      <c r="BX47" s="21" t="s">
        <v>163</v>
      </c>
      <c r="BY47" s="21" t="s">
        <v>205</v>
      </c>
      <c r="BZ47" s="21" t="s">
        <v>164</v>
      </c>
      <c r="CA47" s="21" t="s">
        <v>213</v>
      </c>
      <c r="CB47" s="21" t="s">
        <v>213</v>
      </c>
      <c r="CC47" s="21" t="s">
        <v>214</v>
      </c>
      <c r="CD47" s="21"/>
      <c r="CE47" s="21" t="s">
        <v>215</v>
      </c>
    </row>
    <row r="48" spans="1:83" x14ac:dyDescent="0.25">
      <c r="A48" s="19" t="s">
        <v>216</v>
      </c>
      <c r="B48" s="214"/>
      <c r="C48" s="212">
        <v>3281901.43</v>
      </c>
      <c r="D48" s="212">
        <v>1625254.8900000001</v>
      </c>
      <c r="E48" s="212">
        <v>5461787.5300000003</v>
      </c>
      <c r="F48" s="212">
        <v>195881.81999999998</v>
      </c>
      <c r="G48" s="212">
        <v>486252.45999999996</v>
      </c>
      <c r="H48" s="212"/>
      <c r="I48" s="212"/>
      <c r="J48" s="212"/>
      <c r="K48" s="212"/>
      <c r="L48" s="212"/>
      <c r="M48" s="212">
        <v>1278055.7999999998</v>
      </c>
      <c r="N48" s="212">
        <v>2905261.4799999995</v>
      </c>
      <c r="O48" s="212">
        <v>4405636.32</v>
      </c>
      <c r="P48" s="212">
        <v>2498220.8600000003</v>
      </c>
      <c r="Q48" s="212">
        <v>1348567.77</v>
      </c>
      <c r="R48" s="212">
        <v>100085.53</v>
      </c>
      <c r="S48" s="212">
        <v>323837.65000000002</v>
      </c>
      <c r="T48" s="212">
        <v>0</v>
      </c>
      <c r="U48" s="212">
        <v>1574854.31</v>
      </c>
      <c r="V48" s="212">
        <v>39935.31</v>
      </c>
      <c r="W48" s="212">
        <v>119312.42000000001</v>
      </c>
      <c r="X48" s="212">
        <v>264586.8</v>
      </c>
      <c r="Y48" s="212">
        <v>3559651.6100000003</v>
      </c>
      <c r="Z48" s="212">
        <v>715833.69</v>
      </c>
      <c r="AA48" s="212">
        <v>86050.550000000017</v>
      </c>
      <c r="AB48" s="212">
        <v>1348406.26</v>
      </c>
      <c r="AC48" s="212">
        <v>625232.25</v>
      </c>
      <c r="AD48" s="212">
        <v>0</v>
      </c>
      <c r="AE48" s="212">
        <v>1288816.94</v>
      </c>
      <c r="AF48" s="212"/>
      <c r="AG48" s="212">
        <v>2740807.45</v>
      </c>
      <c r="AH48" s="212">
        <v>0</v>
      </c>
      <c r="AI48" s="212">
        <v>0</v>
      </c>
      <c r="AJ48" s="212">
        <v>13834081.02</v>
      </c>
      <c r="AK48" s="212">
        <v>0</v>
      </c>
      <c r="AL48" s="212"/>
      <c r="AM48" s="212"/>
      <c r="AN48" s="212"/>
      <c r="AO48" s="212"/>
      <c r="AP48" s="212">
        <v>10050855.939999999</v>
      </c>
      <c r="AQ48" s="212">
        <v>0</v>
      </c>
      <c r="AR48" s="212">
        <v>11781690.300000001</v>
      </c>
      <c r="AS48" s="212">
        <v>0</v>
      </c>
      <c r="AT48" s="212">
        <v>0</v>
      </c>
      <c r="AU48" s="212"/>
      <c r="AV48" s="212">
        <v>593427.21</v>
      </c>
      <c r="AW48" s="212">
        <v>318365.5</v>
      </c>
      <c r="AX48" s="212">
        <v>0</v>
      </c>
      <c r="AY48" s="212">
        <v>0</v>
      </c>
      <c r="AZ48" s="212">
        <v>0</v>
      </c>
      <c r="BA48" s="212">
        <v>946129.97</v>
      </c>
      <c r="BB48" s="212">
        <v>106661.26000000001</v>
      </c>
      <c r="BC48" s="212">
        <v>76722.509999999995</v>
      </c>
      <c r="BD48" s="212">
        <v>685704.77</v>
      </c>
      <c r="BE48" s="212">
        <v>1032323.6300000001</v>
      </c>
      <c r="BF48" s="212">
        <v>1659715.08</v>
      </c>
      <c r="BG48" s="212">
        <v>265747.28000000003</v>
      </c>
      <c r="BH48" s="212">
        <v>3145414.6300000004</v>
      </c>
      <c r="BI48" s="212">
        <v>502294.65</v>
      </c>
      <c r="BJ48" s="212">
        <v>405244.54000000004</v>
      </c>
      <c r="BK48" s="212">
        <v>1581471.21</v>
      </c>
      <c r="BL48" s="212">
        <v>1338985.6499999999</v>
      </c>
      <c r="BM48" s="212">
        <v>958867.8</v>
      </c>
      <c r="BN48" s="212">
        <v>1334644.6200000001</v>
      </c>
      <c r="BO48" s="212">
        <v>224640.61</v>
      </c>
      <c r="BP48" s="212">
        <v>264144.38</v>
      </c>
      <c r="BQ48" s="212">
        <v>126635.91999999998</v>
      </c>
      <c r="BR48" s="212">
        <v>7497196.3999999994</v>
      </c>
      <c r="BS48" s="212">
        <v>82166.94</v>
      </c>
      <c r="BT48" s="212">
        <v>52807.069999999992</v>
      </c>
      <c r="BU48" s="212">
        <v>0</v>
      </c>
      <c r="BV48" s="212">
        <v>1112557.76</v>
      </c>
      <c r="BW48" s="212">
        <v>171927.49</v>
      </c>
      <c r="BX48" s="212">
        <v>1327960.53</v>
      </c>
      <c r="BY48" s="212">
        <v>327799.29000000004</v>
      </c>
      <c r="BZ48" s="212">
        <v>1176965.31</v>
      </c>
      <c r="CA48" s="212">
        <v>384857.29</v>
      </c>
      <c r="CB48" s="212">
        <v>1516188.02</v>
      </c>
      <c r="CC48" s="212">
        <v>1269309.3799999999</v>
      </c>
      <c r="CD48" s="19"/>
      <c r="CE48" s="31">
        <f>SUM(C48:CC48)</f>
        <v>102427735.09</v>
      </c>
    </row>
    <row r="49" spans="1:83" x14ac:dyDescent="0.25">
      <c r="A49" s="31" t="s">
        <v>217</v>
      </c>
      <c r="B49" s="214"/>
      <c r="C49" s="268" t="b">
        <f>IF($B$49,(ROUND((($B$49/$CE$62)*C62),0)))</f>
        <v>0</v>
      </c>
      <c r="D49" s="268" t="b">
        <f t="shared" ref="D49:BO49" si="0">IF($B$49,(ROUND((($B$49/$CE$62)*D62),0)))</f>
        <v>0</v>
      </c>
      <c r="E49" s="268" t="b">
        <f t="shared" si="0"/>
        <v>0</v>
      </c>
      <c r="F49" s="268" t="b">
        <f t="shared" si="0"/>
        <v>0</v>
      </c>
      <c r="G49" s="268" t="b">
        <f t="shared" si="0"/>
        <v>0</v>
      </c>
      <c r="H49" s="268" t="b">
        <f t="shared" si="0"/>
        <v>0</v>
      </c>
      <c r="I49" s="268" t="b">
        <f t="shared" si="0"/>
        <v>0</v>
      </c>
      <c r="J49" s="268" t="b">
        <f t="shared" si="0"/>
        <v>0</v>
      </c>
      <c r="K49" s="268" t="b">
        <f t="shared" si="0"/>
        <v>0</v>
      </c>
      <c r="L49" s="268" t="b">
        <f t="shared" si="0"/>
        <v>0</v>
      </c>
      <c r="M49" s="268" t="b">
        <f t="shared" si="0"/>
        <v>0</v>
      </c>
      <c r="N49" s="268" t="b">
        <f t="shared" si="0"/>
        <v>0</v>
      </c>
      <c r="O49" s="268" t="b">
        <f t="shared" si="0"/>
        <v>0</v>
      </c>
      <c r="P49" s="268" t="b">
        <f t="shared" si="0"/>
        <v>0</v>
      </c>
      <c r="Q49" s="268" t="b">
        <f t="shared" si="0"/>
        <v>0</v>
      </c>
      <c r="R49" s="268" t="b">
        <f t="shared" si="0"/>
        <v>0</v>
      </c>
      <c r="S49" s="268" t="b">
        <f t="shared" si="0"/>
        <v>0</v>
      </c>
      <c r="T49" s="268" t="b">
        <f t="shared" si="0"/>
        <v>0</v>
      </c>
      <c r="U49" s="268" t="b">
        <f t="shared" si="0"/>
        <v>0</v>
      </c>
      <c r="V49" s="268" t="b">
        <f t="shared" si="0"/>
        <v>0</v>
      </c>
      <c r="W49" s="268" t="b">
        <f t="shared" si="0"/>
        <v>0</v>
      </c>
      <c r="X49" s="268" t="b">
        <f t="shared" si="0"/>
        <v>0</v>
      </c>
      <c r="Y49" s="268" t="b">
        <f t="shared" si="0"/>
        <v>0</v>
      </c>
      <c r="Z49" s="268" t="b">
        <f t="shared" si="0"/>
        <v>0</v>
      </c>
      <c r="AA49" s="268" t="b">
        <f t="shared" si="0"/>
        <v>0</v>
      </c>
      <c r="AB49" s="268" t="b">
        <f t="shared" si="0"/>
        <v>0</v>
      </c>
      <c r="AC49" s="268" t="b">
        <f t="shared" si="0"/>
        <v>0</v>
      </c>
      <c r="AD49" s="268" t="b">
        <f t="shared" si="0"/>
        <v>0</v>
      </c>
      <c r="AE49" s="268" t="b">
        <f t="shared" si="0"/>
        <v>0</v>
      </c>
      <c r="AF49" s="268" t="b">
        <f t="shared" si="0"/>
        <v>0</v>
      </c>
      <c r="AG49" s="268" t="b">
        <f t="shared" si="0"/>
        <v>0</v>
      </c>
      <c r="AH49" s="268" t="b">
        <f t="shared" si="0"/>
        <v>0</v>
      </c>
      <c r="AI49" s="268" t="b">
        <f t="shared" si="0"/>
        <v>0</v>
      </c>
      <c r="AJ49" s="268" t="b">
        <f t="shared" si="0"/>
        <v>0</v>
      </c>
      <c r="AK49" s="268" t="b">
        <f t="shared" si="0"/>
        <v>0</v>
      </c>
      <c r="AL49" s="268" t="b">
        <f t="shared" si="0"/>
        <v>0</v>
      </c>
      <c r="AM49" s="268" t="b">
        <f t="shared" si="0"/>
        <v>0</v>
      </c>
      <c r="AN49" s="268" t="b">
        <f t="shared" si="0"/>
        <v>0</v>
      </c>
      <c r="AO49" s="268" t="b">
        <f t="shared" si="0"/>
        <v>0</v>
      </c>
      <c r="AP49" s="268" t="b">
        <f t="shared" si="0"/>
        <v>0</v>
      </c>
      <c r="AQ49" s="268" t="b">
        <f t="shared" si="0"/>
        <v>0</v>
      </c>
      <c r="AR49" s="268" t="b">
        <f t="shared" si="0"/>
        <v>0</v>
      </c>
      <c r="AS49" s="268" t="b">
        <f t="shared" si="0"/>
        <v>0</v>
      </c>
      <c r="AT49" s="268" t="b">
        <f t="shared" si="0"/>
        <v>0</v>
      </c>
      <c r="AU49" s="268" t="b">
        <f t="shared" si="0"/>
        <v>0</v>
      </c>
      <c r="AV49" s="268" t="b">
        <f t="shared" si="0"/>
        <v>0</v>
      </c>
      <c r="AW49" s="268" t="b">
        <f t="shared" si="0"/>
        <v>0</v>
      </c>
      <c r="AX49" s="268" t="b">
        <f t="shared" si="0"/>
        <v>0</v>
      </c>
      <c r="AY49" s="268" t="b">
        <f t="shared" si="0"/>
        <v>0</v>
      </c>
      <c r="AZ49" s="268" t="b">
        <f t="shared" si="0"/>
        <v>0</v>
      </c>
      <c r="BA49" s="268" t="b">
        <f t="shared" si="0"/>
        <v>0</v>
      </c>
      <c r="BB49" s="268" t="b">
        <f t="shared" si="0"/>
        <v>0</v>
      </c>
      <c r="BC49" s="268" t="b">
        <f t="shared" si="0"/>
        <v>0</v>
      </c>
      <c r="BD49" s="268" t="b">
        <f t="shared" si="0"/>
        <v>0</v>
      </c>
      <c r="BE49" s="268" t="b">
        <f t="shared" si="0"/>
        <v>0</v>
      </c>
      <c r="BF49" s="268" t="b">
        <f t="shared" si="0"/>
        <v>0</v>
      </c>
      <c r="BG49" s="268" t="b">
        <f t="shared" si="0"/>
        <v>0</v>
      </c>
      <c r="BH49" s="268" t="b">
        <f t="shared" si="0"/>
        <v>0</v>
      </c>
      <c r="BI49" s="268" t="b">
        <f t="shared" si="0"/>
        <v>0</v>
      </c>
      <c r="BJ49" s="268" t="b">
        <f t="shared" si="0"/>
        <v>0</v>
      </c>
      <c r="BK49" s="268" t="b">
        <f t="shared" si="0"/>
        <v>0</v>
      </c>
      <c r="BL49" s="268" t="b">
        <f t="shared" si="0"/>
        <v>0</v>
      </c>
      <c r="BM49" s="268" t="b">
        <f t="shared" si="0"/>
        <v>0</v>
      </c>
      <c r="BN49" s="268" t="b">
        <f t="shared" si="0"/>
        <v>0</v>
      </c>
      <c r="BO49" s="268" t="b">
        <f t="shared" si="0"/>
        <v>0</v>
      </c>
      <c r="BP49" s="268" t="b">
        <f t="shared" ref="BP49:CD49" si="1">IF($B$49,(ROUND((($B$49/$CE$62)*BP62),0)))</f>
        <v>0</v>
      </c>
      <c r="BQ49" s="268" t="b">
        <f t="shared" si="1"/>
        <v>0</v>
      </c>
      <c r="BR49" s="268" t="b">
        <f t="shared" si="1"/>
        <v>0</v>
      </c>
      <c r="BS49" s="268" t="b">
        <f t="shared" si="1"/>
        <v>0</v>
      </c>
      <c r="BT49" s="268" t="b">
        <f t="shared" si="1"/>
        <v>0</v>
      </c>
      <c r="BU49" s="268" t="b">
        <f t="shared" si="1"/>
        <v>0</v>
      </c>
      <c r="BV49" s="268" t="b">
        <f t="shared" si="1"/>
        <v>0</v>
      </c>
      <c r="BW49" s="268" t="b">
        <f t="shared" si="1"/>
        <v>0</v>
      </c>
      <c r="BX49" s="268" t="b">
        <f t="shared" si="1"/>
        <v>0</v>
      </c>
      <c r="BY49" s="268" t="b">
        <f t="shared" si="1"/>
        <v>0</v>
      </c>
      <c r="BZ49" s="268" t="b">
        <f t="shared" si="1"/>
        <v>0</v>
      </c>
      <c r="CA49" s="268" t="b">
        <f t="shared" si="1"/>
        <v>0</v>
      </c>
      <c r="CB49" s="268" t="b">
        <f t="shared" si="1"/>
        <v>0</v>
      </c>
      <c r="CC49" s="268" t="b">
        <f t="shared" si="1"/>
        <v>0</v>
      </c>
      <c r="CD49" s="268" t="b">
        <f t="shared" si="1"/>
        <v>0</v>
      </c>
      <c r="CE49" s="31">
        <f>SUM(C49:CD49)</f>
        <v>0</v>
      </c>
    </row>
    <row r="50" spans="1:83" x14ac:dyDescent="0.25">
      <c r="A50" s="19" t="s">
        <v>218</v>
      </c>
      <c r="B50" s="268">
        <f>B48+B49</f>
        <v>0</v>
      </c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</row>
    <row r="51" spans="1:83" x14ac:dyDescent="0.25">
      <c r="A51" s="19" t="s">
        <v>11</v>
      </c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</row>
    <row r="52" spans="1:83" x14ac:dyDescent="0.25">
      <c r="A52" s="25" t="s">
        <v>219</v>
      </c>
      <c r="B52" s="212"/>
      <c r="C52" s="212">
        <v>1452876.04</v>
      </c>
      <c r="D52" s="212">
        <v>1565460.19</v>
      </c>
      <c r="E52" s="212">
        <v>2309574.25</v>
      </c>
      <c r="F52" s="212">
        <v>140</v>
      </c>
      <c r="G52" s="212">
        <v>92894.18</v>
      </c>
      <c r="H52" s="212"/>
      <c r="I52" s="212"/>
      <c r="J52" s="212"/>
      <c r="K52" s="212"/>
      <c r="L52" s="212"/>
      <c r="M52" s="212">
        <v>151265.04999999999</v>
      </c>
      <c r="N52" s="212">
        <v>4413.2</v>
      </c>
      <c r="O52" s="212">
        <v>712237</v>
      </c>
      <c r="P52" s="212">
        <v>3318698.91</v>
      </c>
      <c r="Q52" s="212">
        <v>116903.04999999999</v>
      </c>
      <c r="R52" s="212">
        <v>113754</v>
      </c>
      <c r="S52" s="212">
        <v>324583.61</v>
      </c>
      <c r="T52" s="212">
        <v>0</v>
      </c>
      <c r="U52" s="212">
        <v>410630.88</v>
      </c>
      <c r="V52" s="212">
        <v>8246.2999999999993</v>
      </c>
      <c r="W52" s="212">
        <v>216287.31</v>
      </c>
      <c r="X52" s="212">
        <v>179096.41999999998</v>
      </c>
      <c r="Y52" s="212">
        <v>2924031.6900000004</v>
      </c>
      <c r="Z52" s="212">
        <v>1176997.5699999998</v>
      </c>
      <c r="AA52" s="212">
        <v>101329.14000000001</v>
      </c>
      <c r="AB52" s="212">
        <v>246141.54</v>
      </c>
      <c r="AC52" s="212">
        <v>61808.43</v>
      </c>
      <c r="AD52" s="212"/>
      <c r="AE52" s="212">
        <v>180449.38999999996</v>
      </c>
      <c r="AF52" s="212"/>
      <c r="AG52" s="212">
        <v>1128622.1000000001</v>
      </c>
      <c r="AH52" s="212">
        <v>0</v>
      </c>
      <c r="AI52" s="212">
        <v>0</v>
      </c>
      <c r="AJ52" s="212">
        <v>3147027.04</v>
      </c>
      <c r="AK52" s="212"/>
      <c r="AL52" s="212"/>
      <c r="AM52" s="212"/>
      <c r="AN52" s="212"/>
      <c r="AO52" s="212"/>
      <c r="AP52" s="212">
        <v>2893094.24</v>
      </c>
      <c r="AQ52" s="212"/>
      <c r="AR52" s="212">
        <v>99925.99</v>
      </c>
      <c r="AS52" s="212"/>
      <c r="AT52" s="212"/>
      <c r="AU52" s="212"/>
      <c r="AV52" s="212">
        <v>221788.76</v>
      </c>
      <c r="AW52" s="212">
        <v>32087.519999999997</v>
      </c>
      <c r="AX52" s="212">
        <v>0</v>
      </c>
      <c r="AY52" s="212">
        <v>0</v>
      </c>
      <c r="AZ52" s="212">
        <v>765006.67</v>
      </c>
      <c r="BA52" s="212">
        <v>6319</v>
      </c>
      <c r="BB52" s="212">
        <v>17584.86</v>
      </c>
      <c r="BC52" s="212">
        <v>70164.960000000006</v>
      </c>
      <c r="BD52" s="212">
        <v>6212409.959999999</v>
      </c>
      <c r="BE52" s="212">
        <v>235819.85</v>
      </c>
      <c r="BF52" s="212">
        <v>42419.199999999997</v>
      </c>
      <c r="BG52" s="212"/>
      <c r="BH52" s="212">
        <v>6079695</v>
      </c>
      <c r="BI52" s="212">
        <v>210321.12</v>
      </c>
      <c r="BJ52" s="212">
        <v>29691.91</v>
      </c>
      <c r="BK52" s="212">
        <v>47754.729999999996</v>
      </c>
      <c r="BL52" s="212">
        <v>28504.28</v>
      </c>
      <c r="BM52" s="212">
        <v>15340.45</v>
      </c>
      <c r="BN52" s="212">
        <v>231488.98</v>
      </c>
      <c r="BO52" s="212">
        <v>52088.320000000007</v>
      </c>
      <c r="BP52" s="212">
        <v>75126.47</v>
      </c>
      <c r="BQ52" s="212">
        <v>3221.78</v>
      </c>
      <c r="BR52" s="212">
        <v>6970.82</v>
      </c>
      <c r="BS52" s="212">
        <v>19556.84</v>
      </c>
      <c r="BT52" s="212">
        <v>20704.099999999999</v>
      </c>
      <c r="BU52" s="212">
        <v>0</v>
      </c>
      <c r="BV52" s="212">
        <v>61474.770000000004</v>
      </c>
      <c r="BW52" s="212">
        <v>24099.79</v>
      </c>
      <c r="BX52" s="212">
        <v>41262.65</v>
      </c>
      <c r="BY52" s="212">
        <v>225720.1</v>
      </c>
      <c r="BZ52" s="212">
        <v>6140.04</v>
      </c>
      <c r="CA52" s="212">
        <v>9538.869999999999</v>
      </c>
      <c r="CB52" s="212">
        <v>33686.769999999997</v>
      </c>
      <c r="CC52" s="212">
        <v>68280.790000000008</v>
      </c>
      <c r="CD52" s="19"/>
      <c r="CE52" s="31">
        <f>SUM(C52:CD52)</f>
        <v>37830756.879999995</v>
      </c>
    </row>
    <row r="53" spans="1:83" x14ac:dyDescent="0.25">
      <c r="A53" s="38" t="s">
        <v>220</v>
      </c>
      <c r="B53" s="269"/>
      <c r="C53" s="268" t="b">
        <f>IF($B$53,ROUND(($B$53/($CE$91+$CF$91)*C91),0))</f>
        <v>0</v>
      </c>
      <c r="D53" s="268" t="b">
        <f t="shared" ref="D53:BO53" si="2">IF($B$53,ROUND(($B$53/($CE$91+$CF$91)*D91),0))</f>
        <v>0</v>
      </c>
      <c r="E53" s="268" t="b">
        <f t="shared" si="2"/>
        <v>0</v>
      </c>
      <c r="F53" s="268" t="b">
        <f t="shared" si="2"/>
        <v>0</v>
      </c>
      <c r="G53" s="268" t="b">
        <f t="shared" si="2"/>
        <v>0</v>
      </c>
      <c r="H53" s="268" t="b">
        <f t="shared" si="2"/>
        <v>0</v>
      </c>
      <c r="I53" s="268" t="b">
        <f t="shared" si="2"/>
        <v>0</v>
      </c>
      <c r="J53" s="268" t="b">
        <f t="shared" si="2"/>
        <v>0</v>
      </c>
      <c r="K53" s="268" t="b">
        <f t="shared" si="2"/>
        <v>0</v>
      </c>
      <c r="L53" s="268" t="b">
        <f t="shared" si="2"/>
        <v>0</v>
      </c>
      <c r="M53" s="268" t="b">
        <f t="shared" si="2"/>
        <v>0</v>
      </c>
      <c r="N53" s="268" t="b">
        <f t="shared" si="2"/>
        <v>0</v>
      </c>
      <c r="O53" s="268" t="b">
        <f t="shared" si="2"/>
        <v>0</v>
      </c>
      <c r="P53" s="268" t="b">
        <f t="shared" si="2"/>
        <v>0</v>
      </c>
      <c r="Q53" s="268" t="b">
        <f t="shared" si="2"/>
        <v>0</v>
      </c>
      <c r="R53" s="268" t="b">
        <f t="shared" si="2"/>
        <v>0</v>
      </c>
      <c r="S53" s="268" t="b">
        <f t="shared" si="2"/>
        <v>0</v>
      </c>
      <c r="T53" s="268" t="b">
        <f t="shared" si="2"/>
        <v>0</v>
      </c>
      <c r="U53" s="268" t="b">
        <f t="shared" si="2"/>
        <v>0</v>
      </c>
      <c r="V53" s="268" t="b">
        <f t="shared" si="2"/>
        <v>0</v>
      </c>
      <c r="W53" s="268" t="b">
        <f t="shared" si="2"/>
        <v>0</v>
      </c>
      <c r="X53" s="268" t="b">
        <f t="shared" si="2"/>
        <v>0</v>
      </c>
      <c r="Y53" s="268" t="b">
        <f t="shared" si="2"/>
        <v>0</v>
      </c>
      <c r="Z53" s="268" t="b">
        <f t="shared" si="2"/>
        <v>0</v>
      </c>
      <c r="AA53" s="268" t="b">
        <f t="shared" si="2"/>
        <v>0</v>
      </c>
      <c r="AB53" s="268" t="b">
        <f t="shared" si="2"/>
        <v>0</v>
      </c>
      <c r="AC53" s="268" t="b">
        <f t="shared" si="2"/>
        <v>0</v>
      </c>
      <c r="AD53" s="268" t="b">
        <f t="shared" si="2"/>
        <v>0</v>
      </c>
      <c r="AE53" s="268" t="b">
        <f t="shared" si="2"/>
        <v>0</v>
      </c>
      <c r="AF53" s="268" t="b">
        <f t="shared" si="2"/>
        <v>0</v>
      </c>
      <c r="AG53" s="268" t="b">
        <f t="shared" si="2"/>
        <v>0</v>
      </c>
      <c r="AH53" s="268" t="b">
        <f t="shared" si="2"/>
        <v>0</v>
      </c>
      <c r="AI53" s="268" t="b">
        <f t="shared" si="2"/>
        <v>0</v>
      </c>
      <c r="AJ53" s="268" t="b">
        <f t="shared" si="2"/>
        <v>0</v>
      </c>
      <c r="AK53" s="268" t="b">
        <f t="shared" si="2"/>
        <v>0</v>
      </c>
      <c r="AL53" s="268" t="b">
        <f t="shared" si="2"/>
        <v>0</v>
      </c>
      <c r="AM53" s="268" t="b">
        <f t="shared" si="2"/>
        <v>0</v>
      </c>
      <c r="AN53" s="268" t="b">
        <f t="shared" si="2"/>
        <v>0</v>
      </c>
      <c r="AO53" s="268" t="b">
        <f t="shared" si="2"/>
        <v>0</v>
      </c>
      <c r="AP53" s="268" t="b">
        <f t="shared" si="2"/>
        <v>0</v>
      </c>
      <c r="AQ53" s="268" t="b">
        <f t="shared" si="2"/>
        <v>0</v>
      </c>
      <c r="AR53" s="268" t="b">
        <f t="shared" si="2"/>
        <v>0</v>
      </c>
      <c r="AS53" s="268" t="b">
        <f t="shared" si="2"/>
        <v>0</v>
      </c>
      <c r="AT53" s="268" t="b">
        <f t="shared" si="2"/>
        <v>0</v>
      </c>
      <c r="AU53" s="268" t="b">
        <f t="shared" si="2"/>
        <v>0</v>
      </c>
      <c r="AV53" s="268" t="b">
        <f t="shared" si="2"/>
        <v>0</v>
      </c>
      <c r="AW53" s="268" t="b">
        <f t="shared" si="2"/>
        <v>0</v>
      </c>
      <c r="AX53" s="268" t="b">
        <f t="shared" si="2"/>
        <v>0</v>
      </c>
      <c r="AY53" s="268" t="b">
        <f t="shared" si="2"/>
        <v>0</v>
      </c>
      <c r="AZ53" s="268" t="b">
        <f t="shared" si="2"/>
        <v>0</v>
      </c>
      <c r="BA53" s="268" t="b">
        <f t="shared" si="2"/>
        <v>0</v>
      </c>
      <c r="BB53" s="268" t="b">
        <f t="shared" si="2"/>
        <v>0</v>
      </c>
      <c r="BC53" s="268" t="b">
        <f t="shared" si="2"/>
        <v>0</v>
      </c>
      <c r="BD53" s="268" t="b">
        <f t="shared" si="2"/>
        <v>0</v>
      </c>
      <c r="BE53" s="268" t="b">
        <f t="shared" si="2"/>
        <v>0</v>
      </c>
      <c r="BF53" s="268" t="b">
        <f t="shared" si="2"/>
        <v>0</v>
      </c>
      <c r="BG53" s="268" t="b">
        <f t="shared" si="2"/>
        <v>0</v>
      </c>
      <c r="BH53" s="268" t="b">
        <f t="shared" si="2"/>
        <v>0</v>
      </c>
      <c r="BI53" s="268" t="b">
        <f t="shared" si="2"/>
        <v>0</v>
      </c>
      <c r="BJ53" s="268" t="b">
        <f t="shared" si="2"/>
        <v>0</v>
      </c>
      <c r="BK53" s="268" t="b">
        <f t="shared" si="2"/>
        <v>0</v>
      </c>
      <c r="BL53" s="268" t="b">
        <f t="shared" si="2"/>
        <v>0</v>
      </c>
      <c r="BM53" s="268" t="b">
        <f t="shared" si="2"/>
        <v>0</v>
      </c>
      <c r="BN53" s="268" t="b">
        <f t="shared" si="2"/>
        <v>0</v>
      </c>
      <c r="BO53" s="268" t="b">
        <f t="shared" si="2"/>
        <v>0</v>
      </c>
      <c r="BP53" s="268" t="b">
        <f t="shared" ref="BP53:CD53" si="3">IF($B$53,ROUND(($B$53/($CE$91+$CF$91)*BP91),0))</f>
        <v>0</v>
      </c>
      <c r="BQ53" s="268" t="b">
        <f t="shared" si="3"/>
        <v>0</v>
      </c>
      <c r="BR53" s="268" t="b">
        <f t="shared" si="3"/>
        <v>0</v>
      </c>
      <c r="BS53" s="268" t="b">
        <f t="shared" si="3"/>
        <v>0</v>
      </c>
      <c r="BT53" s="268" t="b">
        <f t="shared" si="3"/>
        <v>0</v>
      </c>
      <c r="BU53" s="268" t="b">
        <f t="shared" si="3"/>
        <v>0</v>
      </c>
      <c r="BV53" s="268" t="b">
        <f t="shared" si="3"/>
        <v>0</v>
      </c>
      <c r="BW53" s="268" t="b">
        <f t="shared" si="3"/>
        <v>0</v>
      </c>
      <c r="BX53" s="268" t="b">
        <f t="shared" si="3"/>
        <v>0</v>
      </c>
      <c r="BY53" s="268" t="b">
        <f t="shared" si="3"/>
        <v>0</v>
      </c>
      <c r="BZ53" s="268" t="b">
        <f t="shared" si="3"/>
        <v>0</v>
      </c>
      <c r="CA53" s="268" t="b">
        <f t="shared" si="3"/>
        <v>0</v>
      </c>
      <c r="CB53" s="268" t="b">
        <f t="shared" si="3"/>
        <v>0</v>
      </c>
      <c r="CC53" s="268" t="b">
        <f t="shared" si="3"/>
        <v>0</v>
      </c>
      <c r="CD53" s="268" t="b">
        <f t="shared" si="3"/>
        <v>0</v>
      </c>
      <c r="CE53" s="31">
        <f>SUM(C53:CD53)</f>
        <v>0</v>
      </c>
    </row>
    <row r="54" spans="1:83" x14ac:dyDescent="0.25">
      <c r="A54" s="19" t="s">
        <v>218</v>
      </c>
      <c r="B54" s="268">
        <f>B52+B53</f>
        <v>0</v>
      </c>
      <c r="C54" s="225"/>
      <c r="D54" s="225"/>
      <c r="E54" s="225"/>
      <c r="F54" s="225"/>
      <c r="G54" s="225"/>
      <c r="H54" s="225"/>
      <c r="I54" s="225"/>
      <c r="J54" s="225"/>
      <c r="K54" s="225"/>
      <c r="L54" s="225"/>
      <c r="M54" s="225"/>
      <c r="N54" s="225"/>
      <c r="O54" s="225"/>
      <c r="P54" s="225"/>
      <c r="Q54" s="225"/>
      <c r="R54" s="225"/>
      <c r="S54" s="225"/>
      <c r="T54" s="225"/>
      <c r="U54" s="225"/>
      <c r="V54" s="225"/>
      <c r="W54" s="225"/>
      <c r="X54" s="225"/>
      <c r="Y54" s="225"/>
      <c r="Z54" s="225"/>
      <c r="AA54" s="225"/>
      <c r="AB54" s="225"/>
      <c r="AC54" s="225"/>
      <c r="AD54" s="225"/>
      <c r="AE54" s="225"/>
      <c r="AF54" s="225"/>
      <c r="AG54" s="225"/>
      <c r="AH54" s="225"/>
      <c r="AI54" s="225"/>
      <c r="AJ54" s="225"/>
      <c r="AK54" s="225"/>
      <c r="AL54" s="225"/>
      <c r="AM54" s="225"/>
      <c r="AN54" s="225"/>
      <c r="AO54" s="225"/>
      <c r="AP54" s="225"/>
      <c r="AQ54" s="225"/>
      <c r="AR54" s="225"/>
      <c r="AS54" s="225"/>
      <c r="AT54" s="225"/>
      <c r="AU54" s="225"/>
      <c r="AV54" s="225"/>
      <c r="AW54" s="225"/>
      <c r="AX54" s="225"/>
      <c r="AY54" s="225"/>
      <c r="AZ54" s="225"/>
      <c r="BA54" s="225"/>
      <c r="BB54" s="225"/>
      <c r="BC54" s="225"/>
      <c r="BD54" s="225"/>
      <c r="BE54" s="225"/>
      <c r="BF54" s="225"/>
      <c r="BG54" s="225"/>
      <c r="BH54" s="225"/>
      <c r="BI54" s="225"/>
      <c r="BJ54" s="225"/>
      <c r="BK54" s="225"/>
      <c r="BL54" s="225"/>
      <c r="BM54" s="225"/>
      <c r="BN54" s="225"/>
      <c r="BO54" s="225"/>
      <c r="BP54" s="225"/>
      <c r="BQ54" s="225"/>
      <c r="BR54" s="225"/>
      <c r="BS54" s="225"/>
      <c r="BT54" s="225"/>
      <c r="BU54" s="225"/>
      <c r="BV54" s="225"/>
      <c r="BW54" s="225"/>
      <c r="BX54" s="225"/>
      <c r="BY54" s="225"/>
      <c r="BZ54" s="225"/>
      <c r="CA54" s="225"/>
      <c r="CB54" s="225"/>
      <c r="CC54" s="225"/>
      <c r="CD54" s="19"/>
      <c r="CE54" s="19"/>
    </row>
    <row r="55" spans="1:83" x14ac:dyDescent="0.25">
      <c r="A55" s="19"/>
      <c r="B55" s="19"/>
      <c r="C55" s="26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</row>
    <row r="56" spans="1:83" x14ac:dyDescent="0.25">
      <c r="A56" s="25" t="s">
        <v>221</v>
      </c>
      <c r="B56" s="19"/>
      <c r="C56" s="20" t="s">
        <v>21</v>
      </c>
      <c r="D56" s="21" t="s">
        <v>22</v>
      </c>
      <c r="E56" s="21" t="s">
        <v>23</v>
      </c>
      <c r="F56" s="21" t="s">
        <v>24</v>
      </c>
      <c r="G56" s="21" t="s">
        <v>25</v>
      </c>
      <c r="H56" s="21" t="s">
        <v>26</v>
      </c>
      <c r="I56" s="21" t="s">
        <v>27</v>
      </c>
      <c r="J56" s="21" t="s">
        <v>28</v>
      </c>
      <c r="K56" s="21" t="s">
        <v>29</v>
      </c>
      <c r="L56" s="21" t="s">
        <v>30</v>
      </c>
      <c r="M56" s="21" t="s">
        <v>31</v>
      </c>
      <c r="N56" s="21" t="s">
        <v>32</v>
      </c>
      <c r="O56" s="21" t="s">
        <v>33</v>
      </c>
      <c r="P56" s="21" t="s">
        <v>34</v>
      </c>
      <c r="Q56" s="21" t="s">
        <v>35</v>
      </c>
      <c r="R56" s="21" t="s">
        <v>36</v>
      </c>
      <c r="S56" s="21" t="s">
        <v>37</v>
      </c>
      <c r="T56" s="27" t="s">
        <v>38</v>
      </c>
      <c r="U56" s="21" t="s">
        <v>39</v>
      </c>
      <c r="V56" s="21" t="s">
        <v>40</v>
      </c>
      <c r="W56" s="21" t="s">
        <v>41</v>
      </c>
      <c r="X56" s="21" t="s">
        <v>42</v>
      </c>
      <c r="Y56" s="21" t="s">
        <v>43</v>
      </c>
      <c r="Z56" s="21" t="s">
        <v>44</v>
      </c>
      <c r="AA56" s="21" t="s">
        <v>45</v>
      </c>
      <c r="AB56" s="21" t="s">
        <v>46</v>
      </c>
      <c r="AC56" s="21" t="s">
        <v>47</v>
      </c>
      <c r="AD56" s="21" t="s">
        <v>48</v>
      </c>
      <c r="AE56" s="21" t="s">
        <v>49</v>
      </c>
      <c r="AF56" s="21" t="s">
        <v>50</v>
      </c>
      <c r="AG56" s="21" t="s">
        <v>51</v>
      </c>
      <c r="AH56" s="21" t="s">
        <v>52</v>
      </c>
      <c r="AI56" s="21" t="s">
        <v>53</v>
      </c>
      <c r="AJ56" s="21" t="s">
        <v>54</v>
      </c>
      <c r="AK56" s="21" t="s">
        <v>55</v>
      </c>
      <c r="AL56" s="21" t="s">
        <v>56</v>
      </c>
      <c r="AM56" s="21" t="s">
        <v>57</v>
      </c>
      <c r="AN56" s="21" t="s">
        <v>58</v>
      </c>
      <c r="AO56" s="21" t="s">
        <v>59</v>
      </c>
      <c r="AP56" s="21" t="s">
        <v>60</v>
      </c>
      <c r="AQ56" s="21" t="s">
        <v>61</v>
      </c>
      <c r="AR56" s="21" t="s">
        <v>62</v>
      </c>
      <c r="AS56" s="21" t="s">
        <v>63</v>
      </c>
      <c r="AT56" s="21" t="s">
        <v>64</v>
      </c>
      <c r="AU56" s="21" t="s">
        <v>65</v>
      </c>
      <c r="AV56" s="21" t="s">
        <v>66</v>
      </c>
      <c r="AW56" s="21" t="s">
        <v>67</v>
      </c>
      <c r="AX56" s="21" t="s">
        <v>68</v>
      </c>
      <c r="AY56" s="21" t="s">
        <v>69</v>
      </c>
      <c r="AZ56" s="21" t="s">
        <v>70</v>
      </c>
      <c r="BA56" s="21" t="s">
        <v>71</v>
      </c>
      <c r="BB56" s="21" t="s">
        <v>72</v>
      </c>
      <c r="BC56" s="21" t="s">
        <v>73</v>
      </c>
      <c r="BD56" s="21" t="s">
        <v>74</v>
      </c>
      <c r="BE56" s="21" t="s">
        <v>75</v>
      </c>
      <c r="BF56" s="21" t="s">
        <v>76</v>
      </c>
      <c r="BG56" s="21" t="s">
        <v>77</v>
      </c>
      <c r="BH56" s="21" t="s">
        <v>78</v>
      </c>
      <c r="BI56" s="21" t="s">
        <v>79</v>
      </c>
      <c r="BJ56" s="21" t="s">
        <v>80</v>
      </c>
      <c r="BK56" s="21" t="s">
        <v>81</v>
      </c>
      <c r="BL56" s="21" t="s">
        <v>82</v>
      </c>
      <c r="BM56" s="21" t="s">
        <v>83</v>
      </c>
      <c r="BN56" s="21" t="s">
        <v>84</v>
      </c>
      <c r="BO56" s="21" t="s">
        <v>85</v>
      </c>
      <c r="BP56" s="21" t="s">
        <v>86</v>
      </c>
      <c r="BQ56" s="21" t="s">
        <v>87</v>
      </c>
      <c r="BR56" s="21" t="s">
        <v>88</v>
      </c>
      <c r="BS56" s="21" t="s">
        <v>89</v>
      </c>
      <c r="BT56" s="21" t="s">
        <v>90</v>
      </c>
      <c r="BU56" s="21" t="s">
        <v>91</v>
      </c>
      <c r="BV56" s="21" t="s">
        <v>92</v>
      </c>
      <c r="BW56" s="21" t="s">
        <v>93</v>
      </c>
      <c r="BX56" s="21" t="s">
        <v>94</v>
      </c>
      <c r="BY56" s="21" t="s">
        <v>95</v>
      </c>
      <c r="BZ56" s="21" t="s">
        <v>96</v>
      </c>
      <c r="CA56" s="21" t="s">
        <v>97</v>
      </c>
      <c r="CB56" s="21" t="s">
        <v>98</v>
      </c>
      <c r="CC56" s="21" t="s">
        <v>99</v>
      </c>
      <c r="CD56" s="21" t="s">
        <v>100</v>
      </c>
      <c r="CE56" s="21" t="s">
        <v>101</v>
      </c>
    </row>
    <row r="57" spans="1:83" x14ac:dyDescent="0.25">
      <c r="A57" s="25" t="s">
        <v>222</v>
      </c>
      <c r="B57" s="19"/>
      <c r="C57" s="20" t="s">
        <v>103</v>
      </c>
      <c r="D57" s="21" t="s">
        <v>104</v>
      </c>
      <c r="E57" s="21" t="s">
        <v>105</v>
      </c>
      <c r="F57" s="21" t="s">
        <v>106</v>
      </c>
      <c r="G57" s="21" t="s">
        <v>107</v>
      </c>
      <c r="H57" s="21" t="s">
        <v>108</v>
      </c>
      <c r="I57" s="21" t="s">
        <v>109</v>
      </c>
      <c r="J57" s="21" t="s">
        <v>110</v>
      </c>
      <c r="K57" s="21" t="s">
        <v>111</v>
      </c>
      <c r="L57" s="21" t="s">
        <v>112</v>
      </c>
      <c r="M57" s="21" t="s">
        <v>113</v>
      </c>
      <c r="N57" s="21" t="s">
        <v>114</v>
      </c>
      <c r="O57" s="21" t="s">
        <v>115</v>
      </c>
      <c r="P57" s="21" t="s">
        <v>116</v>
      </c>
      <c r="Q57" s="21" t="s">
        <v>117</v>
      </c>
      <c r="R57" s="21" t="s">
        <v>118</v>
      </c>
      <c r="S57" s="21" t="s">
        <v>119</v>
      </c>
      <c r="T57" s="21" t="s">
        <v>120</v>
      </c>
      <c r="U57" s="21" t="s">
        <v>121</v>
      </c>
      <c r="V57" s="21" t="s">
        <v>122</v>
      </c>
      <c r="W57" s="21" t="s">
        <v>123</v>
      </c>
      <c r="X57" s="21" t="s">
        <v>124</v>
      </c>
      <c r="Y57" s="21" t="s">
        <v>125</v>
      </c>
      <c r="Z57" s="21" t="s">
        <v>125</v>
      </c>
      <c r="AA57" s="21" t="s">
        <v>126</v>
      </c>
      <c r="AB57" s="21" t="s">
        <v>127</v>
      </c>
      <c r="AC57" s="21" t="s">
        <v>128</v>
      </c>
      <c r="AD57" s="21" t="s">
        <v>129</v>
      </c>
      <c r="AE57" s="21" t="s">
        <v>107</v>
      </c>
      <c r="AF57" s="21" t="s">
        <v>108</v>
      </c>
      <c r="AG57" s="21" t="s">
        <v>130</v>
      </c>
      <c r="AH57" s="21" t="s">
        <v>131</v>
      </c>
      <c r="AI57" s="21" t="s">
        <v>132</v>
      </c>
      <c r="AJ57" s="21" t="s">
        <v>133</v>
      </c>
      <c r="AK57" s="21" t="s">
        <v>134</v>
      </c>
      <c r="AL57" s="21" t="s">
        <v>135</v>
      </c>
      <c r="AM57" s="21" t="s">
        <v>136</v>
      </c>
      <c r="AN57" s="21" t="s">
        <v>122</v>
      </c>
      <c r="AO57" s="21" t="s">
        <v>137</v>
      </c>
      <c r="AP57" s="21" t="s">
        <v>138</v>
      </c>
      <c r="AQ57" s="21" t="s">
        <v>139</v>
      </c>
      <c r="AR57" s="21" t="s">
        <v>140</v>
      </c>
      <c r="AS57" s="21" t="s">
        <v>141</v>
      </c>
      <c r="AT57" s="21" t="s">
        <v>142</v>
      </c>
      <c r="AU57" s="21" t="s">
        <v>143</v>
      </c>
      <c r="AV57" s="21" t="s">
        <v>144</v>
      </c>
      <c r="AW57" s="21" t="s">
        <v>145</v>
      </c>
      <c r="AX57" s="21" t="s">
        <v>146</v>
      </c>
      <c r="AY57" s="21" t="s">
        <v>147</v>
      </c>
      <c r="AZ57" s="21" t="s">
        <v>148</v>
      </c>
      <c r="BA57" s="21" t="s">
        <v>149</v>
      </c>
      <c r="BB57" s="21" t="s">
        <v>150</v>
      </c>
      <c r="BC57" s="21" t="s">
        <v>119</v>
      </c>
      <c r="BD57" s="21" t="s">
        <v>151</v>
      </c>
      <c r="BE57" s="21" t="s">
        <v>152</v>
      </c>
      <c r="BF57" s="21" t="s">
        <v>153</v>
      </c>
      <c r="BG57" s="21" t="s">
        <v>154</v>
      </c>
      <c r="BH57" s="21" t="s">
        <v>155</v>
      </c>
      <c r="BI57" s="21" t="s">
        <v>156</v>
      </c>
      <c r="BJ57" s="21" t="s">
        <v>157</v>
      </c>
      <c r="BK57" s="21" t="s">
        <v>158</v>
      </c>
      <c r="BL57" s="21" t="s">
        <v>159</v>
      </c>
      <c r="BM57" s="21" t="s">
        <v>144</v>
      </c>
      <c r="BN57" s="21" t="s">
        <v>160</v>
      </c>
      <c r="BO57" s="21" t="s">
        <v>161</v>
      </c>
      <c r="BP57" s="21" t="s">
        <v>162</v>
      </c>
      <c r="BQ57" s="21" t="s">
        <v>163</v>
      </c>
      <c r="BR57" s="21" t="s">
        <v>164</v>
      </c>
      <c r="BS57" s="21" t="s">
        <v>165</v>
      </c>
      <c r="BT57" s="21" t="s">
        <v>166</v>
      </c>
      <c r="BU57" s="21" t="s">
        <v>167</v>
      </c>
      <c r="BV57" s="21" t="s">
        <v>167</v>
      </c>
      <c r="BW57" s="21" t="s">
        <v>167</v>
      </c>
      <c r="BX57" s="21" t="s">
        <v>168</v>
      </c>
      <c r="BY57" s="21" t="s">
        <v>169</v>
      </c>
      <c r="BZ57" s="21" t="s">
        <v>170</v>
      </c>
      <c r="CA57" s="21" t="s">
        <v>171</v>
      </c>
      <c r="CB57" s="21" t="s">
        <v>172</v>
      </c>
      <c r="CC57" s="21" t="s">
        <v>144</v>
      </c>
      <c r="CD57" s="21" t="s">
        <v>223</v>
      </c>
      <c r="CE57" s="21" t="s">
        <v>173</v>
      </c>
    </row>
    <row r="58" spans="1:83" x14ac:dyDescent="0.25">
      <c r="A58" s="25" t="s">
        <v>224</v>
      </c>
      <c r="B58" s="19"/>
      <c r="C58" s="20" t="s">
        <v>175</v>
      </c>
      <c r="D58" s="21" t="s">
        <v>175</v>
      </c>
      <c r="E58" s="21" t="s">
        <v>175</v>
      </c>
      <c r="F58" s="21" t="s">
        <v>176</v>
      </c>
      <c r="G58" s="21" t="s">
        <v>177</v>
      </c>
      <c r="H58" s="21" t="s">
        <v>175</v>
      </c>
      <c r="I58" s="21" t="s">
        <v>178</v>
      </c>
      <c r="J58" s="21"/>
      <c r="K58" s="21" t="s">
        <v>169</v>
      </c>
      <c r="L58" s="21" t="s">
        <v>179</v>
      </c>
      <c r="M58" s="21" t="s">
        <v>180</v>
      </c>
      <c r="N58" s="21" t="s">
        <v>181</v>
      </c>
      <c r="O58" s="21" t="s">
        <v>182</v>
      </c>
      <c r="P58" s="21" t="s">
        <v>181</v>
      </c>
      <c r="Q58" s="21" t="s">
        <v>183</v>
      </c>
      <c r="R58" s="21"/>
      <c r="S58" s="21" t="s">
        <v>181</v>
      </c>
      <c r="T58" s="21" t="s">
        <v>184</v>
      </c>
      <c r="U58" s="21"/>
      <c r="V58" s="21" t="s">
        <v>185</v>
      </c>
      <c r="W58" s="21" t="s">
        <v>186</v>
      </c>
      <c r="X58" s="21" t="s">
        <v>187</v>
      </c>
      <c r="Y58" s="21" t="s">
        <v>188</v>
      </c>
      <c r="Z58" s="21" t="s">
        <v>189</v>
      </c>
      <c r="AA58" s="21" t="s">
        <v>190</v>
      </c>
      <c r="AB58" s="21"/>
      <c r="AC58" s="21" t="s">
        <v>184</v>
      </c>
      <c r="AD58" s="21"/>
      <c r="AE58" s="21" t="s">
        <v>184</v>
      </c>
      <c r="AF58" s="21" t="s">
        <v>191</v>
      </c>
      <c r="AG58" s="21" t="s">
        <v>183</v>
      </c>
      <c r="AH58" s="21"/>
      <c r="AI58" s="21" t="s">
        <v>192</v>
      </c>
      <c r="AJ58" s="21"/>
      <c r="AK58" s="21" t="s">
        <v>184</v>
      </c>
      <c r="AL58" s="21" t="s">
        <v>184</v>
      </c>
      <c r="AM58" s="21" t="s">
        <v>184</v>
      </c>
      <c r="AN58" s="21" t="s">
        <v>193</v>
      </c>
      <c r="AO58" s="21" t="s">
        <v>194</v>
      </c>
      <c r="AP58" s="21" t="s">
        <v>133</v>
      </c>
      <c r="AQ58" s="21" t="s">
        <v>195</v>
      </c>
      <c r="AR58" s="21" t="s">
        <v>181</v>
      </c>
      <c r="AS58" s="21"/>
      <c r="AT58" s="21" t="s">
        <v>196</v>
      </c>
      <c r="AU58" s="21" t="s">
        <v>197</v>
      </c>
      <c r="AV58" s="21" t="s">
        <v>198</v>
      </c>
      <c r="AW58" s="21" t="s">
        <v>199</v>
      </c>
      <c r="AX58" s="21" t="s">
        <v>200</v>
      </c>
      <c r="AY58" s="21"/>
      <c r="AZ58" s="21"/>
      <c r="BA58" s="21" t="s">
        <v>201</v>
      </c>
      <c r="BB58" s="21" t="s">
        <v>181</v>
      </c>
      <c r="BC58" s="21" t="s">
        <v>195</v>
      </c>
      <c r="BD58" s="21"/>
      <c r="BE58" s="21"/>
      <c r="BF58" s="21"/>
      <c r="BG58" s="21"/>
      <c r="BH58" s="21" t="s">
        <v>202</v>
      </c>
      <c r="BI58" s="21" t="s">
        <v>181</v>
      </c>
      <c r="BJ58" s="21"/>
      <c r="BK58" s="21" t="s">
        <v>203</v>
      </c>
      <c r="BL58" s="21"/>
      <c r="BM58" s="21" t="s">
        <v>204</v>
      </c>
      <c r="BN58" s="21" t="s">
        <v>205</v>
      </c>
      <c r="BO58" s="21" t="s">
        <v>206</v>
      </c>
      <c r="BP58" s="21" t="s">
        <v>207</v>
      </c>
      <c r="BQ58" s="21" t="s">
        <v>208</v>
      </c>
      <c r="BR58" s="21"/>
      <c r="BS58" s="21" t="s">
        <v>209</v>
      </c>
      <c r="BT58" s="21" t="s">
        <v>181</v>
      </c>
      <c r="BU58" s="21" t="s">
        <v>210</v>
      </c>
      <c r="BV58" s="21" t="s">
        <v>211</v>
      </c>
      <c r="BW58" s="21" t="s">
        <v>212</v>
      </c>
      <c r="BX58" s="21" t="s">
        <v>163</v>
      </c>
      <c r="BY58" s="21" t="s">
        <v>205</v>
      </c>
      <c r="BZ58" s="21" t="s">
        <v>164</v>
      </c>
      <c r="CA58" s="21" t="s">
        <v>213</v>
      </c>
      <c r="CB58" s="21" t="s">
        <v>213</v>
      </c>
      <c r="CC58" s="21" t="s">
        <v>214</v>
      </c>
      <c r="CD58" s="21" t="s">
        <v>225</v>
      </c>
      <c r="CE58" s="21" t="s">
        <v>215</v>
      </c>
    </row>
    <row r="59" spans="1:83" x14ac:dyDescent="0.25">
      <c r="A59" s="25" t="s">
        <v>226</v>
      </c>
      <c r="B59" s="19"/>
      <c r="C59" s="20" t="s">
        <v>227</v>
      </c>
      <c r="D59" s="21" t="s">
        <v>227</v>
      </c>
      <c r="E59" s="21" t="s">
        <v>227</v>
      </c>
      <c r="F59" s="21" t="s">
        <v>227</v>
      </c>
      <c r="G59" s="21" t="s">
        <v>227</v>
      </c>
      <c r="H59" s="21" t="s">
        <v>227</v>
      </c>
      <c r="I59" s="21" t="s">
        <v>227</v>
      </c>
      <c r="J59" s="21" t="s">
        <v>228</v>
      </c>
      <c r="K59" s="21" t="s">
        <v>227</v>
      </c>
      <c r="L59" s="21" t="s">
        <v>227</v>
      </c>
      <c r="M59" s="21" t="s">
        <v>227</v>
      </c>
      <c r="N59" s="21" t="s">
        <v>227</v>
      </c>
      <c r="O59" s="21" t="s">
        <v>229</v>
      </c>
      <c r="P59" s="21" t="s">
        <v>230</v>
      </c>
      <c r="Q59" s="21" t="s">
        <v>231</v>
      </c>
      <c r="R59" s="22" t="s">
        <v>232</v>
      </c>
      <c r="S59" s="28" t="s">
        <v>233</v>
      </c>
      <c r="T59" s="28" t="s">
        <v>233</v>
      </c>
      <c r="U59" s="21" t="s">
        <v>234</v>
      </c>
      <c r="V59" s="21" t="s">
        <v>234</v>
      </c>
      <c r="W59" s="21" t="s">
        <v>235</v>
      </c>
      <c r="X59" s="21" t="s">
        <v>236</v>
      </c>
      <c r="Y59" s="21" t="s">
        <v>237</v>
      </c>
      <c r="Z59" s="21" t="s">
        <v>237</v>
      </c>
      <c r="AA59" s="21" t="s">
        <v>237</v>
      </c>
      <c r="AB59" s="28" t="s">
        <v>233</v>
      </c>
      <c r="AC59" s="21" t="s">
        <v>238</v>
      </c>
      <c r="AD59" s="21" t="s">
        <v>239</v>
      </c>
      <c r="AE59" s="21" t="s">
        <v>238</v>
      </c>
      <c r="AF59" s="21" t="s">
        <v>240</v>
      </c>
      <c r="AG59" s="21" t="s">
        <v>240</v>
      </c>
      <c r="AH59" s="21" t="s">
        <v>241</v>
      </c>
      <c r="AI59" s="21" t="s">
        <v>242</v>
      </c>
      <c r="AJ59" s="21" t="s">
        <v>240</v>
      </c>
      <c r="AK59" s="21" t="s">
        <v>238</v>
      </c>
      <c r="AL59" s="21" t="s">
        <v>238</v>
      </c>
      <c r="AM59" s="21" t="s">
        <v>238</v>
      </c>
      <c r="AN59" s="21" t="s">
        <v>229</v>
      </c>
      <c r="AO59" s="21" t="s">
        <v>239</v>
      </c>
      <c r="AP59" s="21" t="s">
        <v>240</v>
      </c>
      <c r="AQ59" s="21" t="s">
        <v>241</v>
      </c>
      <c r="AR59" s="21" t="s">
        <v>240</v>
      </c>
      <c r="AS59" s="21" t="s">
        <v>238</v>
      </c>
      <c r="AT59" s="21" t="s">
        <v>243</v>
      </c>
      <c r="AU59" s="21" t="s">
        <v>240</v>
      </c>
      <c r="AV59" s="28" t="s">
        <v>233</v>
      </c>
      <c r="AW59" s="28" t="s">
        <v>233</v>
      </c>
      <c r="AX59" s="28" t="s">
        <v>233</v>
      </c>
      <c r="AY59" s="21" t="s">
        <v>244</v>
      </c>
      <c r="AZ59" s="21" t="s">
        <v>244</v>
      </c>
      <c r="BA59" s="28" t="s">
        <v>233</v>
      </c>
      <c r="BB59" s="28" t="s">
        <v>233</v>
      </c>
      <c r="BC59" s="28" t="s">
        <v>233</v>
      </c>
      <c r="BD59" s="28" t="s">
        <v>233</v>
      </c>
      <c r="BE59" s="21" t="s">
        <v>245</v>
      </c>
      <c r="BF59" s="28" t="s">
        <v>233</v>
      </c>
      <c r="BG59" s="28" t="s">
        <v>233</v>
      </c>
      <c r="BH59" s="28" t="s">
        <v>233</v>
      </c>
      <c r="BI59" s="28" t="s">
        <v>233</v>
      </c>
      <c r="BJ59" s="28" t="s">
        <v>233</v>
      </c>
      <c r="BK59" s="28" t="s">
        <v>233</v>
      </c>
      <c r="BL59" s="28" t="s">
        <v>233</v>
      </c>
      <c r="BM59" s="28" t="s">
        <v>233</v>
      </c>
      <c r="BN59" s="28" t="s">
        <v>233</v>
      </c>
      <c r="BO59" s="28" t="s">
        <v>233</v>
      </c>
      <c r="BP59" s="28" t="s">
        <v>233</v>
      </c>
      <c r="BQ59" s="28" t="s">
        <v>233</v>
      </c>
      <c r="BR59" s="28" t="s">
        <v>233</v>
      </c>
      <c r="BS59" s="28" t="s">
        <v>233</v>
      </c>
      <c r="BT59" s="28" t="s">
        <v>233</v>
      </c>
      <c r="BU59" s="28" t="s">
        <v>233</v>
      </c>
      <c r="BV59" s="28" t="s">
        <v>233</v>
      </c>
      <c r="BW59" s="28" t="s">
        <v>233</v>
      </c>
      <c r="BX59" s="28" t="s">
        <v>233</v>
      </c>
      <c r="BY59" s="28" t="s">
        <v>233</v>
      </c>
      <c r="BZ59" s="28" t="s">
        <v>233</v>
      </c>
      <c r="CA59" s="28" t="s">
        <v>233</v>
      </c>
      <c r="CB59" s="28" t="s">
        <v>233</v>
      </c>
      <c r="CC59" s="28" t="s">
        <v>233</v>
      </c>
      <c r="CD59" s="28" t="s">
        <v>233</v>
      </c>
      <c r="CE59" s="28" t="s">
        <v>233</v>
      </c>
    </row>
    <row r="60" spans="1:83" x14ac:dyDescent="0.25">
      <c r="A60" s="38" t="s">
        <v>246</v>
      </c>
      <c r="B60" s="31"/>
      <c r="C60" s="212">
        <v>5466.41</v>
      </c>
      <c r="D60" s="212">
        <v>9975.4599999999991</v>
      </c>
      <c r="E60" s="212">
        <v>40880.5</v>
      </c>
      <c r="F60" s="212"/>
      <c r="G60" s="212">
        <v>3342</v>
      </c>
      <c r="H60" s="212"/>
      <c r="I60" s="212"/>
      <c r="J60" s="212"/>
      <c r="K60" s="212"/>
      <c r="L60" s="212"/>
      <c r="M60" s="212">
        <v>3471</v>
      </c>
      <c r="N60" s="212"/>
      <c r="O60" s="212">
        <v>4753</v>
      </c>
      <c r="P60" s="213">
        <v>758432</v>
      </c>
      <c r="Q60" s="213">
        <v>1969976</v>
      </c>
      <c r="R60" s="213">
        <v>1287747</v>
      </c>
      <c r="S60" s="261"/>
      <c r="T60" s="261"/>
      <c r="U60" s="226">
        <v>1137833</v>
      </c>
      <c r="V60" s="213"/>
      <c r="W60" s="213">
        <v>33241</v>
      </c>
      <c r="X60" s="213">
        <v>166849.9</v>
      </c>
      <c r="Y60" s="213">
        <v>389467.97</v>
      </c>
      <c r="Z60" s="213">
        <v>50517.22</v>
      </c>
      <c r="AA60" s="213">
        <v>13874.32</v>
      </c>
      <c r="AB60" s="261"/>
      <c r="AC60" s="213">
        <v>24515.949999999997</v>
      </c>
      <c r="AD60" s="213"/>
      <c r="AE60" s="213">
        <v>50293</v>
      </c>
      <c r="AF60" s="213"/>
      <c r="AG60" s="213">
        <v>113304</v>
      </c>
      <c r="AH60" s="213"/>
      <c r="AI60" s="213"/>
      <c r="AJ60" s="213">
        <v>281820</v>
      </c>
      <c r="AK60" s="213"/>
      <c r="AL60" s="213"/>
      <c r="AM60" s="213"/>
      <c r="AN60" s="213"/>
      <c r="AO60" s="213"/>
      <c r="AP60" s="213">
        <v>363714</v>
      </c>
      <c r="AQ60" s="213"/>
      <c r="AR60" s="213">
        <v>111169</v>
      </c>
      <c r="AS60" s="213"/>
      <c r="AT60" s="213"/>
      <c r="AU60" s="213"/>
      <c r="AV60" s="261"/>
      <c r="AW60" s="261"/>
      <c r="AX60" s="261"/>
      <c r="AY60" s="213"/>
      <c r="AZ60" s="213">
        <v>707764.02</v>
      </c>
      <c r="BA60" s="261"/>
      <c r="BB60" s="261"/>
      <c r="BC60" s="261"/>
      <c r="BD60" s="261"/>
      <c r="BE60" s="213">
        <v>679195</v>
      </c>
      <c r="BF60" s="261"/>
      <c r="BG60" s="261"/>
      <c r="BH60" s="261"/>
      <c r="BI60" s="261"/>
      <c r="BJ60" s="261"/>
      <c r="BK60" s="261"/>
      <c r="BL60" s="261"/>
      <c r="BM60" s="261"/>
      <c r="BN60" s="261"/>
      <c r="BO60" s="261"/>
      <c r="BP60" s="261"/>
      <c r="BQ60" s="261"/>
      <c r="BR60" s="261"/>
      <c r="BS60" s="261"/>
      <c r="BT60" s="261"/>
      <c r="BU60" s="261"/>
      <c r="BV60" s="261"/>
      <c r="BW60" s="261"/>
      <c r="BX60" s="261"/>
      <c r="BY60" s="261"/>
      <c r="BZ60" s="261"/>
      <c r="CA60" s="261"/>
      <c r="CB60" s="261"/>
      <c r="CC60" s="261"/>
      <c r="CD60" s="262"/>
      <c r="CE60" s="31"/>
    </row>
    <row r="61" spans="1:83" s="224" customFormat="1" x14ac:dyDescent="0.25">
      <c r="A61" s="239" t="s">
        <v>247</v>
      </c>
      <c r="B61" s="240"/>
      <c r="C61" s="241">
        <v>129.66117788461543</v>
      </c>
      <c r="D61" s="241">
        <v>70.320634615384606</v>
      </c>
      <c r="E61" s="241">
        <v>298.26640384615376</v>
      </c>
      <c r="F61" s="241">
        <v>7.6035576923076924</v>
      </c>
      <c r="G61" s="241">
        <v>17.9505625</v>
      </c>
      <c r="H61" s="241"/>
      <c r="I61" s="241"/>
      <c r="J61" s="241"/>
      <c r="K61" s="241"/>
      <c r="L61" s="241"/>
      <c r="M61" s="241">
        <v>47.3102740384615</v>
      </c>
      <c r="N61" s="241">
        <v>50.91838461538461</v>
      </c>
      <c r="O61" s="241">
        <v>176.98975961538463</v>
      </c>
      <c r="P61" s="242">
        <v>112.49838461538462</v>
      </c>
      <c r="Q61" s="242">
        <v>51.467591346153853</v>
      </c>
      <c r="R61" s="242">
        <v>7.1129663461538462</v>
      </c>
      <c r="S61" s="243">
        <v>19.973749999999999</v>
      </c>
      <c r="T61" s="243">
        <v>0</v>
      </c>
      <c r="U61" s="244">
        <v>75.980634615384616</v>
      </c>
      <c r="V61" s="242">
        <v>2.3598028846153842</v>
      </c>
      <c r="W61" s="242">
        <v>5.7547307692307683</v>
      </c>
      <c r="X61" s="242">
        <v>13.034769230769228</v>
      </c>
      <c r="Y61" s="242">
        <v>150.63518269230769</v>
      </c>
      <c r="Z61" s="242">
        <v>21.436451923076923</v>
      </c>
      <c r="AA61" s="242">
        <v>3.0096298076923076</v>
      </c>
      <c r="AB61" s="243">
        <v>54.008668269230768</v>
      </c>
      <c r="AC61" s="242">
        <v>24.193471153846158</v>
      </c>
      <c r="AD61" s="242"/>
      <c r="AE61" s="242">
        <v>62.115490384615384</v>
      </c>
      <c r="AF61" s="242">
        <v>0</v>
      </c>
      <c r="AG61" s="242">
        <v>112.04542788461539</v>
      </c>
      <c r="AH61" s="242"/>
      <c r="AI61" s="242"/>
      <c r="AJ61" s="242">
        <v>471.51002884615377</v>
      </c>
      <c r="AK61" s="242"/>
      <c r="AL61" s="242"/>
      <c r="AM61" s="242"/>
      <c r="AN61" s="242"/>
      <c r="AO61" s="242"/>
      <c r="AP61" s="242">
        <v>393.55525480769228</v>
      </c>
      <c r="AQ61" s="242">
        <v>0</v>
      </c>
      <c r="AR61" s="242">
        <v>477.40179326923101</v>
      </c>
      <c r="AS61" s="242"/>
      <c r="AT61" s="242"/>
      <c r="AU61" s="242"/>
      <c r="AV61" s="243">
        <v>23.774870192307695</v>
      </c>
      <c r="AW61" s="243">
        <v>19.243591346153849</v>
      </c>
      <c r="AX61" s="243"/>
      <c r="AY61" s="242"/>
      <c r="AZ61" s="242">
        <v>56.438894230769229</v>
      </c>
      <c r="BA61" s="243">
        <v>5.5083990384615378</v>
      </c>
      <c r="BB61" s="243">
        <v>0.10122115384615384</v>
      </c>
      <c r="BC61" s="243">
        <v>7.1135384615384609</v>
      </c>
      <c r="BD61" s="243">
        <v>34.859500000000004</v>
      </c>
      <c r="BE61" s="242">
        <v>51.061663461538451</v>
      </c>
      <c r="BF61" s="243">
        <v>98.279062499999995</v>
      </c>
      <c r="BG61" s="243">
        <v>16.723533653846157</v>
      </c>
      <c r="BH61" s="243">
        <v>127.90365384615383</v>
      </c>
      <c r="BI61" s="243">
        <v>69.6574375</v>
      </c>
      <c r="BJ61" s="243">
        <v>18.586802884615384</v>
      </c>
      <c r="BK61" s="243">
        <v>89.747956730769246</v>
      </c>
      <c r="BL61" s="243">
        <v>79.46995673076924</v>
      </c>
      <c r="BM61" s="243">
        <v>43.784673076923085</v>
      </c>
      <c r="BN61" s="243">
        <v>25.18464423076923</v>
      </c>
      <c r="BO61" s="243">
        <v>8.9922259615384608</v>
      </c>
      <c r="BP61" s="243">
        <v>8.5500240384615385</v>
      </c>
      <c r="BQ61" s="243">
        <v>4.4114999999999993</v>
      </c>
      <c r="BR61" s="243">
        <v>32.49051923076923</v>
      </c>
      <c r="BS61" s="243">
        <v>3.9366875000000001</v>
      </c>
      <c r="BT61" s="243">
        <v>1.585908653846154</v>
      </c>
      <c r="BU61" s="243"/>
      <c r="BV61" s="243">
        <v>53.411990384615386</v>
      </c>
      <c r="BW61" s="243">
        <v>7.812903846153846</v>
      </c>
      <c r="BX61" s="243">
        <v>52.999995192307694</v>
      </c>
      <c r="BY61" s="243">
        <v>12.741812499999998</v>
      </c>
      <c r="BZ61" s="243">
        <v>44.586586538461539</v>
      </c>
      <c r="CA61" s="243">
        <v>15.334663461538463</v>
      </c>
      <c r="CB61" s="243">
        <v>74.992658653846163</v>
      </c>
      <c r="CC61" s="243">
        <v>47.771096153846159</v>
      </c>
      <c r="CD61" s="245" t="s">
        <v>233</v>
      </c>
      <c r="CE61" s="266">
        <f t="shared" ref="CE61:CE69" si="4">SUM(C61:CD61)</f>
        <v>3994.1727548076929</v>
      </c>
    </row>
    <row r="62" spans="1:83" x14ac:dyDescent="0.25">
      <c r="A62" s="38" t="s">
        <v>248</v>
      </c>
      <c r="B62" s="19"/>
      <c r="C62" s="212">
        <v>16171232.809999999</v>
      </c>
      <c r="D62" s="212">
        <v>7759539.8299999991</v>
      </c>
      <c r="E62" s="212">
        <v>31075554.829999987</v>
      </c>
      <c r="F62" s="212">
        <v>1113002.7400000002</v>
      </c>
      <c r="G62" s="212">
        <v>2040310.1799999997</v>
      </c>
      <c r="H62" s="212"/>
      <c r="I62" s="212">
        <v>0</v>
      </c>
      <c r="J62" s="212"/>
      <c r="K62" s="212"/>
      <c r="L62" s="212"/>
      <c r="M62" s="212">
        <v>5110697.1100000003</v>
      </c>
      <c r="N62" s="212">
        <v>16542331.979999999</v>
      </c>
      <c r="O62" s="212">
        <v>20499503.510000002</v>
      </c>
      <c r="P62" s="213">
        <v>11151731.559999997</v>
      </c>
      <c r="Q62" s="213">
        <v>6416633.2699999996</v>
      </c>
      <c r="R62" s="213">
        <v>563248.02</v>
      </c>
      <c r="S62" s="227">
        <v>1492052.1199999999</v>
      </c>
      <c r="T62" s="227"/>
      <c r="U62" s="226">
        <v>6187750.3500000006</v>
      </c>
      <c r="V62" s="213">
        <v>156175.69</v>
      </c>
      <c r="W62" s="213">
        <v>768209.97999999986</v>
      </c>
      <c r="X62" s="213">
        <v>1498495.0799999998</v>
      </c>
      <c r="Y62" s="213">
        <v>16432037.029999997</v>
      </c>
      <c r="Z62" s="213">
        <v>4316882.4799999995</v>
      </c>
      <c r="AA62" s="213">
        <v>427951.03</v>
      </c>
      <c r="AB62" s="238">
        <v>5968169.8099999996</v>
      </c>
      <c r="AC62" s="213">
        <v>2560068.4900000002</v>
      </c>
      <c r="AD62" s="213">
        <v>0</v>
      </c>
      <c r="AE62" s="213">
        <v>5476217.9300000006</v>
      </c>
      <c r="AF62" s="213"/>
      <c r="AG62" s="213">
        <v>11338575.839999998</v>
      </c>
      <c r="AH62" s="213"/>
      <c r="AI62" s="213"/>
      <c r="AJ62" s="213">
        <v>77260345.109999999</v>
      </c>
      <c r="AK62" s="213"/>
      <c r="AL62" s="213"/>
      <c r="AM62" s="213"/>
      <c r="AN62" s="213"/>
      <c r="AO62" s="213"/>
      <c r="AP62" s="213">
        <v>50022360.600000001</v>
      </c>
      <c r="AQ62" s="213"/>
      <c r="AR62" s="213">
        <v>49975552.32</v>
      </c>
      <c r="AS62" s="213"/>
      <c r="AT62" s="213"/>
      <c r="AU62" s="213"/>
      <c r="AV62" s="227">
        <v>2606072.9800000004</v>
      </c>
      <c r="AW62" s="227">
        <v>1575940.53</v>
      </c>
      <c r="AX62" s="227">
        <v>158.1</v>
      </c>
      <c r="AY62" s="213"/>
      <c r="AZ62" s="213">
        <v>2788991.2199999997</v>
      </c>
      <c r="BA62" s="227">
        <v>273322.33</v>
      </c>
      <c r="BB62" s="227">
        <v>12261.220000000001</v>
      </c>
      <c r="BC62" s="227">
        <v>341743.33</v>
      </c>
      <c r="BD62" s="227">
        <v>2259222.5699999998</v>
      </c>
      <c r="BE62" s="213">
        <v>3652522.63</v>
      </c>
      <c r="BF62" s="227">
        <v>4799762.6899999995</v>
      </c>
      <c r="BG62" s="227">
        <v>1138215.5900000001</v>
      </c>
      <c r="BH62" s="227">
        <v>14678572.199999999</v>
      </c>
      <c r="BI62" s="227">
        <v>5979338.2000000002</v>
      </c>
      <c r="BJ62" s="227">
        <v>1701640.6400000001</v>
      </c>
      <c r="BK62" s="227">
        <v>5422716.96</v>
      </c>
      <c r="BL62" s="227">
        <v>4456023.25</v>
      </c>
      <c r="BM62" s="227">
        <v>3725959.21</v>
      </c>
      <c r="BN62" s="227">
        <v>6692764.3700000001</v>
      </c>
      <c r="BO62" s="227">
        <v>1100318.25</v>
      </c>
      <c r="BP62" s="227">
        <v>979633.55</v>
      </c>
      <c r="BQ62" s="227">
        <v>545707.59</v>
      </c>
      <c r="BR62" s="227">
        <v>2439004.4499999997</v>
      </c>
      <c r="BS62" s="227">
        <v>253109.26</v>
      </c>
      <c r="BT62" s="227">
        <v>117834.66000000002</v>
      </c>
      <c r="BU62" s="227"/>
      <c r="BV62" s="227">
        <v>3616523.76</v>
      </c>
      <c r="BW62" s="227">
        <v>1576253.8299999998</v>
      </c>
      <c r="BX62" s="227">
        <v>6108592.1900000004</v>
      </c>
      <c r="BY62" s="227">
        <v>1477629.32</v>
      </c>
      <c r="BZ62" s="227">
        <v>3777894.25</v>
      </c>
      <c r="CA62" s="227">
        <v>1664041.4999999998</v>
      </c>
      <c r="CB62" s="227">
        <v>5962214.1499999994</v>
      </c>
      <c r="CC62" s="227">
        <v>10734326.060000001</v>
      </c>
      <c r="CD62" s="28" t="s">
        <v>233</v>
      </c>
      <c r="CE62" s="31">
        <f t="shared" si="4"/>
        <v>454782940.53999984</v>
      </c>
    </row>
    <row r="63" spans="1:83" x14ac:dyDescent="0.25">
      <c r="A63" s="38" t="s">
        <v>9</v>
      </c>
      <c r="B63" s="19"/>
      <c r="C63" s="267">
        <f>ROUND(C48+C49,0)</f>
        <v>3281901</v>
      </c>
      <c r="D63" s="267">
        <f t="shared" ref="D63:BO63" si="5">ROUND(D48+D49,0)</f>
        <v>1625255</v>
      </c>
      <c r="E63" s="267">
        <f t="shared" si="5"/>
        <v>5461788</v>
      </c>
      <c r="F63" s="267">
        <f t="shared" si="5"/>
        <v>195882</v>
      </c>
      <c r="G63" s="267">
        <f t="shared" si="5"/>
        <v>486252</v>
      </c>
      <c r="H63" s="267">
        <f t="shared" si="5"/>
        <v>0</v>
      </c>
      <c r="I63" s="267">
        <f t="shared" si="5"/>
        <v>0</v>
      </c>
      <c r="J63" s="267">
        <f t="shared" si="5"/>
        <v>0</v>
      </c>
      <c r="K63" s="267">
        <f t="shared" si="5"/>
        <v>0</v>
      </c>
      <c r="L63" s="267">
        <f t="shared" si="5"/>
        <v>0</v>
      </c>
      <c r="M63" s="267">
        <f t="shared" si="5"/>
        <v>1278056</v>
      </c>
      <c r="N63" s="267">
        <f t="shared" si="5"/>
        <v>2905261</v>
      </c>
      <c r="O63" s="267">
        <f t="shared" si="5"/>
        <v>4405636</v>
      </c>
      <c r="P63" s="267">
        <f t="shared" si="5"/>
        <v>2498221</v>
      </c>
      <c r="Q63" s="267">
        <f t="shared" si="5"/>
        <v>1348568</v>
      </c>
      <c r="R63" s="267">
        <f t="shared" si="5"/>
        <v>100086</v>
      </c>
      <c r="S63" s="267">
        <f t="shared" si="5"/>
        <v>323838</v>
      </c>
      <c r="T63" s="267">
        <f t="shared" si="5"/>
        <v>0</v>
      </c>
      <c r="U63" s="267">
        <f t="shared" si="5"/>
        <v>1574854</v>
      </c>
      <c r="V63" s="267">
        <f t="shared" si="5"/>
        <v>39935</v>
      </c>
      <c r="W63" s="267">
        <f t="shared" si="5"/>
        <v>119312</v>
      </c>
      <c r="X63" s="267">
        <f t="shared" si="5"/>
        <v>264587</v>
      </c>
      <c r="Y63" s="267">
        <f t="shared" si="5"/>
        <v>3559652</v>
      </c>
      <c r="Z63" s="267">
        <f t="shared" si="5"/>
        <v>715834</v>
      </c>
      <c r="AA63" s="267">
        <f t="shared" si="5"/>
        <v>86051</v>
      </c>
      <c r="AB63" s="267">
        <f t="shared" si="5"/>
        <v>1348406</v>
      </c>
      <c r="AC63" s="267">
        <f t="shared" si="5"/>
        <v>625232</v>
      </c>
      <c r="AD63" s="267">
        <f t="shared" si="5"/>
        <v>0</v>
      </c>
      <c r="AE63" s="267">
        <f t="shared" si="5"/>
        <v>1288817</v>
      </c>
      <c r="AF63" s="267">
        <f t="shared" si="5"/>
        <v>0</v>
      </c>
      <c r="AG63" s="267">
        <f t="shared" si="5"/>
        <v>2740807</v>
      </c>
      <c r="AH63" s="267">
        <f t="shared" si="5"/>
        <v>0</v>
      </c>
      <c r="AI63" s="267">
        <f t="shared" si="5"/>
        <v>0</v>
      </c>
      <c r="AJ63" s="267">
        <f t="shared" si="5"/>
        <v>13834081</v>
      </c>
      <c r="AK63" s="267">
        <f t="shared" si="5"/>
        <v>0</v>
      </c>
      <c r="AL63" s="267">
        <f t="shared" si="5"/>
        <v>0</v>
      </c>
      <c r="AM63" s="267">
        <f t="shared" si="5"/>
        <v>0</v>
      </c>
      <c r="AN63" s="267">
        <f t="shared" si="5"/>
        <v>0</v>
      </c>
      <c r="AO63" s="267">
        <f t="shared" si="5"/>
        <v>0</v>
      </c>
      <c r="AP63" s="267">
        <f t="shared" si="5"/>
        <v>10050856</v>
      </c>
      <c r="AQ63" s="267">
        <f t="shared" si="5"/>
        <v>0</v>
      </c>
      <c r="AR63" s="267">
        <f t="shared" si="5"/>
        <v>11781690</v>
      </c>
      <c r="AS63" s="267">
        <f t="shared" si="5"/>
        <v>0</v>
      </c>
      <c r="AT63" s="267">
        <f t="shared" si="5"/>
        <v>0</v>
      </c>
      <c r="AU63" s="267">
        <f t="shared" si="5"/>
        <v>0</v>
      </c>
      <c r="AV63" s="267">
        <f t="shared" si="5"/>
        <v>593427</v>
      </c>
      <c r="AW63" s="267">
        <f t="shared" si="5"/>
        <v>318366</v>
      </c>
      <c r="AX63" s="267">
        <f t="shared" si="5"/>
        <v>0</v>
      </c>
      <c r="AY63" s="267">
        <f t="shared" si="5"/>
        <v>0</v>
      </c>
      <c r="AZ63" s="267">
        <f t="shared" si="5"/>
        <v>0</v>
      </c>
      <c r="BA63" s="267">
        <f t="shared" si="5"/>
        <v>946130</v>
      </c>
      <c r="BB63" s="267">
        <f t="shared" si="5"/>
        <v>106661</v>
      </c>
      <c r="BC63" s="267">
        <f t="shared" si="5"/>
        <v>76723</v>
      </c>
      <c r="BD63" s="267">
        <f t="shared" si="5"/>
        <v>685705</v>
      </c>
      <c r="BE63" s="267">
        <f t="shared" si="5"/>
        <v>1032324</v>
      </c>
      <c r="BF63" s="267">
        <f t="shared" si="5"/>
        <v>1659715</v>
      </c>
      <c r="BG63" s="267">
        <f t="shared" si="5"/>
        <v>265747</v>
      </c>
      <c r="BH63" s="267">
        <f t="shared" si="5"/>
        <v>3145415</v>
      </c>
      <c r="BI63" s="267">
        <f t="shared" si="5"/>
        <v>502295</v>
      </c>
      <c r="BJ63" s="267">
        <f t="shared" si="5"/>
        <v>405245</v>
      </c>
      <c r="BK63" s="267">
        <f t="shared" si="5"/>
        <v>1581471</v>
      </c>
      <c r="BL63" s="267">
        <f t="shared" si="5"/>
        <v>1338986</v>
      </c>
      <c r="BM63" s="267">
        <f t="shared" si="5"/>
        <v>958868</v>
      </c>
      <c r="BN63" s="267">
        <f t="shared" si="5"/>
        <v>1334645</v>
      </c>
      <c r="BO63" s="267">
        <f t="shared" si="5"/>
        <v>224641</v>
      </c>
      <c r="BP63" s="267">
        <f t="shared" ref="BP63:CC63" si="6">ROUND(BP48+BP49,0)</f>
        <v>264144</v>
      </c>
      <c r="BQ63" s="267">
        <f t="shared" si="6"/>
        <v>126636</v>
      </c>
      <c r="BR63" s="267">
        <f t="shared" si="6"/>
        <v>7497196</v>
      </c>
      <c r="BS63" s="267">
        <f t="shared" si="6"/>
        <v>82167</v>
      </c>
      <c r="BT63" s="267">
        <f t="shared" si="6"/>
        <v>52807</v>
      </c>
      <c r="BU63" s="267">
        <f t="shared" si="6"/>
        <v>0</v>
      </c>
      <c r="BV63" s="267">
        <f t="shared" si="6"/>
        <v>1112558</v>
      </c>
      <c r="BW63" s="267">
        <f t="shared" si="6"/>
        <v>171927</v>
      </c>
      <c r="BX63" s="267">
        <f t="shared" si="6"/>
        <v>1327961</v>
      </c>
      <c r="BY63" s="267">
        <f t="shared" si="6"/>
        <v>327799</v>
      </c>
      <c r="BZ63" s="267">
        <f t="shared" si="6"/>
        <v>1176965</v>
      </c>
      <c r="CA63" s="267">
        <f t="shared" si="6"/>
        <v>384857</v>
      </c>
      <c r="CB63" s="267">
        <f t="shared" si="6"/>
        <v>1516188</v>
      </c>
      <c r="CC63" s="267">
        <f t="shared" si="6"/>
        <v>1269309</v>
      </c>
      <c r="CD63" s="28" t="s">
        <v>233</v>
      </c>
      <c r="CE63" s="31">
        <f t="shared" si="4"/>
        <v>102427736</v>
      </c>
    </row>
    <row r="64" spans="1:83" x14ac:dyDescent="0.25">
      <c r="A64" s="38" t="s">
        <v>249</v>
      </c>
      <c r="B64" s="19"/>
      <c r="C64" s="212">
        <v>669000.25</v>
      </c>
      <c r="D64" s="212">
        <v>0</v>
      </c>
      <c r="E64" s="212">
        <v>0</v>
      </c>
      <c r="F64" s="212">
        <v>0</v>
      </c>
      <c r="G64" s="212">
        <v>0</v>
      </c>
      <c r="H64" s="212"/>
      <c r="I64" s="212">
        <v>0</v>
      </c>
      <c r="J64" s="212"/>
      <c r="K64" s="212"/>
      <c r="L64" s="212"/>
      <c r="M64" s="212">
        <v>2247.7800000000002</v>
      </c>
      <c r="N64" s="212">
        <v>691954.86</v>
      </c>
      <c r="O64" s="212">
        <v>1695690.45</v>
      </c>
      <c r="P64" s="213">
        <v>-1374.26</v>
      </c>
      <c r="Q64" s="213">
        <v>0</v>
      </c>
      <c r="R64" s="213">
        <v>0</v>
      </c>
      <c r="S64" s="227">
        <v>0</v>
      </c>
      <c r="T64" s="227">
        <v>0</v>
      </c>
      <c r="U64" s="226">
        <v>76453.67</v>
      </c>
      <c r="V64" s="213">
        <v>2625</v>
      </c>
      <c r="W64" s="213">
        <v>0</v>
      </c>
      <c r="X64" s="213">
        <v>0</v>
      </c>
      <c r="Y64" s="213">
        <v>154828.01999999999</v>
      </c>
      <c r="Z64" s="213">
        <v>6840</v>
      </c>
      <c r="AA64" s="213"/>
      <c r="AB64" s="238"/>
      <c r="AC64" s="213"/>
      <c r="AD64" s="213"/>
      <c r="AE64" s="213"/>
      <c r="AF64" s="213"/>
      <c r="AG64" s="213">
        <v>392702.27</v>
      </c>
      <c r="AH64" s="213">
        <v>0</v>
      </c>
      <c r="AI64" s="213">
        <v>0</v>
      </c>
      <c r="AJ64" s="213">
        <v>1078964.31</v>
      </c>
      <c r="AK64" s="213">
        <v>0</v>
      </c>
      <c r="AL64" s="213"/>
      <c r="AM64" s="213"/>
      <c r="AN64" s="213"/>
      <c r="AO64" s="213"/>
      <c r="AP64" s="213">
        <v>5701848.21</v>
      </c>
      <c r="AQ64" s="213"/>
      <c r="AR64" s="213">
        <v>6753.86</v>
      </c>
      <c r="AS64" s="213">
        <v>0</v>
      </c>
      <c r="AT64" s="213"/>
      <c r="AU64" s="213"/>
      <c r="AV64" s="227">
        <v>0</v>
      </c>
      <c r="AW64" s="227">
        <v>493308.35000000003</v>
      </c>
      <c r="AX64" s="227">
        <v>0</v>
      </c>
      <c r="AY64" s="213"/>
      <c r="AZ64" s="213"/>
      <c r="BA64" s="227"/>
      <c r="BB64" s="227"/>
      <c r="BC64" s="227"/>
      <c r="BD64" s="227"/>
      <c r="BE64" s="213"/>
      <c r="BF64" s="227"/>
      <c r="BG64" s="227"/>
      <c r="BH64" s="227">
        <v>-5000</v>
      </c>
      <c r="BI64" s="227">
        <v>760826.63</v>
      </c>
      <c r="BJ64" s="227">
        <v>302071.56000000006</v>
      </c>
      <c r="BK64" s="227">
        <v>234692.83000000002</v>
      </c>
      <c r="BL64" s="227">
        <v>0</v>
      </c>
      <c r="BM64" s="227">
        <v>41780</v>
      </c>
      <c r="BN64" s="227">
        <v>3281097.92</v>
      </c>
      <c r="BO64" s="227">
        <v>390</v>
      </c>
      <c r="BP64" s="227">
        <v>-25060.39</v>
      </c>
      <c r="BQ64" s="227">
        <v>0</v>
      </c>
      <c r="BR64" s="227">
        <v>1702945.81</v>
      </c>
      <c r="BS64" s="227">
        <v>318</v>
      </c>
      <c r="BT64" s="227">
        <v>0</v>
      </c>
      <c r="BU64" s="227">
        <v>0</v>
      </c>
      <c r="BV64" s="227">
        <v>0</v>
      </c>
      <c r="BW64" s="227">
        <v>1822689.77</v>
      </c>
      <c r="BX64" s="227">
        <v>116419.73</v>
      </c>
      <c r="BY64" s="227">
        <v>0</v>
      </c>
      <c r="BZ64" s="227">
        <v>0</v>
      </c>
      <c r="CA64" s="227">
        <v>3781.25</v>
      </c>
      <c r="CB64" s="227">
        <v>668</v>
      </c>
      <c r="CC64" s="227">
        <v>313987.55</v>
      </c>
      <c r="CD64" s="28" t="s">
        <v>233</v>
      </c>
      <c r="CE64" s="31">
        <f t="shared" si="4"/>
        <v>19523451.43</v>
      </c>
    </row>
    <row r="65" spans="1:83" x14ac:dyDescent="0.25">
      <c r="A65" s="38" t="s">
        <v>250</v>
      </c>
      <c r="B65" s="19"/>
      <c r="C65" s="212">
        <v>1831742.92</v>
      </c>
      <c r="D65" s="212">
        <v>710662.7200000002</v>
      </c>
      <c r="E65" s="212">
        <v>2116460.9700000002</v>
      </c>
      <c r="F65" s="212">
        <v>6606.05</v>
      </c>
      <c r="G65" s="212">
        <v>75234.260000000009</v>
      </c>
      <c r="H65" s="212"/>
      <c r="I65" s="212">
        <v>0</v>
      </c>
      <c r="J65" s="212"/>
      <c r="K65" s="212"/>
      <c r="L65" s="212"/>
      <c r="M65" s="212">
        <v>141964.64000000001</v>
      </c>
      <c r="N65" s="212">
        <v>10347.75</v>
      </c>
      <c r="O65" s="212">
        <v>1903344.3499999999</v>
      </c>
      <c r="P65" s="213">
        <v>37969102.170000002</v>
      </c>
      <c r="Q65" s="213">
        <v>452403.65000000008</v>
      </c>
      <c r="R65" s="213">
        <v>508688.05999999994</v>
      </c>
      <c r="S65" s="227">
        <v>609267.08000000007</v>
      </c>
      <c r="T65" s="227">
        <v>0</v>
      </c>
      <c r="U65" s="226">
        <v>6911849.8299999982</v>
      </c>
      <c r="V65" s="213">
        <v>38794.709999999992</v>
      </c>
      <c r="W65" s="213">
        <v>185774.03</v>
      </c>
      <c r="X65" s="213">
        <v>440212.32</v>
      </c>
      <c r="Y65" s="213">
        <v>6990950.2700000005</v>
      </c>
      <c r="Z65" s="213">
        <v>485879.67</v>
      </c>
      <c r="AA65" s="213">
        <v>302970.1700000001</v>
      </c>
      <c r="AB65" s="238">
        <v>17648488.440000009</v>
      </c>
      <c r="AC65" s="213">
        <v>378326.5500000001</v>
      </c>
      <c r="AD65" s="213">
        <v>0</v>
      </c>
      <c r="AE65" s="213">
        <v>125625.09000000001</v>
      </c>
      <c r="AF65" s="213"/>
      <c r="AG65" s="213">
        <v>1770793.2300000002</v>
      </c>
      <c r="AH65" s="213">
        <v>0</v>
      </c>
      <c r="AI65" s="213">
        <v>0</v>
      </c>
      <c r="AJ65" s="213">
        <v>5650448.0000000009</v>
      </c>
      <c r="AK65" s="213"/>
      <c r="AL65" s="213"/>
      <c r="AM65" s="213"/>
      <c r="AN65" s="213"/>
      <c r="AO65" s="213"/>
      <c r="AP65" s="213">
        <v>5106941.1100000013</v>
      </c>
      <c r="AQ65" s="213"/>
      <c r="AR65" s="213">
        <v>3801119.5100000002</v>
      </c>
      <c r="AS65" s="213"/>
      <c r="AT65" s="213"/>
      <c r="AU65" s="213"/>
      <c r="AV65" s="227">
        <v>8539724.660000002</v>
      </c>
      <c r="AW65" s="227">
        <v>49655.570000000007</v>
      </c>
      <c r="AX65" s="227">
        <v>315249.93</v>
      </c>
      <c r="AY65" s="213"/>
      <c r="AZ65" s="213">
        <v>1818940.5299999996</v>
      </c>
      <c r="BA65" s="227">
        <v>15909.02</v>
      </c>
      <c r="BB65" s="227">
        <v>0</v>
      </c>
      <c r="BC65" s="227">
        <v>2324.5100000000002</v>
      </c>
      <c r="BD65" s="227">
        <v>45717.869999999995</v>
      </c>
      <c r="BE65" s="213">
        <v>552214.86</v>
      </c>
      <c r="BF65" s="227">
        <v>366961.32999999996</v>
      </c>
      <c r="BG65" s="227">
        <v>87011.829999999987</v>
      </c>
      <c r="BH65" s="227">
        <v>1100197.5299999998</v>
      </c>
      <c r="BI65" s="227">
        <v>617463.45000000019</v>
      </c>
      <c r="BJ65" s="227">
        <v>21456.950000000004</v>
      </c>
      <c r="BK65" s="227">
        <v>52961.51</v>
      </c>
      <c r="BL65" s="227">
        <v>59066.040000000008</v>
      </c>
      <c r="BM65" s="227">
        <v>9895.23</v>
      </c>
      <c r="BN65" s="227">
        <v>18773.87</v>
      </c>
      <c r="BO65" s="227">
        <v>144752.88</v>
      </c>
      <c r="BP65" s="227">
        <v>64178.290000000008</v>
      </c>
      <c r="BQ65" s="227">
        <v>1559.1200000000001</v>
      </c>
      <c r="BR65" s="227">
        <v>54234.74</v>
      </c>
      <c r="BS65" s="227">
        <v>257119.17</v>
      </c>
      <c r="BT65" s="227">
        <v>636.5</v>
      </c>
      <c r="BU65" s="227">
        <v>0</v>
      </c>
      <c r="BV65" s="227">
        <v>19387.239999999998</v>
      </c>
      <c r="BW65" s="227">
        <v>5053.4399999999996</v>
      </c>
      <c r="BX65" s="227">
        <v>32729.48</v>
      </c>
      <c r="BY65" s="227">
        <v>4419.01</v>
      </c>
      <c r="BZ65" s="227">
        <v>1712.0800000000002</v>
      </c>
      <c r="CA65" s="227">
        <v>266292.32</v>
      </c>
      <c r="CB65" s="227">
        <v>32687.87</v>
      </c>
      <c r="CC65" s="227">
        <v>-1314223.3800000001</v>
      </c>
      <c r="CD65" s="28" t="s">
        <v>233</v>
      </c>
      <c r="CE65" s="31">
        <f t="shared" si="4"/>
        <v>109418061.00000006</v>
      </c>
    </row>
    <row r="66" spans="1:83" x14ac:dyDescent="0.25">
      <c r="A66" s="38" t="s">
        <v>251</v>
      </c>
      <c r="B66" s="19"/>
      <c r="C66" s="212">
        <v>5364.58</v>
      </c>
      <c r="D66" s="212">
        <v>0</v>
      </c>
      <c r="E66" s="212">
        <v>0</v>
      </c>
      <c r="F66" s="212">
        <v>0</v>
      </c>
      <c r="G66" s="212">
        <v>0</v>
      </c>
      <c r="H66" s="212"/>
      <c r="I66" s="212">
        <v>0</v>
      </c>
      <c r="J66" s="212"/>
      <c r="K66" s="212"/>
      <c r="L66" s="212"/>
      <c r="M66" s="212">
        <v>8774.1</v>
      </c>
      <c r="N66" s="212">
        <v>26778.240000000002</v>
      </c>
      <c r="O66" s="212">
        <v>480.34</v>
      </c>
      <c r="P66" s="213">
        <v>0</v>
      </c>
      <c r="Q66" s="213">
        <v>785.14</v>
      </c>
      <c r="R66" s="213">
        <v>0</v>
      </c>
      <c r="S66" s="227">
        <v>0</v>
      </c>
      <c r="T66" s="227">
        <v>0</v>
      </c>
      <c r="U66" s="226">
        <v>0</v>
      </c>
      <c r="V66" s="213">
        <v>0</v>
      </c>
      <c r="W66" s="213">
        <v>0</v>
      </c>
      <c r="X66" s="213">
        <v>0</v>
      </c>
      <c r="Y66" s="213">
        <v>16987.82</v>
      </c>
      <c r="Z66" s="213">
        <v>2573.31</v>
      </c>
      <c r="AA66" s="213">
        <v>0</v>
      </c>
      <c r="AB66" s="238">
        <v>0</v>
      </c>
      <c r="AC66" s="213">
        <v>0</v>
      </c>
      <c r="AD66" s="213">
        <v>0</v>
      </c>
      <c r="AE66" s="213">
        <v>8437.3700000000008</v>
      </c>
      <c r="AF66" s="213"/>
      <c r="AG66" s="213">
        <v>2216.0100000000002</v>
      </c>
      <c r="AH66" s="213">
        <v>0</v>
      </c>
      <c r="AI66" s="213">
        <v>0</v>
      </c>
      <c r="AJ66" s="213">
        <v>110130</v>
      </c>
      <c r="AK66" s="213">
        <v>0</v>
      </c>
      <c r="AL66" s="213"/>
      <c r="AM66" s="213"/>
      <c r="AN66" s="213"/>
      <c r="AO66" s="213"/>
      <c r="AP66" s="213">
        <v>201269.15</v>
      </c>
      <c r="AQ66" s="213"/>
      <c r="AR66" s="213">
        <v>287273.18</v>
      </c>
      <c r="AS66" s="213">
        <v>0</v>
      </c>
      <c r="AT66" s="213"/>
      <c r="AU66" s="213"/>
      <c r="AV66" s="227">
        <v>5301.16</v>
      </c>
      <c r="AW66" s="227">
        <v>740.48</v>
      </c>
      <c r="AX66" s="227">
        <v>2920.87</v>
      </c>
      <c r="AY66" s="213"/>
      <c r="AZ66" s="213"/>
      <c r="BA66" s="227"/>
      <c r="BB66" s="227"/>
      <c r="BC66" s="227"/>
      <c r="BD66" s="227">
        <v>315.16000000000003</v>
      </c>
      <c r="BE66" s="213">
        <v>4356712.59</v>
      </c>
      <c r="BF66" s="227">
        <v>501154.56</v>
      </c>
      <c r="BG66" s="227">
        <v>1208073.1200000001</v>
      </c>
      <c r="BH66" s="227">
        <v>6322.93</v>
      </c>
      <c r="BI66" s="227">
        <v>11925.74</v>
      </c>
      <c r="BJ66" s="227">
        <v>0</v>
      </c>
      <c r="BK66" s="227">
        <v>0</v>
      </c>
      <c r="BL66" s="227">
        <v>695.52</v>
      </c>
      <c r="BM66" s="227">
        <v>0</v>
      </c>
      <c r="BN66" s="227">
        <v>0</v>
      </c>
      <c r="BO66" s="227">
        <v>0</v>
      </c>
      <c r="BP66" s="227">
        <v>1200.6199999999999</v>
      </c>
      <c r="BQ66" s="227">
        <v>0</v>
      </c>
      <c r="BR66" s="227">
        <v>0</v>
      </c>
      <c r="BS66" s="227">
        <v>1089.1400000000001</v>
      </c>
      <c r="BT66" s="227">
        <v>3178.7</v>
      </c>
      <c r="BU66" s="227">
        <v>0</v>
      </c>
      <c r="BV66" s="227">
        <v>0</v>
      </c>
      <c r="BW66" s="227">
        <v>0</v>
      </c>
      <c r="BX66" s="227">
        <v>5391.28</v>
      </c>
      <c r="BY66" s="227">
        <v>1805.45</v>
      </c>
      <c r="BZ66" s="227">
        <v>0</v>
      </c>
      <c r="CA66" s="227">
        <v>0</v>
      </c>
      <c r="CB66" s="227">
        <v>8187.83</v>
      </c>
      <c r="CC66" s="227">
        <v>46884.789999999994</v>
      </c>
      <c r="CD66" s="28" t="s">
        <v>233</v>
      </c>
      <c r="CE66" s="31">
        <f t="shared" si="4"/>
        <v>6832969.1799999997</v>
      </c>
    </row>
    <row r="67" spans="1:83" x14ac:dyDescent="0.25">
      <c r="A67" s="38" t="s">
        <v>252</v>
      </c>
      <c r="B67" s="19"/>
      <c r="C67" s="212">
        <v>421363.6</v>
      </c>
      <c r="D67" s="212">
        <v>323394.68999999994</v>
      </c>
      <c r="E67" s="212">
        <v>783906.57</v>
      </c>
      <c r="F67" s="212">
        <v>57111.28</v>
      </c>
      <c r="G67" s="212">
        <v>46066.080000000002</v>
      </c>
      <c r="H67" s="212"/>
      <c r="I67" s="212">
        <v>0</v>
      </c>
      <c r="J67" s="212"/>
      <c r="K67" s="212"/>
      <c r="L67" s="212"/>
      <c r="M67" s="212">
        <v>182619.94999999998</v>
      </c>
      <c r="N67" s="212">
        <v>3340.33</v>
      </c>
      <c r="O67" s="212">
        <v>327818.21000000002</v>
      </c>
      <c r="P67" s="213">
        <v>1854756.0799999998</v>
      </c>
      <c r="Q67" s="213">
        <v>70496.53</v>
      </c>
      <c r="R67" s="213">
        <v>66295.12</v>
      </c>
      <c r="S67" s="227">
        <v>140072.5</v>
      </c>
      <c r="T67" s="227">
        <v>0</v>
      </c>
      <c r="U67" s="226">
        <v>6704659.4299999997</v>
      </c>
      <c r="V67" s="213">
        <v>305.7</v>
      </c>
      <c r="W67" s="213">
        <v>165738.15000000002</v>
      </c>
      <c r="X67" s="213">
        <v>412820.23000000004</v>
      </c>
      <c r="Y67" s="213">
        <v>4633739.3899999997</v>
      </c>
      <c r="Z67" s="213">
        <v>1263653.2499999998</v>
      </c>
      <c r="AA67" s="213">
        <v>99444.13</v>
      </c>
      <c r="AB67" s="238">
        <v>270698.12</v>
      </c>
      <c r="AC67" s="213">
        <v>1373.03</v>
      </c>
      <c r="AD67" s="213">
        <v>0</v>
      </c>
      <c r="AE67" s="213">
        <v>133092.23000000001</v>
      </c>
      <c r="AF67" s="213"/>
      <c r="AG67" s="213">
        <v>647109.44000000018</v>
      </c>
      <c r="AH67" s="213">
        <v>0</v>
      </c>
      <c r="AI67" s="213">
        <v>0</v>
      </c>
      <c r="AJ67" s="213">
        <v>1090478.1900000002</v>
      </c>
      <c r="AK67" s="213">
        <v>0</v>
      </c>
      <c r="AL67" s="213"/>
      <c r="AM67" s="213"/>
      <c r="AN67" s="213"/>
      <c r="AO67" s="213"/>
      <c r="AP67" s="213">
        <v>1459180.7799999998</v>
      </c>
      <c r="AQ67" s="213"/>
      <c r="AR67" s="213">
        <v>2630591.67</v>
      </c>
      <c r="AS67" s="213">
        <v>0</v>
      </c>
      <c r="AT67" s="213"/>
      <c r="AU67" s="213"/>
      <c r="AV67" s="227">
        <v>615185.67000000004</v>
      </c>
      <c r="AW67" s="227">
        <v>78969.659999999989</v>
      </c>
      <c r="AX67" s="227">
        <v>2578688.4000000004</v>
      </c>
      <c r="AY67" s="213"/>
      <c r="AZ67" s="213">
        <v>345790.20999999996</v>
      </c>
      <c r="BA67" s="227">
        <v>0</v>
      </c>
      <c r="BB67" s="227">
        <v>240000</v>
      </c>
      <c r="BC67" s="227">
        <v>0</v>
      </c>
      <c r="BD67" s="227">
        <v>18749.329999999998</v>
      </c>
      <c r="BE67" s="213">
        <v>2821913.05</v>
      </c>
      <c r="BF67" s="227">
        <v>-988694.98</v>
      </c>
      <c r="BG67" s="227">
        <v>247412</v>
      </c>
      <c r="BH67" s="227">
        <v>14913579.439999999</v>
      </c>
      <c r="BI67" s="227">
        <v>1372302.2599999995</v>
      </c>
      <c r="BJ67" s="227">
        <v>40894.9</v>
      </c>
      <c r="BK67" s="227">
        <v>2983317.5000000005</v>
      </c>
      <c r="BL67" s="227">
        <v>543860.59</v>
      </c>
      <c r="BM67" s="227">
        <v>558434.53</v>
      </c>
      <c r="BN67" s="227">
        <v>588645.21000000008</v>
      </c>
      <c r="BO67" s="227">
        <v>56475.12</v>
      </c>
      <c r="BP67" s="227">
        <v>5797251.1299999999</v>
      </c>
      <c r="BQ67" s="227">
        <v>1448.5</v>
      </c>
      <c r="BR67" s="227">
        <v>917917.21</v>
      </c>
      <c r="BS67" s="227">
        <v>9081.6999999999989</v>
      </c>
      <c r="BT67" s="227">
        <v>232.12</v>
      </c>
      <c r="BU67" s="227">
        <v>0</v>
      </c>
      <c r="BV67" s="227">
        <v>1602568.3499999999</v>
      </c>
      <c r="BW67" s="227">
        <v>167369.92000000001</v>
      </c>
      <c r="BX67" s="227">
        <v>802901.41</v>
      </c>
      <c r="BY67" s="227">
        <v>12673.619999999999</v>
      </c>
      <c r="BZ67" s="227">
        <v>378.88</v>
      </c>
      <c r="CA67" s="227">
        <v>235873.89</v>
      </c>
      <c r="CB67" s="227">
        <v>87453.58</v>
      </c>
      <c r="CC67" s="227">
        <v>4337916.3</v>
      </c>
      <c r="CD67" s="28" t="s">
        <v>233</v>
      </c>
      <c r="CE67" s="31">
        <f t="shared" si="4"/>
        <v>64778714.180000007</v>
      </c>
    </row>
    <row r="68" spans="1:83" x14ac:dyDescent="0.25">
      <c r="A68" s="38" t="s">
        <v>11</v>
      </c>
      <c r="B68" s="19"/>
      <c r="C68" s="31">
        <f t="shared" ref="C68:BN68" si="7">ROUND(C52+C53,0)</f>
        <v>1452876</v>
      </c>
      <c r="D68" s="31">
        <f t="shared" si="7"/>
        <v>1565460</v>
      </c>
      <c r="E68" s="31">
        <f t="shared" si="7"/>
        <v>2309574</v>
      </c>
      <c r="F68" s="31">
        <f t="shared" si="7"/>
        <v>140</v>
      </c>
      <c r="G68" s="31">
        <f t="shared" si="7"/>
        <v>92894</v>
      </c>
      <c r="H68" s="31">
        <f t="shared" si="7"/>
        <v>0</v>
      </c>
      <c r="I68" s="31">
        <f t="shared" si="7"/>
        <v>0</v>
      </c>
      <c r="J68" s="31">
        <f t="shared" si="7"/>
        <v>0</v>
      </c>
      <c r="K68" s="31">
        <f t="shared" si="7"/>
        <v>0</v>
      </c>
      <c r="L68" s="31">
        <f t="shared" si="7"/>
        <v>0</v>
      </c>
      <c r="M68" s="31">
        <f t="shared" si="7"/>
        <v>151265</v>
      </c>
      <c r="N68" s="31">
        <f t="shared" si="7"/>
        <v>4413</v>
      </c>
      <c r="O68" s="31">
        <f t="shared" si="7"/>
        <v>712237</v>
      </c>
      <c r="P68" s="31">
        <f t="shared" si="7"/>
        <v>3318699</v>
      </c>
      <c r="Q68" s="31">
        <f t="shared" si="7"/>
        <v>116903</v>
      </c>
      <c r="R68" s="31">
        <f t="shared" si="7"/>
        <v>113754</v>
      </c>
      <c r="S68" s="31">
        <f t="shared" si="7"/>
        <v>324584</v>
      </c>
      <c r="T68" s="31">
        <f t="shared" si="7"/>
        <v>0</v>
      </c>
      <c r="U68" s="31">
        <f t="shared" si="7"/>
        <v>410631</v>
      </c>
      <c r="V68" s="31">
        <f t="shared" si="7"/>
        <v>8246</v>
      </c>
      <c r="W68" s="31">
        <f t="shared" si="7"/>
        <v>216287</v>
      </c>
      <c r="X68" s="31">
        <f t="shared" si="7"/>
        <v>179096</v>
      </c>
      <c r="Y68" s="31">
        <f t="shared" si="7"/>
        <v>2924032</v>
      </c>
      <c r="Z68" s="31">
        <f t="shared" si="7"/>
        <v>1176998</v>
      </c>
      <c r="AA68" s="31">
        <f t="shared" si="7"/>
        <v>101329</v>
      </c>
      <c r="AB68" s="31">
        <f t="shared" si="7"/>
        <v>246142</v>
      </c>
      <c r="AC68" s="31">
        <f t="shared" si="7"/>
        <v>61808</v>
      </c>
      <c r="AD68" s="31">
        <f t="shared" si="7"/>
        <v>0</v>
      </c>
      <c r="AE68" s="31">
        <f t="shared" si="7"/>
        <v>180449</v>
      </c>
      <c r="AF68" s="31">
        <f t="shared" si="7"/>
        <v>0</v>
      </c>
      <c r="AG68" s="31">
        <f t="shared" si="7"/>
        <v>1128622</v>
      </c>
      <c r="AH68" s="31">
        <f t="shared" si="7"/>
        <v>0</v>
      </c>
      <c r="AI68" s="31">
        <f t="shared" si="7"/>
        <v>0</v>
      </c>
      <c r="AJ68" s="31">
        <f t="shared" si="7"/>
        <v>3147027</v>
      </c>
      <c r="AK68" s="31">
        <f t="shared" si="7"/>
        <v>0</v>
      </c>
      <c r="AL68" s="31">
        <f t="shared" si="7"/>
        <v>0</v>
      </c>
      <c r="AM68" s="31">
        <f t="shared" si="7"/>
        <v>0</v>
      </c>
      <c r="AN68" s="31">
        <f t="shared" si="7"/>
        <v>0</v>
      </c>
      <c r="AO68" s="31">
        <f t="shared" si="7"/>
        <v>0</v>
      </c>
      <c r="AP68" s="31">
        <f t="shared" si="7"/>
        <v>2893094</v>
      </c>
      <c r="AQ68" s="31">
        <f t="shared" si="7"/>
        <v>0</v>
      </c>
      <c r="AR68" s="31">
        <f t="shared" si="7"/>
        <v>99926</v>
      </c>
      <c r="AS68" s="31">
        <f t="shared" si="7"/>
        <v>0</v>
      </c>
      <c r="AT68" s="31">
        <f t="shared" si="7"/>
        <v>0</v>
      </c>
      <c r="AU68" s="31">
        <f t="shared" si="7"/>
        <v>0</v>
      </c>
      <c r="AV68" s="31">
        <f t="shared" si="7"/>
        <v>221789</v>
      </c>
      <c r="AW68" s="31">
        <f t="shared" si="7"/>
        <v>32088</v>
      </c>
      <c r="AX68" s="31">
        <f t="shared" si="7"/>
        <v>0</v>
      </c>
      <c r="AY68" s="31">
        <f t="shared" si="7"/>
        <v>0</v>
      </c>
      <c r="AZ68" s="31">
        <f t="shared" si="7"/>
        <v>765007</v>
      </c>
      <c r="BA68" s="31">
        <f t="shared" si="7"/>
        <v>6319</v>
      </c>
      <c r="BB68" s="31">
        <f t="shared" si="7"/>
        <v>17585</v>
      </c>
      <c r="BC68" s="31">
        <f t="shared" si="7"/>
        <v>70165</v>
      </c>
      <c r="BD68" s="31">
        <f t="shared" si="7"/>
        <v>6212410</v>
      </c>
      <c r="BE68" s="31">
        <f t="shared" si="7"/>
        <v>235820</v>
      </c>
      <c r="BF68" s="31">
        <f t="shared" si="7"/>
        <v>42419</v>
      </c>
      <c r="BG68" s="31">
        <f t="shared" si="7"/>
        <v>0</v>
      </c>
      <c r="BH68" s="31">
        <f t="shared" si="7"/>
        <v>6079695</v>
      </c>
      <c r="BI68" s="31">
        <f t="shared" si="7"/>
        <v>210321</v>
      </c>
      <c r="BJ68" s="31">
        <f t="shared" si="7"/>
        <v>29692</v>
      </c>
      <c r="BK68" s="31">
        <f t="shared" si="7"/>
        <v>47755</v>
      </c>
      <c r="BL68" s="31">
        <f t="shared" si="7"/>
        <v>28504</v>
      </c>
      <c r="BM68" s="31">
        <f t="shared" si="7"/>
        <v>15340</v>
      </c>
      <c r="BN68" s="31">
        <f t="shared" si="7"/>
        <v>231489</v>
      </c>
      <c r="BO68" s="31">
        <f t="shared" ref="BO68:CC68" si="8">ROUND(BO52+BO53,0)</f>
        <v>52088</v>
      </c>
      <c r="BP68" s="31">
        <f t="shared" si="8"/>
        <v>75126</v>
      </c>
      <c r="BQ68" s="31">
        <f t="shared" si="8"/>
        <v>3222</v>
      </c>
      <c r="BR68" s="31">
        <f t="shared" si="8"/>
        <v>6971</v>
      </c>
      <c r="BS68" s="31">
        <f t="shared" si="8"/>
        <v>19557</v>
      </c>
      <c r="BT68" s="31">
        <f t="shared" si="8"/>
        <v>20704</v>
      </c>
      <c r="BU68" s="31">
        <f t="shared" si="8"/>
        <v>0</v>
      </c>
      <c r="BV68" s="31">
        <f t="shared" si="8"/>
        <v>61475</v>
      </c>
      <c r="BW68" s="31">
        <f t="shared" si="8"/>
        <v>24100</v>
      </c>
      <c r="BX68" s="31">
        <f t="shared" si="8"/>
        <v>41263</v>
      </c>
      <c r="BY68" s="31">
        <f t="shared" si="8"/>
        <v>225720</v>
      </c>
      <c r="BZ68" s="31">
        <f t="shared" si="8"/>
        <v>6140</v>
      </c>
      <c r="CA68" s="31">
        <f t="shared" si="8"/>
        <v>9539</v>
      </c>
      <c r="CB68" s="31">
        <f t="shared" si="8"/>
        <v>33687</v>
      </c>
      <c r="CC68" s="31">
        <f t="shared" si="8"/>
        <v>68281</v>
      </c>
      <c r="CD68" s="28" t="s">
        <v>233</v>
      </c>
      <c r="CE68" s="31">
        <f t="shared" si="4"/>
        <v>37830757</v>
      </c>
    </row>
    <row r="69" spans="1:83" x14ac:dyDescent="0.25">
      <c r="A69" s="38" t="s">
        <v>253</v>
      </c>
      <c r="B69" s="31"/>
      <c r="C69" s="212"/>
      <c r="D69" s="212"/>
      <c r="E69" s="212"/>
      <c r="F69" s="212"/>
      <c r="G69" s="212"/>
      <c r="H69" s="212"/>
      <c r="I69" s="212"/>
      <c r="J69" s="212"/>
      <c r="K69" s="212"/>
      <c r="L69" s="212"/>
      <c r="M69" s="212">
        <v>77882.34</v>
      </c>
      <c r="N69" s="212"/>
      <c r="O69" s="212"/>
      <c r="P69" s="213">
        <v>17624.900000000001</v>
      </c>
      <c r="Q69" s="213">
        <v>0</v>
      </c>
      <c r="R69" s="213">
        <v>0</v>
      </c>
      <c r="S69" s="227">
        <v>0</v>
      </c>
      <c r="T69" s="227">
        <v>0</v>
      </c>
      <c r="U69" s="226">
        <v>23506.98</v>
      </c>
      <c r="V69" s="213">
        <v>0</v>
      </c>
      <c r="W69" s="213">
        <v>0</v>
      </c>
      <c r="X69" s="213">
        <v>0</v>
      </c>
      <c r="Y69" s="213">
        <v>476170.63</v>
      </c>
      <c r="Z69" s="213">
        <v>0</v>
      </c>
      <c r="AA69" s="213">
        <v>0</v>
      </c>
      <c r="AB69" s="238">
        <v>0</v>
      </c>
      <c r="AC69" s="213">
        <v>5281.51</v>
      </c>
      <c r="AD69" s="213">
        <v>0</v>
      </c>
      <c r="AE69" s="213">
        <v>157317.63</v>
      </c>
      <c r="AF69" s="213"/>
      <c r="AG69" s="213">
        <v>632910.63</v>
      </c>
      <c r="AH69" s="213">
        <v>0</v>
      </c>
      <c r="AI69" s="213">
        <v>0</v>
      </c>
      <c r="AJ69" s="213">
        <v>109882.76</v>
      </c>
      <c r="AK69" s="213">
        <v>0</v>
      </c>
      <c r="AL69" s="213"/>
      <c r="AM69" s="213"/>
      <c r="AN69" s="213"/>
      <c r="AO69" s="213"/>
      <c r="AP69" s="213">
        <v>6322615.71</v>
      </c>
      <c r="AQ69" s="213"/>
      <c r="AR69" s="213">
        <v>1723047.8</v>
      </c>
      <c r="AS69" s="213">
        <v>0</v>
      </c>
      <c r="AT69" s="213"/>
      <c r="AU69" s="213"/>
      <c r="AV69" s="227">
        <v>0</v>
      </c>
      <c r="AW69" s="227">
        <v>13658.64</v>
      </c>
      <c r="AX69" s="227">
        <v>1832557.44</v>
      </c>
      <c r="AY69" s="213"/>
      <c r="AZ69" s="213">
        <v>14074.69</v>
      </c>
      <c r="BA69" s="227">
        <v>0</v>
      </c>
      <c r="BB69" s="227">
        <v>0</v>
      </c>
      <c r="BC69" s="227">
        <v>0</v>
      </c>
      <c r="BD69" s="227">
        <v>0</v>
      </c>
      <c r="BE69" s="213">
        <v>3840990.79</v>
      </c>
      <c r="BF69" s="227">
        <v>0</v>
      </c>
      <c r="BG69" s="227">
        <v>6732.91</v>
      </c>
      <c r="BH69" s="227">
        <v>0</v>
      </c>
      <c r="BI69" s="227">
        <v>1212765.31</v>
      </c>
      <c r="BJ69" s="227">
        <v>0</v>
      </c>
      <c r="BK69" s="227">
        <v>836.96</v>
      </c>
      <c r="BL69" s="227">
        <v>0</v>
      </c>
      <c r="BM69" s="227">
        <v>0</v>
      </c>
      <c r="BN69" s="227">
        <v>0</v>
      </c>
      <c r="BO69" s="227">
        <v>0</v>
      </c>
      <c r="BP69" s="227">
        <v>0</v>
      </c>
      <c r="BQ69" s="227">
        <v>0</v>
      </c>
      <c r="BR69" s="227">
        <v>300</v>
      </c>
      <c r="BS69" s="227">
        <v>0</v>
      </c>
      <c r="BT69" s="227">
        <v>0</v>
      </c>
      <c r="BU69" s="227">
        <v>0</v>
      </c>
      <c r="BV69" s="227">
        <v>88417.99</v>
      </c>
      <c r="BW69" s="227">
        <v>0</v>
      </c>
      <c r="BX69" s="227">
        <v>0</v>
      </c>
      <c r="BY69" s="227">
        <v>0</v>
      </c>
      <c r="BZ69" s="227">
        <v>0</v>
      </c>
      <c r="CA69" s="227">
        <v>0</v>
      </c>
      <c r="CB69" s="227">
        <v>219070.3</v>
      </c>
      <c r="CC69" s="227">
        <v>4145.18</v>
      </c>
      <c r="CD69" s="28" t="s">
        <v>233</v>
      </c>
      <c r="CE69" s="31">
        <f t="shared" si="4"/>
        <v>16779791.100000001</v>
      </c>
    </row>
    <row r="70" spans="1:83" x14ac:dyDescent="0.25">
      <c r="A70" s="38" t="s">
        <v>254</v>
      </c>
      <c r="B70" s="19"/>
      <c r="C70" s="31">
        <f t="shared" ref="C70:BN70" si="9">SUM(C71:C84)</f>
        <v>11059.329999999998</v>
      </c>
      <c r="D70" s="31">
        <f t="shared" si="9"/>
        <v>11096.31</v>
      </c>
      <c r="E70" s="31">
        <f t="shared" si="9"/>
        <v>15187.97</v>
      </c>
      <c r="F70" s="31">
        <f t="shared" si="9"/>
        <v>39722.799999999996</v>
      </c>
      <c r="G70" s="31">
        <f t="shared" si="9"/>
        <v>9418.84</v>
      </c>
      <c r="H70" s="31">
        <f t="shared" si="9"/>
        <v>0</v>
      </c>
      <c r="I70" s="31">
        <f t="shared" si="9"/>
        <v>0</v>
      </c>
      <c r="J70" s="31">
        <f t="shared" si="9"/>
        <v>0</v>
      </c>
      <c r="K70" s="31">
        <f t="shared" si="9"/>
        <v>0</v>
      </c>
      <c r="L70" s="31">
        <f t="shared" si="9"/>
        <v>0</v>
      </c>
      <c r="M70" s="31">
        <f t="shared" si="9"/>
        <v>42937.259999999995</v>
      </c>
      <c r="N70" s="31">
        <f t="shared" si="9"/>
        <v>207195.55</v>
      </c>
      <c r="O70" s="31">
        <f t="shared" si="9"/>
        <v>10379.61</v>
      </c>
      <c r="P70" s="31">
        <f t="shared" si="9"/>
        <v>16550.5</v>
      </c>
      <c r="Q70" s="31">
        <f t="shared" si="9"/>
        <v>4923.83</v>
      </c>
      <c r="R70" s="31">
        <f t="shared" si="9"/>
        <v>550</v>
      </c>
      <c r="S70" s="31">
        <f t="shared" si="9"/>
        <v>5243.85</v>
      </c>
      <c r="T70" s="31">
        <f t="shared" si="9"/>
        <v>0</v>
      </c>
      <c r="U70" s="31">
        <f t="shared" si="9"/>
        <v>53386.45</v>
      </c>
      <c r="V70" s="31">
        <f t="shared" si="9"/>
        <v>0</v>
      </c>
      <c r="W70" s="31">
        <f t="shared" si="9"/>
        <v>2874.5</v>
      </c>
      <c r="X70" s="31">
        <f t="shared" si="9"/>
        <v>5044.75</v>
      </c>
      <c r="Y70" s="31">
        <f t="shared" si="9"/>
        <v>87132.779999999984</v>
      </c>
      <c r="Z70" s="31">
        <f t="shared" si="9"/>
        <v>32426.89</v>
      </c>
      <c r="AA70" s="31">
        <f t="shared" si="9"/>
        <v>9263</v>
      </c>
      <c r="AB70" s="31">
        <f t="shared" si="9"/>
        <v>29028.620000000003</v>
      </c>
      <c r="AC70" s="31">
        <f t="shared" si="9"/>
        <v>328.23</v>
      </c>
      <c r="AD70" s="31">
        <f t="shared" si="9"/>
        <v>0</v>
      </c>
      <c r="AE70" s="31">
        <f t="shared" si="9"/>
        <v>26049.399999999998</v>
      </c>
      <c r="AF70" s="31">
        <f t="shared" si="9"/>
        <v>0</v>
      </c>
      <c r="AG70" s="31">
        <f t="shared" si="9"/>
        <v>18702.949999999997</v>
      </c>
      <c r="AH70" s="31">
        <f t="shared" si="9"/>
        <v>0</v>
      </c>
      <c r="AI70" s="31">
        <f t="shared" si="9"/>
        <v>0</v>
      </c>
      <c r="AJ70" s="31">
        <f t="shared" si="9"/>
        <v>1094384.1399999999</v>
      </c>
      <c r="AK70" s="31">
        <f t="shared" si="9"/>
        <v>0</v>
      </c>
      <c r="AL70" s="31">
        <f t="shared" si="9"/>
        <v>0</v>
      </c>
      <c r="AM70" s="31">
        <f t="shared" si="9"/>
        <v>0</v>
      </c>
      <c r="AN70" s="31">
        <f t="shared" si="9"/>
        <v>0</v>
      </c>
      <c r="AO70" s="31">
        <f t="shared" si="9"/>
        <v>0</v>
      </c>
      <c r="AP70" s="31">
        <f t="shared" si="9"/>
        <v>1053389.3000000003</v>
      </c>
      <c r="AQ70" s="31">
        <f t="shared" si="9"/>
        <v>0</v>
      </c>
      <c r="AR70" s="31">
        <f t="shared" si="9"/>
        <v>1369810.18</v>
      </c>
      <c r="AS70" s="31">
        <f t="shared" si="9"/>
        <v>0</v>
      </c>
      <c r="AT70" s="31">
        <f t="shared" si="9"/>
        <v>0</v>
      </c>
      <c r="AU70" s="31">
        <f t="shared" si="9"/>
        <v>0</v>
      </c>
      <c r="AV70" s="31">
        <f t="shared" si="9"/>
        <v>5404.29</v>
      </c>
      <c r="AW70" s="31">
        <f t="shared" si="9"/>
        <v>76617.429999999993</v>
      </c>
      <c r="AX70" s="31">
        <f t="shared" si="9"/>
        <v>1991.69</v>
      </c>
      <c r="AY70" s="31">
        <f t="shared" si="9"/>
        <v>0</v>
      </c>
      <c r="AZ70" s="31">
        <f t="shared" si="9"/>
        <v>19.75</v>
      </c>
      <c r="BA70" s="31">
        <f t="shared" si="9"/>
        <v>0</v>
      </c>
      <c r="BB70" s="31">
        <f t="shared" si="9"/>
        <v>0</v>
      </c>
      <c r="BC70" s="31">
        <f t="shared" si="9"/>
        <v>0</v>
      </c>
      <c r="BD70" s="31">
        <f t="shared" si="9"/>
        <v>258870.65000000002</v>
      </c>
      <c r="BE70" s="31">
        <f t="shared" si="9"/>
        <v>193488.41</v>
      </c>
      <c r="BF70" s="31">
        <f t="shared" si="9"/>
        <v>1646.76</v>
      </c>
      <c r="BG70" s="31">
        <f t="shared" si="9"/>
        <v>0</v>
      </c>
      <c r="BH70" s="31">
        <f t="shared" si="9"/>
        <v>35976.549999999996</v>
      </c>
      <c r="BI70" s="31">
        <f t="shared" si="9"/>
        <v>26537.799999999996</v>
      </c>
      <c r="BJ70" s="31">
        <f t="shared" si="9"/>
        <v>1265</v>
      </c>
      <c r="BK70" s="31">
        <f t="shared" si="9"/>
        <v>1343.7</v>
      </c>
      <c r="BL70" s="31">
        <f t="shared" si="9"/>
        <v>918.99</v>
      </c>
      <c r="BM70" s="31">
        <f t="shared" si="9"/>
        <v>35474.550000000003</v>
      </c>
      <c r="BN70" s="31">
        <f t="shared" si="9"/>
        <v>807447.07</v>
      </c>
      <c r="BO70" s="31">
        <f t="shared" ref="BO70:CD70" si="10">SUM(BO71:BO84)</f>
        <v>1136.01</v>
      </c>
      <c r="BP70" s="31">
        <f t="shared" si="10"/>
        <v>4672.58</v>
      </c>
      <c r="BQ70" s="31">
        <f t="shared" si="10"/>
        <v>0</v>
      </c>
      <c r="BR70" s="31">
        <f t="shared" si="10"/>
        <v>8411.8799999999992</v>
      </c>
      <c r="BS70" s="31">
        <f t="shared" si="10"/>
        <v>3406.19</v>
      </c>
      <c r="BT70" s="31">
        <f t="shared" si="10"/>
        <v>0</v>
      </c>
      <c r="BU70" s="31">
        <f t="shared" si="10"/>
        <v>246032.7</v>
      </c>
      <c r="BV70" s="31">
        <f t="shared" si="10"/>
        <v>3927.77</v>
      </c>
      <c r="BW70" s="31">
        <f t="shared" si="10"/>
        <v>6945</v>
      </c>
      <c r="BX70" s="31">
        <f t="shared" si="10"/>
        <v>18579.599999999999</v>
      </c>
      <c r="BY70" s="31">
        <f t="shared" si="10"/>
        <v>21557</v>
      </c>
      <c r="BZ70" s="31">
        <f t="shared" si="10"/>
        <v>515</v>
      </c>
      <c r="CA70" s="31">
        <f t="shared" si="10"/>
        <v>350816.1</v>
      </c>
      <c r="CB70" s="31">
        <f t="shared" si="10"/>
        <v>1902.7</v>
      </c>
      <c r="CC70" s="31">
        <f t="shared" si="10"/>
        <v>5560239.8600000003</v>
      </c>
      <c r="CD70" s="31">
        <f t="shared" si="10"/>
        <v>9869834.3200000003</v>
      </c>
      <c r="CE70" s="31">
        <f>SUM(CE71:CE85)</f>
        <v>74700566.480000004</v>
      </c>
    </row>
    <row r="71" spans="1:83" x14ac:dyDescent="0.25">
      <c r="A71" s="32" t="s">
        <v>255</v>
      </c>
      <c r="B71" s="33"/>
      <c r="C71" s="272" t="s">
        <v>282</v>
      </c>
      <c r="D71" s="272" t="s">
        <v>282</v>
      </c>
      <c r="E71" s="272" t="s">
        <v>282</v>
      </c>
      <c r="F71" s="272" t="s">
        <v>282</v>
      </c>
      <c r="G71" s="272" t="s">
        <v>282</v>
      </c>
      <c r="H71" s="272" t="s">
        <v>282</v>
      </c>
      <c r="I71" s="272" t="s">
        <v>282</v>
      </c>
      <c r="J71" s="272" t="s">
        <v>282</v>
      </c>
      <c r="K71" s="272" t="s">
        <v>282</v>
      </c>
      <c r="L71" s="272" t="s">
        <v>282</v>
      </c>
      <c r="M71" s="272" t="s">
        <v>282</v>
      </c>
      <c r="N71" s="272" t="s">
        <v>282</v>
      </c>
      <c r="O71" s="272" t="s">
        <v>282</v>
      </c>
      <c r="P71" s="272" t="s">
        <v>282</v>
      </c>
      <c r="Q71" s="272" t="s">
        <v>282</v>
      </c>
      <c r="R71" s="272" t="s">
        <v>282</v>
      </c>
      <c r="S71" s="272" t="s">
        <v>282</v>
      </c>
      <c r="T71" s="272" t="s">
        <v>282</v>
      </c>
      <c r="U71" s="272" t="s">
        <v>282</v>
      </c>
      <c r="V71" s="272" t="s">
        <v>282</v>
      </c>
      <c r="W71" s="272" t="s">
        <v>282</v>
      </c>
      <c r="X71" s="272" t="s">
        <v>282</v>
      </c>
      <c r="Y71" s="272" t="s">
        <v>282</v>
      </c>
      <c r="Z71" s="272" t="s">
        <v>282</v>
      </c>
      <c r="AA71" s="272" t="s">
        <v>282</v>
      </c>
      <c r="AB71" s="272" t="s">
        <v>282</v>
      </c>
      <c r="AC71" s="272" t="s">
        <v>282</v>
      </c>
      <c r="AD71" s="272" t="s">
        <v>282</v>
      </c>
      <c r="AE71" s="272" t="s">
        <v>282</v>
      </c>
      <c r="AF71" s="272" t="s">
        <v>282</v>
      </c>
      <c r="AG71" s="272" t="s">
        <v>282</v>
      </c>
      <c r="AH71" s="272" t="s">
        <v>282</v>
      </c>
      <c r="AI71" s="272" t="s">
        <v>282</v>
      </c>
      <c r="AJ71" s="272" t="s">
        <v>282</v>
      </c>
      <c r="AK71" s="272" t="s">
        <v>282</v>
      </c>
      <c r="AL71" s="272" t="s">
        <v>282</v>
      </c>
      <c r="AM71" s="272" t="s">
        <v>282</v>
      </c>
      <c r="AN71" s="272" t="s">
        <v>282</v>
      </c>
      <c r="AO71" s="272" t="s">
        <v>282</v>
      </c>
      <c r="AP71" s="272" t="s">
        <v>282</v>
      </c>
      <c r="AQ71" s="272" t="s">
        <v>282</v>
      </c>
      <c r="AR71" s="272" t="s">
        <v>282</v>
      </c>
      <c r="AS71" s="272" t="s">
        <v>282</v>
      </c>
      <c r="AT71" s="272" t="s">
        <v>282</v>
      </c>
      <c r="AU71" s="272" t="s">
        <v>282</v>
      </c>
      <c r="AV71" s="272" t="s">
        <v>282</v>
      </c>
      <c r="AW71" s="272" t="s">
        <v>282</v>
      </c>
      <c r="AX71" s="272" t="s">
        <v>282</v>
      </c>
      <c r="AY71" s="272" t="s">
        <v>282</v>
      </c>
      <c r="AZ71" s="272" t="s">
        <v>282</v>
      </c>
      <c r="BA71" s="272" t="s">
        <v>282</v>
      </c>
      <c r="BB71" s="272" t="s">
        <v>282</v>
      </c>
      <c r="BC71" s="272" t="s">
        <v>282</v>
      </c>
      <c r="BD71" s="272" t="s">
        <v>282</v>
      </c>
      <c r="BE71" s="272" t="s">
        <v>282</v>
      </c>
      <c r="BF71" s="272" t="s">
        <v>282</v>
      </c>
      <c r="BG71" s="272" t="s">
        <v>282</v>
      </c>
      <c r="BH71" s="272" t="s">
        <v>282</v>
      </c>
      <c r="BI71" s="272" t="s">
        <v>282</v>
      </c>
      <c r="BJ71" s="272" t="s">
        <v>282</v>
      </c>
      <c r="BK71" s="272" t="s">
        <v>282</v>
      </c>
      <c r="BL71" s="272" t="s">
        <v>282</v>
      </c>
      <c r="BM71" s="272" t="s">
        <v>282</v>
      </c>
      <c r="BN71" s="272" t="s">
        <v>282</v>
      </c>
      <c r="BO71" s="272" t="s">
        <v>282</v>
      </c>
      <c r="BP71" s="272" t="s">
        <v>282</v>
      </c>
      <c r="BQ71" s="272" t="s">
        <v>282</v>
      </c>
      <c r="BR71" s="272" t="s">
        <v>282</v>
      </c>
      <c r="BS71" s="272" t="s">
        <v>282</v>
      </c>
      <c r="BT71" s="272" t="s">
        <v>282</v>
      </c>
      <c r="BU71" s="272" t="s">
        <v>282</v>
      </c>
      <c r="BV71" s="272" t="s">
        <v>282</v>
      </c>
      <c r="BW71" s="272" t="s">
        <v>282</v>
      </c>
      <c r="BX71" s="272" t="s">
        <v>282</v>
      </c>
      <c r="BY71" s="272" t="s">
        <v>282</v>
      </c>
      <c r="BZ71" s="272" t="s">
        <v>282</v>
      </c>
      <c r="CA71" s="272" t="s">
        <v>282</v>
      </c>
      <c r="CB71" s="272" t="s">
        <v>282</v>
      </c>
      <c r="CC71" s="272" t="s">
        <v>282</v>
      </c>
      <c r="CD71" s="272" t="s">
        <v>282</v>
      </c>
      <c r="CE71" s="31">
        <f>SUM(C71:CD71)</f>
        <v>0</v>
      </c>
    </row>
    <row r="72" spans="1:83" x14ac:dyDescent="0.25">
      <c r="A72" s="32" t="s">
        <v>256</v>
      </c>
      <c r="B72" s="33"/>
      <c r="C72" s="272" t="s">
        <v>282</v>
      </c>
      <c r="D72" s="272" t="s">
        <v>282</v>
      </c>
      <c r="E72" s="272" t="s">
        <v>282</v>
      </c>
      <c r="F72" s="272" t="s">
        <v>282</v>
      </c>
      <c r="G72" s="272" t="s">
        <v>282</v>
      </c>
      <c r="H72" s="272" t="s">
        <v>282</v>
      </c>
      <c r="I72" s="272" t="s">
        <v>282</v>
      </c>
      <c r="J72" s="272" t="s">
        <v>282</v>
      </c>
      <c r="K72" s="272" t="s">
        <v>282</v>
      </c>
      <c r="L72" s="272" t="s">
        <v>282</v>
      </c>
      <c r="M72" s="272" t="s">
        <v>282</v>
      </c>
      <c r="N72" s="272" t="s">
        <v>282</v>
      </c>
      <c r="O72" s="272" t="s">
        <v>282</v>
      </c>
      <c r="P72" s="272" t="s">
        <v>282</v>
      </c>
      <c r="Q72" s="272" t="s">
        <v>282</v>
      </c>
      <c r="R72" s="272" t="s">
        <v>282</v>
      </c>
      <c r="S72" s="272" t="s">
        <v>282</v>
      </c>
      <c r="T72" s="272" t="s">
        <v>282</v>
      </c>
      <c r="U72" s="272" t="s">
        <v>282</v>
      </c>
      <c r="V72" s="272" t="s">
        <v>282</v>
      </c>
      <c r="W72" s="272" t="s">
        <v>282</v>
      </c>
      <c r="X72" s="272" t="s">
        <v>282</v>
      </c>
      <c r="Y72" s="272" t="s">
        <v>282</v>
      </c>
      <c r="Z72" s="272" t="s">
        <v>282</v>
      </c>
      <c r="AA72" s="272" t="s">
        <v>282</v>
      </c>
      <c r="AB72" s="272" t="s">
        <v>282</v>
      </c>
      <c r="AC72" s="272" t="s">
        <v>282</v>
      </c>
      <c r="AD72" s="272" t="s">
        <v>282</v>
      </c>
      <c r="AE72" s="272" t="s">
        <v>282</v>
      </c>
      <c r="AF72" s="272" t="s">
        <v>282</v>
      </c>
      <c r="AG72" s="272" t="s">
        <v>282</v>
      </c>
      <c r="AH72" s="272" t="s">
        <v>282</v>
      </c>
      <c r="AI72" s="272" t="s">
        <v>282</v>
      </c>
      <c r="AJ72" s="272" t="s">
        <v>282</v>
      </c>
      <c r="AK72" s="272" t="s">
        <v>282</v>
      </c>
      <c r="AL72" s="272" t="s">
        <v>282</v>
      </c>
      <c r="AM72" s="272" t="s">
        <v>282</v>
      </c>
      <c r="AN72" s="272" t="s">
        <v>282</v>
      </c>
      <c r="AO72" s="272" t="s">
        <v>282</v>
      </c>
      <c r="AP72" s="272" t="s">
        <v>282</v>
      </c>
      <c r="AQ72" s="272" t="s">
        <v>282</v>
      </c>
      <c r="AR72" s="272" t="s">
        <v>282</v>
      </c>
      <c r="AS72" s="272" t="s">
        <v>282</v>
      </c>
      <c r="AT72" s="272" t="s">
        <v>282</v>
      </c>
      <c r="AU72" s="272" t="s">
        <v>282</v>
      </c>
      <c r="AV72" s="272" t="s">
        <v>282</v>
      </c>
      <c r="AW72" s="272" t="s">
        <v>282</v>
      </c>
      <c r="AX72" s="272" t="s">
        <v>282</v>
      </c>
      <c r="AY72" s="272" t="s">
        <v>282</v>
      </c>
      <c r="AZ72" s="272" t="s">
        <v>282</v>
      </c>
      <c r="BA72" s="272" t="s">
        <v>282</v>
      </c>
      <c r="BB72" s="272" t="s">
        <v>282</v>
      </c>
      <c r="BC72" s="272" t="s">
        <v>282</v>
      </c>
      <c r="BD72" s="272" t="s">
        <v>282</v>
      </c>
      <c r="BE72" s="272" t="s">
        <v>282</v>
      </c>
      <c r="BF72" s="272" t="s">
        <v>282</v>
      </c>
      <c r="BG72" s="272" t="s">
        <v>282</v>
      </c>
      <c r="BH72" s="272" t="s">
        <v>282</v>
      </c>
      <c r="BI72" s="272" t="s">
        <v>282</v>
      </c>
      <c r="BJ72" s="272" t="s">
        <v>282</v>
      </c>
      <c r="BK72" s="272" t="s">
        <v>282</v>
      </c>
      <c r="BL72" s="272" t="s">
        <v>282</v>
      </c>
      <c r="BM72" s="272" t="s">
        <v>282</v>
      </c>
      <c r="BN72" s="272" t="s">
        <v>282</v>
      </c>
      <c r="BO72" s="272" t="s">
        <v>282</v>
      </c>
      <c r="BP72" s="272" t="s">
        <v>282</v>
      </c>
      <c r="BQ72" s="272" t="s">
        <v>282</v>
      </c>
      <c r="BR72" s="272" t="s">
        <v>282</v>
      </c>
      <c r="BS72" s="272" t="s">
        <v>282</v>
      </c>
      <c r="BT72" s="272" t="s">
        <v>282</v>
      </c>
      <c r="BU72" s="272" t="s">
        <v>282</v>
      </c>
      <c r="BV72" s="272" t="s">
        <v>282</v>
      </c>
      <c r="BW72" s="272" t="s">
        <v>282</v>
      </c>
      <c r="BX72" s="272" t="s">
        <v>282</v>
      </c>
      <c r="BY72" s="272" t="s">
        <v>282</v>
      </c>
      <c r="BZ72" s="272" t="s">
        <v>282</v>
      </c>
      <c r="CA72" s="272" t="s">
        <v>282</v>
      </c>
      <c r="CB72" s="272" t="s">
        <v>282</v>
      </c>
      <c r="CC72" s="272" t="s">
        <v>282</v>
      </c>
      <c r="CD72" s="272" t="s">
        <v>282</v>
      </c>
      <c r="CE72" s="31">
        <f t="shared" ref="CE72:CE86" si="11">SUM(C72:CD72)</f>
        <v>0</v>
      </c>
    </row>
    <row r="73" spans="1:83" x14ac:dyDescent="0.25">
      <c r="A73" s="32" t="s">
        <v>257</v>
      </c>
      <c r="B73" s="33"/>
      <c r="C73" s="272" t="s">
        <v>282</v>
      </c>
      <c r="D73" s="272" t="s">
        <v>282</v>
      </c>
      <c r="E73" s="272" t="s">
        <v>282</v>
      </c>
      <c r="F73" s="272" t="s">
        <v>282</v>
      </c>
      <c r="G73" s="272" t="s">
        <v>282</v>
      </c>
      <c r="H73" s="272" t="s">
        <v>282</v>
      </c>
      <c r="I73" s="272" t="s">
        <v>282</v>
      </c>
      <c r="J73" s="272" t="s">
        <v>282</v>
      </c>
      <c r="K73" s="272" t="s">
        <v>282</v>
      </c>
      <c r="L73" s="272" t="s">
        <v>282</v>
      </c>
      <c r="M73" s="272" t="s">
        <v>282</v>
      </c>
      <c r="N73" s="272" t="s">
        <v>282</v>
      </c>
      <c r="O73" s="272" t="s">
        <v>282</v>
      </c>
      <c r="P73" s="272" t="s">
        <v>282</v>
      </c>
      <c r="Q73" s="272" t="s">
        <v>282</v>
      </c>
      <c r="R73" s="272" t="s">
        <v>282</v>
      </c>
      <c r="S73" s="272" t="s">
        <v>282</v>
      </c>
      <c r="T73" s="272" t="s">
        <v>282</v>
      </c>
      <c r="U73" s="272" t="s">
        <v>282</v>
      </c>
      <c r="V73" s="272" t="s">
        <v>282</v>
      </c>
      <c r="W73" s="272" t="s">
        <v>282</v>
      </c>
      <c r="X73" s="272" t="s">
        <v>282</v>
      </c>
      <c r="Y73" s="272" t="s">
        <v>282</v>
      </c>
      <c r="Z73" s="272" t="s">
        <v>282</v>
      </c>
      <c r="AA73" s="272" t="s">
        <v>282</v>
      </c>
      <c r="AB73" s="272" t="s">
        <v>282</v>
      </c>
      <c r="AC73" s="272" t="s">
        <v>282</v>
      </c>
      <c r="AD73" s="272" t="s">
        <v>282</v>
      </c>
      <c r="AE73" s="272" t="s">
        <v>282</v>
      </c>
      <c r="AF73" s="272" t="s">
        <v>282</v>
      </c>
      <c r="AG73" s="272" t="s">
        <v>282</v>
      </c>
      <c r="AH73" s="272" t="s">
        <v>282</v>
      </c>
      <c r="AI73" s="272" t="s">
        <v>282</v>
      </c>
      <c r="AJ73" s="272" t="s">
        <v>282</v>
      </c>
      <c r="AK73" s="272" t="s">
        <v>282</v>
      </c>
      <c r="AL73" s="272" t="s">
        <v>282</v>
      </c>
      <c r="AM73" s="272" t="s">
        <v>282</v>
      </c>
      <c r="AN73" s="272" t="s">
        <v>282</v>
      </c>
      <c r="AO73" s="272" t="s">
        <v>282</v>
      </c>
      <c r="AP73" s="272" t="s">
        <v>282</v>
      </c>
      <c r="AQ73" s="272" t="s">
        <v>282</v>
      </c>
      <c r="AR73" s="272" t="s">
        <v>282</v>
      </c>
      <c r="AS73" s="272" t="s">
        <v>282</v>
      </c>
      <c r="AT73" s="272" t="s">
        <v>282</v>
      </c>
      <c r="AU73" s="272" t="s">
        <v>282</v>
      </c>
      <c r="AV73" s="272" t="s">
        <v>282</v>
      </c>
      <c r="AW73" s="272" t="s">
        <v>282</v>
      </c>
      <c r="AX73" s="272" t="s">
        <v>282</v>
      </c>
      <c r="AY73" s="272" t="s">
        <v>282</v>
      </c>
      <c r="AZ73" s="272" t="s">
        <v>282</v>
      </c>
      <c r="BA73" s="272" t="s">
        <v>282</v>
      </c>
      <c r="BB73" s="272" t="s">
        <v>282</v>
      </c>
      <c r="BC73" s="272" t="s">
        <v>282</v>
      </c>
      <c r="BD73" s="272" t="s">
        <v>282</v>
      </c>
      <c r="BE73" s="272" t="s">
        <v>282</v>
      </c>
      <c r="BF73" s="272" t="s">
        <v>282</v>
      </c>
      <c r="BG73" s="272" t="s">
        <v>282</v>
      </c>
      <c r="BH73" s="272" t="s">
        <v>282</v>
      </c>
      <c r="BI73" s="272" t="s">
        <v>282</v>
      </c>
      <c r="BJ73" s="272" t="s">
        <v>282</v>
      </c>
      <c r="BK73" s="272" t="s">
        <v>282</v>
      </c>
      <c r="BL73" s="272" t="s">
        <v>282</v>
      </c>
      <c r="BM73" s="272" t="s">
        <v>282</v>
      </c>
      <c r="BN73" s="272" t="s">
        <v>282</v>
      </c>
      <c r="BO73" s="272" t="s">
        <v>282</v>
      </c>
      <c r="BP73" s="272" t="s">
        <v>282</v>
      </c>
      <c r="BQ73" s="272" t="s">
        <v>282</v>
      </c>
      <c r="BR73" s="272" t="s">
        <v>282</v>
      </c>
      <c r="BS73" s="272" t="s">
        <v>282</v>
      </c>
      <c r="BT73" s="272" t="s">
        <v>282</v>
      </c>
      <c r="BU73" s="272" t="s">
        <v>282</v>
      </c>
      <c r="BV73" s="272" t="s">
        <v>282</v>
      </c>
      <c r="BW73" s="272" t="s">
        <v>282</v>
      </c>
      <c r="BX73" s="272" t="s">
        <v>282</v>
      </c>
      <c r="BY73" s="272" t="s">
        <v>282</v>
      </c>
      <c r="BZ73" s="272" t="s">
        <v>282</v>
      </c>
      <c r="CA73" s="272" t="s">
        <v>282</v>
      </c>
      <c r="CB73" s="272" t="s">
        <v>282</v>
      </c>
      <c r="CC73" s="272" t="s">
        <v>282</v>
      </c>
      <c r="CD73" s="272" t="s">
        <v>282</v>
      </c>
      <c r="CE73" s="31">
        <f t="shared" si="11"/>
        <v>0</v>
      </c>
    </row>
    <row r="74" spans="1:83" x14ac:dyDescent="0.25">
      <c r="A74" s="32" t="s">
        <v>258</v>
      </c>
      <c r="B74" s="33"/>
      <c r="C74" s="272" t="s">
        <v>282</v>
      </c>
      <c r="D74" s="272" t="s">
        <v>282</v>
      </c>
      <c r="E74" s="272" t="s">
        <v>282</v>
      </c>
      <c r="F74" s="272" t="s">
        <v>282</v>
      </c>
      <c r="G74" s="272" t="s">
        <v>282</v>
      </c>
      <c r="H74" s="272" t="s">
        <v>282</v>
      </c>
      <c r="I74" s="272" t="s">
        <v>282</v>
      </c>
      <c r="J74" s="272" t="s">
        <v>282</v>
      </c>
      <c r="K74" s="272" t="s">
        <v>282</v>
      </c>
      <c r="L74" s="272" t="s">
        <v>282</v>
      </c>
      <c r="M74" s="272" t="s">
        <v>282</v>
      </c>
      <c r="N74" s="272" t="s">
        <v>282</v>
      </c>
      <c r="O74" s="272" t="s">
        <v>282</v>
      </c>
      <c r="P74" s="272" t="s">
        <v>282</v>
      </c>
      <c r="Q74" s="272" t="s">
        <v>282</v>
      </c>
      <c r="R74" s="272" t="s">
        <v>282</v>
      </c>
      <c r="S74" s="272" t="s">
        <v>282</v>
      </c>
      <c r="T74" s="272" t="s">
        <v>282</v>
      </c>
      <c r="U74" s="272" t="s">
        <v>282</v>
      </c>
      <c r="V74" s="272" t="s">
        <v>282</v>
      </c>
      <c r="W74" s="272" t="s">
        <v>282</v>
      </c>
      <c r="X74" s="272" t="s">
        <v>282</v>
      </c>
      <c r="Y74" s="272" t="s">
        <v>282</v>
      </c>
      <c r="Z74" s="272" t="s">
        <v>282</v>
      </c>
      <c r="AA74" s="272" t="s">
        <v>282</v>
      </c>
      <c r="AB74" s="272" t="s">
        <v>282</v>
      </c>
      <c r="AC74" s="272" t="s">
        <v>282</v>
      </c>
      <c r="AD74" s="272" t="s">
        <v>282</v>
      </c>
      <c r="AE74" s="272" t="s">
        <v>282</v>
      </c>
      <c r="AF74" s="272" t="s">
        <v>282</v>
      </c>
      <c r="AG74" s="272" t="s">
        <v>282</v>
      </c>
      <c r="AH74" s="272" t="s">
        <v>282</v>
      </c>
      <c r="AI74" s="272" t="s">
        <v>282</v>
      </c>
      <c r="AJ74" s="272" t="s">
        <v>282</v>
      </c>
      <c r="AK74" s="272" t="s">
        <v>282</v>
      </c>
      <c r="AL74" s="272" t="s">
        <v>282</v>
      </c>
      <c r="AM74" s="272" t="s">
        <v>282</v>
      </c>
      <c r="AN74" s="272" t="s">
        <v>282</v>
      </c>
      <c r="AO74" s="272" t="s">
        <v>282</v>
      </c>
      <c r="AP74" s="272" t="s">
        <v>282</v>
      </c>
      <c r="AQ74" s="272" t="s">
        <v>282</v>
      </c>
      <c r="AR74" s="272" t="s">
        <v>282</v>
      </c>
      <c r="AS74" s="272" t="s">
        <v>282</v>
      </c>
      <c r="AT74" s="272" t="s">
        <v>282</v>
      </c>
      <c r="AU74" s="272" t="s">
        <v>282</v>
      </c>
      <c r="AV74" s="272" t="s">
        <v>282</v>
      </c>
      <c r="AW74" s="272" t="s">
        <v>282</v>
      </c>
      <c r="AX74" s="272" t="s">
        <v>282</v>
      </c>
      <c r="AY74" s="272" t="s">
        <v>282</v>
      </c>
      <c r="AZ74" s="272" t="s">
        <v>282</v>
      </c>
      <c r="BA74" s="272" t="s">
        <v>282</v>
      </c>
      <c r="BB74" s="272" t="s">
        <v>282</v>
      </c>
      <c r="BC74" s="272" t="s">
        <v>282</v>
      </c>
      <c r="BD74" s="272" t="s">
        <v>282</v>
      </c>
      <c r="BE74" s="272" t="s">
        <v>282</v>
      </c>
      <c r="BF74" s="272" t="s">
        <v>282</v>
      </c>
      <c r="BG74" s="272" t="s">
        <v>282</v>
      </c>
      <c r="BH74" s="272" t="s">
        <v>282</v>
      </c>
      <c r="BI74" s="272" t="s">
        <v>282</v>
      </c>
      <c r="BJ74" s="272" t="s">
        <v>282</v>
      </c>
      <c r="BK74" s="272" t="s">
        <v>282</v>
      </c>
      <c r="BL74" s="272" t="s">
        <v>282</v>
      </c>
      <c r="BM74" s="272" t="s">
        <v>282</v>
      </c>
      <c r="BN74" s="272" t="s">
        <v>282</v>
      </c>
      <c r="BO74" s="272" t="s">
        <v>282</v>
      </c>
      <c r="BP74" s="272" t="s">
        <v>282</v>
      </c>
      <c r="BQ74" s="272" t="s">
        <v>282</v>
      </c>
      <c r="BR74" s="272" t="s">
        <v>282</v>
      </c>
      <c r="BS74" s="272" t="s">
        <v>282</v>
      </c>
      <c r="BT74" s="272" t="s">
        <v>282</v>
      </c>
      <c r="BU74" s="272" t="s">
        <v>282</v>
      </c>
      <c r="BV74" s="272" t="s">
        <v>282</v>
      </c>
      <c r="BW74" s="272" t="s">
        <v>282</v>
      </c>
      <c r="BX74" s="272" t="s">
        <v>282</v>
      </c>
      <c r="BY74" s="272" t="s">
        <v>282</v>
      </c>
      <c r="BZ74" s="272" t="s">
        <v>282</v>
      </c>
      <c r="CA74" s="272" t="s">
        <v>282</v>
      </c>
      <c r="CB74" s="272" t="s">
        <v>282</v>
      </c>
      <c r="CC74" s="272" t="s">
        <v>282</v>
      </c>
      <c r="CD74" s="272" t="s">
        <v>282</v>
      </c>
      <c r="CE74" s="31">
        <f t="shared" si="11"/>
        <v>0</v>
      </c>
    </row>
    <row r="75" spans="1:83" x14ac:dyDescent="0.25">
      <c r="A75" s="32" t="s">
        <v>259</v>
      </c>
      <c r="B75" s="33"/>
      <c r="C75" s="272" t="s">
        <v>282</v>
      </c>
      <c r="D75" s="272" t="s">
        <v>282</v>
      </c>
      <c r="E75" s="272" t="s">
        <v>282</v>
      </c>
      <c r="F75" s="272" t="s">
        <v>282</v>
      </c>
      <c r="G75" s="272" t="s">
        <v>282</v>
      </c>
      <c r="H75" s="272" t="s">
        <v>282</v>
      </c>
      <c r="I75" s="272" t="s">
        <v>282</v>
      </c>
      <c r="J75" s="272" t="s">
        <v>282</v>
      </c>
      <c r="K75" s="272" t="s">
        <v>282</v>
      </c>
      <c r="L75" s="272" t="s">
        <v>282</v>
      </c>
      <c r="M75" s="272" t="s">
        <v>282</v>
      </c>
      <c r="N75" s="272" t="s">
        <v>282</v>
      </c>
      <c r="O75" s="272" t="s">
        <v>282</v>
      </c>
      <c r="P75" s="272" t="s">
        <v>282</v>
      </c>
      <c r="Q75" s="272" t="s">
        <v>282</v>
      </c>
      <c r="R75" s="272" t="s">
        <v>282</v>
      </c>
      <c r="S75" s="272" t="s">
        <v>282</v>
      </c>
      <c r="T75" s="272" t="s">
        <v>282</v>
      </c>
      <c r="U75" s="272" t="s">
        <v>282</v>
      </c>
      <c r="V75" s="272" t="s">
        <v>282</v>
      </c>
      <c r="W75" s="272" t="s">
        <v>282</v>
      </c>
      <c r="X75" s="272" t="s">
        <v>282</v>
      </c>
      <c r="Y75" s="272" t="s">
        <v>282</v>
      </c>
      <c r="Z75" s="272" t="s">
        <v>282</v>
      </c>
      <c r="AA75" s="272" t="s">
        <v>282</v>
      </c>
      <c r="AB75" s="272" t="s">
        <v>282</v>
      </c>
      <c r="AC75" s="272" t="s">
        <v>282</v>
      </c>
      <c r="AD75" s="272" t="s">
        <v>282</v>
      </c>
      <c r="AE75" s="272" t="s">
        <v>282</v>
      </c>
      <c r="AF75" s="272" t="s">
        <v>282</v>
      </c>
      <c r="AG75" s="272" t="s">
        <v>282</v>
      </c>
      <c r="AH75" s="272" t="s">
        <v>282</v>
      </c>
      <c r="AI75" s="272" t="s">
        <v>282</v>
      </c>
      <c r="AJ75" s="272" t="s">
        <v>282</v>
      </c>
      <c r="AK75" s="272" t="s">
        <v>282</v>
      </c>
      <c r="AL75" s="272" t="s">
        <v>282</v>
      </c>
      <c r="AM75" s="272" t="s">
        <v>282</v>
      </c>
      <c r="AN75" s="272" t="s">
        <v>282</v>
      </c>
      <c r="AO75" s="272" t="s">
        <v>282</v>
      </c>
      <c r="AP75" s="272" t="s">
        <v>282</v>
      </c>
      <c r="AQ75" s="272" t="s">
        <v>282</v>
      </c>
      <c r="AR75" s="272" t="s">
        <v>282</v>
      </c>
      <c r="AS75" s="272" t="s">
        <v>282</v>
      </c>
      <c r="AT75" s="272" t="s">
        <v>282</v>
      </c>
      <c r="AU75" s="272" t="s">
        <v>282</v>
      </c>
      <c r="AV75" s="272" t="s">
        <v>282</v>
      </c>
      <c r="AW75" s="272" t="s">
        <v>282</v>
      </c>
      <c r="AX75" s="272" t="s">
        <v>282</v>
      </c>
      <c r="AY75" s="272" t="s">
        <v>282</v>
      </c>
      <c r="AZ75" s="272" t="s">
        <v>282</v>
      </c>
      <c r="BA75" s="272" t="s">
        <v>282</v>
      </c>
      <c r="BB75" s="272" t="s">
        <v>282</v>
      </c>
      <c r="BC75" s="272" t="s">
        <v>282</v>
      </c>
      <c r="BD75" s="272" t="s">
        <v>282</v>
      </c>
      <c r="BE75" s="272" t="s">
        <v>282</v>
      </c>
      <c r="BF75" s="272" t="s">
        <v>282</v>
      </c>
      <c r="BG75" s="272" t="s">
        <v>282</v>
      </c>
      <c r="BH75" s="272" t="s">
        <v>282</v>
      </c>
      <c r="BI75" s="272" t="s">
        <v>282</v>
      </c>
      <c r="BJ75" s="272" t="s">
        <v>282</v>
      </c>
      <c r="BK75" s="272" t="s">
        <v>282</v>
      </c>
      <c r="BL75" s="272" t="s">
        <v>282</v>
      </c>
      <c r="BM75" s="272" t="s">
        <v>282</v>
      </c>
      <c r="BN75" s="272" t="s">
        <v>282</v>
      </c>
      <c r="BO75" s="272" t="s">
        <v>282</v>
      </c>
      <c r="BP75" s="272" t="s">
        <v>282</v>
      </c>
      <c r="BQ75" s="272" t="s">
        <v>282</v>
      </c>
      <c r="BR75" s="272" t="s">
        <v>282</v>
      </c>
      <c r="BS75" s="272" t="s">
        <v>282</v>
      </c>
      <c r="BT75" s="272" t="s">
        <v>282</v>
      </c>
      <c r="BU75" s="272" t="s">
        <v>282</v>
      </c>
      <c r="BV75" s="272" t="s">
        <v>282</v>
      </c>
      <c r="BW75" s="272" t="s">
        <v>282</v>
      </c>
      <c r="BX75" s="272" t="s">
        <v>282</v>
      </c>
      <c r="BY75" s="272" t="s">
        <v>282</v>
      </c>
      <c r="BZ75" s="272" t="s">
        <v>282</v>
      </c>
      <c r="CA75" s="272" t="s">
        <v>282</v>
      </c>
      <c r="CB75" s="272" t="s">
        <v>282</v>
      </c>
      <c r="CC75" s="272" t="s">
        <v>282</v>
      </c>
      <c r="CD75" s="272" t="s">
        <v>282</v>
      </c>
      <c r="CE75" s="31">
        <f t="shared" si="11"/>
        <v>0</v>
      </c>
    </row>
    <row r="76" spans="1:83" x14ac:dyDescent="0.25">
      <c r="A76" s="32" t="s">
        <v>260</v>
      </c>
      <c r="B76" s="33"/>
      <c r="C76" s="272" t="s">
        <v>282</v>
      </c>
      <c r="D76" s="272" t="s">
        <v>282</v>
      </c>
      <c r="E76" s="272" t="s">
        <v>282</v>
      </c>
      <c r="F76" s="272" t="s">
        <v>282</v>
      </c>
      <c r="G76" s="272" t="s">
        <v>282</v>
      </c>
      <c r="H76" s="272" t="s">
        <v>282</v>
      </c>
      <c r="I76" s="272" t="s">
        <v>282</v>
      </c>
      <c r="J76" s="272" t="s">
        <v>282</v>
      </c>
      <c r="K76" s="272" t="s">
        <v>282</v>
      </c>
      <c r="L76" s="272" t="s">
        <v>282</v>
      </c>
      <c r="M76" s="272" t="s">
        <v>282</v>
      </c>
      <c r="N76" s="272" t="s">
        <v>282</v>
      </c>
      <c r="O76" s="272" t="s">
        <v>282</v>
      </c>
      <c r="P76" s="272" t="s">
        <v>282</v>
      </c>
      <c r="Q76" s="272" t="s">
        <v>282</v>
      </c>
      <c r="R76" s="272" t="s">
        <v>282</v>
      </c>
      <c r="S76" s="272" t="s">
        <v>282</v>
      </c>
      <c r="T76" s="272" t="s">
        <v>282</v>
      </c>
      <c r="U76" s="272" t="s">
        <v>282</v>
      </c>
      <c r="V76" s="272" t="s">
        <v>282</v>
      </c>
      <c r="W76" s="272" t="s">
        <v>282</v>
      </c>
      <c r="X76" s="272" t="s">
        <v>282</v>
      </c>
      <c r="Y76" s="272" t="s">
        <v>282</v>
      </c>
      <c r="Z76" s="272" t="s">
        <v>282</v>
      </c>
      <c r="AA76" s="272" t="s">
        <v>282</v>
      </c>
      <c r="AB76" s="272" t="s">
        <v>282</v>
      </c>
      <c r="AC76" s="272" t="s">
        <v>282</v>
      </c>
      <c r="AD76" s="272" t="s">
        <v>282</v>
      </c>
      <c r="AE76" s="272" t="s">
        <v>282</v>
      </c>
      <c r="AF76" s="272" t="s">
        <v>282</v>
      </c>
      <c r="AG76" s="272" t="s">
        <v>282</v>
      </c>
      <c r="AH76" s="272" t="s">
        <v>282</v>
      </c>
      <c r="AI76" s="272" t="s">
        <v>282</v>
      </c>
      <c r="AJ76" s="272" t="s">
        <v>282</v>
      </c>
      <c r="AK76" s="272" t="s">
        <v>282</v>
      </c>
      <c r="AL76" s="272" t="s">
        <v>282</v>
      </c>
      <c r="AM76" s="272" t="s">
        <v>282</v>
      </c>
      <c r="AN76" s="272" t="s">
        <v>282</v>
      </c>
      <c r="AO76" s="272" t="s">
        <v>282</v>
      </c>
      <c r="AP76" s="272" t="s">
        <v>282</v>
      </c>
      <c r="AQ76" s="272" t="s">
        <v>282</v>
      </c>
      <c r="AR76" s="272" t="s">
        <v>282</v>
      </c>
      <c r="AS76" s="272" t="s">
        <v>282</v>
      </c>
      <c r="AT76" s="272" t="s">
        <v>282</v>
      </c>
      <c r="AU76" s="272" t="s">
        <v>282</v>
      </c>
      <c r="AV76" s="272" t="s">
        <v>282</v>
      </c>
      <c r="AW76" s="272" t="s">
        <v>282</v>
      </c>
      <c r="AX76" s="272" t="s">
        <v>282</v>
      </c>
      <c r="AY76" s="272" t="s">
        <v>282</v>
      </c>
      <c r="AZ76" s="272" t="s">
        <v>282</v>
      </c>
      <c r="BA76" s="272" t="s">
        <v>282</v>
      </c>
      <c r="BB76" s="272" t="s">
        <v>282</v>
      </c>
      <c r="BC76" s="272" t="s">
        <v>282</v>
      </c>
      <c r="BD76" s="272" t="s">
        <v>282</v>
      </c>
      <c r="BE76" s="272" t="s">
        <v>282</v>
      </c>
      <c r="BF76" s="272" t="s">
        <v>282</v>
      </c>
      <c r="BG76" s="272" t="s">
        <v>282</v>
      </c>
      <c r="BH76" s="272" t="s">
        <v>282</v>
      </c>
      <c r="BI76" s="272" t="s">
        <v>282</v>
      </c>
      <c r="BJ76" s="272" t="s">
        <v>282</v>
      </c>
      <c r="BK76" s="272" t="s">
        <v>282</v>
      </c>
      <c r="BL76" s="272" t="s">
        <v>282</v>
      </c>
      <c r="BM76" s="272" t="s">
        <v>282</v>
      </c>
      <c r="BN76" s="272" t="s">
        <v>282</v>
      </c>
      <c r="BO76" s="272" t="s">
        <v>282</v>
      </c>
      <c r="BP76" s="272" t="s">
        <v>282</v>
      </c>
      <c r="BQ76" s="272" t="s">
        <v>282</v>
      </c>
      <c r="BR76" s="272" t="s">
        <v>282</v>
      </c>
      <c r="BS76" s="272" t="s">
        <v>282</v>
      </c>
      <c r="BT76" s="272" t="s">
        <v>282</v>
      </c>
      <c r="BU76" s="272" t="s">
        <v>282</v>
      </c>
      <c r="BV76" s="272" t="s">
        <v>282</v>
      </c>
      <c r="BW76" s="272" t="s">
        <v>282</v>
      </c>
      <c r="BX76" s="272" t="s">
        <v>282</v>
      </c>
      <c r="BY76" s="272" t="s">
        <v>282</v>
      </c>
      <c r="BZ76" s="272" t="s">
        <v>282</v>
      </c>
      <c r="CA76" s="272" t="s">
        <v>282</v>
      </c>
      <c r="CB76" s="272" t="s">
        <v>282</v>
      </c>
      <c r="CC76" s="272" t="s">
        <v>282</v>
      </c>
      <c r="CD76" s="272" t="s">
        <v>282</v>
      </c>
      <c r="CE76" s="31">
        <f t="shared" si="11"/>
        <v>0</v>
      </c>
    </row>
    <row r="77" spans="1:83" x14ac:dyDescent="0.25">
      <c r="A77" s="32" t="s">
        <v>261</v>
      </c>
      <c r="B77" s="231"/>
      <c r="C77" s="272" t="s">
        <v>282</v>
      </c>
      <c r="D77" s="272" t="s">
        <v>282</v>
      </c>
      <c r="E77" s="272" t="s">
        <v>282</v>
      </c>
      <c r="F77" s="272" t="s">
        <v>282</v>
      </c>
      <c r="G77" s="272" t="s">
        <v>282</v>
      </c>
      <c r="H77" s="272" t="s">
        <v>282</v>
      </c>
      <c r="I77" s="272" t="s">
        <v>282</v>
      </c>
      <c r="J77" s="272" t="s">
        <v>282</v>
      </c>
      <c r="K77" s="272" t="s">
        <v>282</v>
      </c>
      <c r="L77" s="272" t="s">
        <v>282</v>
      </c>
      <c r="M77" s="272" t="s">
        <v>282</v>
      </c>
      <c r="N77" s="272" t="s">
        <v>282</v>
      </c>
      <c r="O77" s="272" t="s">
        <v>282</v>
      </c>
      <c r="P77" s="272" t="s">
        <v>282</v>
      </c>
      <c r="Q77" s="272" t="s">
        <v>282</v>
      </c>
      <c r="R77" s="272" t="s">
        <v>282</v>
      </c>
      <c r="S77" s="272" t="s">
        <v>282</v>
      </c>
      <c r="T77" s="272" t="s">
        <v>282</v>
      </c>
      <c r="U77" s="272" t="s">
        <v>282</v>
      </c>
      <c r="V77" s="272" t="s">
        <v>282</v>
      </c>
      <c r="W77" s="272" t="s">
        <v>282</v>
      </c>
      <c r="X77" s="272" t="s">
        <v>282</v>
      </c>
      <c r="Y77" s="272" t="s">
        <v>282</v>
      </c>
      <c r="Z77" s="272" t="s">
        <v>282</v>
      </c>
      <c r="AA77" s="272" t="s">
        <v>282</v>
      </c>
      <c r="AB77" s="272" t="s">
        <v>282</v>
      </c>
      <c r="AC77" s="272" t="s">
        <v>282</v>
      </c>
      <c r="AD77" s="272" t="s">
        <v>282</v>
      </c>
      <c r="AE77" s="272" t="s">
        <v>282</v>
      </c>
      <c r="AF77" s="272" t="s">
        <v>282</v>
      </c>
      <c r="AG77" s="272" t="s">
        <v>282</v>
      </c>
      <c r="AH77" s="272" t="s">
        <v>282</v>
      </c>
      <c r="AI77" s="272" t="s">
        <v>282</v>
      </c>
      <c r="AJ77" s="272" t="s">
        <v>282</v>
      </c>
      <c r="AK77" s="272" t="s">
        <v>282</v>
      </c>
      <c r="AL77" s="272" t="s">
        <v>282</v>
      </c>
      <c r="AM77" s="272" t="s">
        <v>282</v>
      </c>
      <c r="AN77" s="272" t="s">
        <v>282</v>
      </c>
      <c r="AO77" s="272" t="s">
        <v>282</v>
      </c>
      <c r="AP77" s="272" t="s">
        <v>282</v>
      </c>
      <c r="AQ77" s="272" t="s">
        <v>282</v>
      </c>
      <c r="AR77" s="272" t="s">
        <v>282</v>
      </c>
      <c r="AS77" s="272" t="s">
        <v>282</v>
      </c>
      <c r="AT77" s="272" t="s">
        <v>282</v>
      </c>
      <c r="AU77" s="272" t="s">
        <v>282</v>
      </c>
      <c r="AV77" s="272" t="s">
        <v>282</v>
      </c>
      <c r="AW77" s="272" t="s">
        <v>282</v>
      </c>
      <c r="AX77" s="272" t="s">
        <v>282</v>
      </c>
      <c r="AY77" s="272" t="s">
        <v>282</v>
      </c>
      <c r="AZ77" s="272" t="s">
        <v>282</v>
      </c>
      <c r="BA77" s="272" t="s">
        <v>282</v>
      </c>
      <c r="BB77" s="272" t="s">
        <v>282</v>
      </c>
      <c r="BC77" s="272" t="s">
        <v>282</v>
      </c>
      <c r="BD77" s="272" t="s">
        <v>282</v>
      </c>
      <c r="BE77" s="272" t="s">
        <v>282</v>
      </c>
      <c r="BF77" s="272" t="s">
        <v>282</v>
      </c>
      <c r="BG77" s="272" t="s">
        <v>282</v>
      </c>
      <c r="BH77" s="272" t="s">
        <v>282</v>
      </c>
      <c r="BI77" s="272" t="s">
        <v>282</v>
      </c>
      <c r="BJ77" s="272" t="s">
        <v>282</v>
      </c>
      <c r="BK77" s="272" t="s">
        <v>282</v>
      </c>
      <c r="BL77" s="272" t="s">
        <v>282</v>
      </c>
      <c r="BM77" s="272" t="s">
        <v>282</v>
      </c>
      <c r="BN77" s="272" t="s">
        <v>282</v>
      </c>
      <c r="BO77" s="272" t="s">
        <v>282</v>
      </c>
      <c r="BP77" s="272" t="s">
        <v>282</v>
      </c>
      <c r="BQ77" s="272" t="s">
        <v>282</v>
      </c>
      <c r="BR77" s="272" t="s">
        <v>282</v>
      </c>
      <c r="BS77" s="272" t="s">
        <v>282</v>
      </c>
      <c r="BT77" s="272" t="s">
        <v>282</v>
      </c>
      <c r="BU77" s="272" t="s">
        <v>282</v>
      </c>
      <c r="BV77" s="272" t="s">
        <v>282</v>
      </c>
      <c r="BW77" s="272" t="s">
        <v>282</v>
      </c>
      <c r="BX77" s="272" t="s">
        <v>282</v>
      </c>
      <c r="BY77" s="272" t="s">
        <v>282</v>
      </c>
      <c r="BZ77" s="272" t="s">
        <v>282</v>
      </c>
      <c r="CA77" s="272" t="s">
        <v>282</v>
      </c>
      <c r="CB77" s="272" t="s">
        <v>282</v>
      </c>
      <c r="CC77" s="272" t="s">
        <v>282</v>
      </c>
      <c r="CD77" s="272" t="s">
        <v>282</v>
      </c>
      <c r="CE77" s="31">
        <f t="shared" si="11"/>
        <v>0</v>
      </c>
    </row>
    <row r="78" spans="1:83" x14ac:dyDescent="0.25">
      <c r="A78" s="32" t="s">
        <v>262</v>
      </c>
      <c r="B78" s="33"/>
      <c r="C78" s="272" t="s">
        <v>282</v>
      </c>
      <c r="D78" s="272" t="s">
        <v>282</v>
      </c>
      <c r="E78" s="272" t="s">
        <v>282</v>
      </c>
      <c r="F78" s="272" t="s">
        <v>282</v>
      </c>
      <c r="G78" s="272" t="s">
        <v>282</v>
      </c>
      <c r="H78" s="272" t="s">
        <v>282</v>
      </c>
      <c r="I78" s="272" t="s">
        <v>282</v>
      </c>
      <c r="J78" s="272" t="s">
        <v>282</v>
      </c>
      <c r="K78" s="272" t="s">
        <v>282</v>
      </c>
      <c r="L78" s="272" t="s">
        <v>282</v>
      </c>
      <c r="M78" s="272" t="s">
        <v>282</v>
      </c>
      <c r="N78" s="272" t="s">
        <v>282</v>
      </c>
      <c r="O78" s="272" t="s">
        <v>282</v>
      </c>
      <c r="P78" s="272" t="s">
        <v>282</v>
      </c>
      <c r="Q78" s="272" t="s">
        <v>282</v>
      </c>
      <c r="R78" s="272" t="s">
        <v>282</v>
      </c>
      <c r="S78" s="272" t="s">
        <v>282</v>
      </c>
      <c r="T78" s="272" t="s">
        <v>282</v>
      </c>
      <c r="U78" s="272" t="s">
        <v>282</v>
      </c>
      <c r="V78" s="272" t="s">
        <v>282</v>
      </c>
      <c r="W78" s="272" t="s">
        <v>282</v>
      </c>
      <c r="X78" s="272" t="s">
        <v>282</v>
      </c>
      <c r="Y78" s="272" t="s">
        <v>282</v>
      </c>
      <c r="Z78" s="272" t="s">
        <v>282</v>
      </c>
      <c r="AA78" s="272" t="s">
        <v>282</v>
      </c>
      <c r="AB78" s="272" t="s">
        <v>282</v>
      </c>
      <c r="AC78" s="272" t="s">
        <v>282</v>
      </c>
      <c r="AD78" s="272" t="s">
        <v>282</v>
      </c>
      <c r="AE78" s="272" t="s">
        <v>282</v>
      </c>
      <c r="AF78" s="272" t="s">
        <v>282</v>
      </c>
      <c r="AG78" s="272" t="s">
        <v>282</v>
      </c>
      <c r="AH78" s="272" t="s">
        <v>282</v>
      </c>
      <c r="AI78" s="272" t="s">
        <v>282</v>
      </c>
      <c r="AJ78" s="272" t="s">
        <v>282</v>
      </c>
      <c r="AK78" s="272" t="s">
        <v>282</v>
      </c>
      <c r="AL78" s="272" t="s">
        <v>282</v>
      </c>
      <c r="AM78" s="272" t="s">
        <v>282</v>
      </c>
      <c r="AN78" s="272" t="s">
        <v>282</v>
      </c>
      <c r="AO78" s="272" t="s">
        <v>282</v>
      </c>
      <c r="AP78" s="272" t="s">
        <v>282</v>
      </c>
      <c r="AQ78" s="272" t="s">
        <v>282</v>
      </c>
      <c r="AR78" s="272" t="s">
        <v>282</v>
      </c>
      <c r="AS78" s="272" t="s">
        <v>282</v>
      </c>
      <c r="AT78" s="272" t="s">
        <v>282</v>
      </c>
      <c r="AU78" s="272" t="s">
        <v>282</v>
      </c>
      <c r="AV78" s="272" t="s">
        <v>282</v>
      </c>
      <c r="AW78" s="272" t="s">
        <v>282</v>
      </c>
      <c r="AX78" s="272" t="s">
        <v>282</v>
      </c>
      <c r="AY78" s="272" t="s">
        <v>282</v>
      </c>
      <c r="AZ78" s="272" t="s">
        <v>282</v>
      </c>
      <c r="BA78" s="272" t="s">
        <v>282</v>
      </c>
      <c r="BB78" s="272" t="s">
        <v>282</v>
      </c>
      <c r="BC78" s="272" t="s">
        <v>282</v>
      </c>
      <c r="BD78" s="272" t="s">
        <v>282</v>
      </c>
      <c r="BE78" s="272" t="s">
        <v>282</v>
      </c>
      <c r="BF78" s="272" t="s">
        <v>282</v>
      </c>
      <c r="BG78" s="272" t="s">
        <v>282</v>
      </c>
      <c r="BH78" s="272" t="s">
        <v>282</v>
      </c>
      <c r="BI78" s="272" t="s">
        <v>282</v>
      </c>
      <c r="BJ78" s="272" t="s">
        <v>282</v>
      </c>
      <c r="BK78" s="272" t="s">
        <v>282</v>
      </c>
      <c r="BL78" s="272" t="s">
        <v>282</v>
      </c>
      <c r="BM78" s="272" t="s">
        <v>282</v>
      </c>
      <c r="BN78" s="272" t="s">
        <v>282</v>
      </c>
      <c r="BO78" s="272" t="s">
        <v>282</v>
      </c>
      <c r="BP78" s="272" t="s">
        <v>282</v>
      </c>
      <c r="BQ78" s="272" t="s">
        <v>282</v>
      </c>
      <c r="BR78" s="272" t="s">
        <v>282</v>
      </c>
      <c r="BS78" s="272" t="s">
        <v>282</v>
      </c>
      <c r="BT78" s="272" t="s">
        <v>282</v>
      </c>
      <c r="BU78" s="272" t="s">
        <v>282</v>
      </c>
      <c r="BV78" s="272" t="s">
        <v>282</v>
      </c>
      <c r="BW78" s="272" t="s">
        <v>282</v>
      </c>
      <c r="BX78" s="272" t="s">
        <v>282</v>
      </c>
      <c r="BY78" s="272" t="s">
        <v>282</v>
      </c>
      <c r="BZ78" s="272" t="s">
        <v>282</v>
      </c>
      <c r="CA78" s="272" t="s">
        <v>282</v>
      </c>
      <c r="CB78" s="272" t="s">
        <v>282</v>
      </c>
      <c r="CC78" s="272" t="s">
        <v>282</v>
      </c>
      <c r="CD78" s="272" t="s">
        <v>282</v>
      </c>
      <c r="CE78" s="31">
        <f t="shared" si="11"/>
        <v>0</v>
      </c>
    </row>
    <row r="79" spans="1:83" x14ac:dyDescent="0.25">
      <c r="A79" s="32" t="s">
        <v>263</v>
      </c>
      <c r="B79" s="19"/>
      <c r="C79" s="272" t="s">
        <v>282</v>
      </c>
      <c r="D79" s="272" t="s">
        <v>282</v>
      </c>
      <c r="E79" s="272" t="s">
        <v>282</v>
      </c>
      <c r="F79" s="272" t="s">
        <v>282</v>
      </c>
      <c r="G79" s="272" t="s">
        <v>282</v>
      </c>
      <c r="H79" s="272" t="s">
        <v>282</v>
      </c>
      <c r="I79" s="272" t="s">
        <v>282</v>
      </c>
      <c r="J79" s="272" t="s">
        <v>282</v>
      </c>
      <c r="K79" s="272" t="s">
        <v>282</v>
      </c>
      <c r="L79" s="272" t="s">
        <v>282</v>
      </c>
      <c r="M79" s="272" t="s">
        <v>282</v>
      </c>
      <c r="N79" s="272" t="s">
        <v>282</v>
      </c>
      <c r="O79" s="272" t="s">
        <v>282</v>
      </c>
      <c r="P79" s="272" t="s">
        <v>282</v>
      </c>
      <c r="Q79" s="272" t="s">
        <v>282</v>
      </c>
      <c r="R79" s="272" t="s">
        <v>282</v>
      </c>
      <c r="S79" s="272" t="s">
        <v>282</v>
      </c>
      <c r="T79" s="272" t="s">
        <v>282</v>
      </c>
      <c r="U79" s="272" t="s">
        <v>282</v>
      </c>
      <c r="V79" s="272" t="s">
        <v>282</v>
      </c>
      <c r="W79" s="272" t="s">
        <v>282</v>
      </c>
      <c r="X79" s="272" t="s">
        <v>282</v>
      </c>
      <c r="Y79" s="272" t="s">
        <v>282</v>
      </c>
      <c r="Z79" s="272" t="s">
        <v>282</v>
      </c>
      <c r="AA79" s="272" t="s">
        <v>282</v>
      </c>
      <c r="AB79" s="272" t="s">
        <v>282</v>
      </c>
      <c r="AC79" s="272" t="s">
        <v>282</v>
      </c>
      <c r="AD79" s="272" t="s">
        <v>282</v>
      </c>
      <c r="AE79" s="272" t="s">
        <v>282</v>
      </c>
      <c r="AF79" s="272" t="s">
        <v>282</v>
      </c>
      <c r="AG79" s="272" t="s">
        <v>282</v>
      </c>
      <c r="AH79" s="272" t="s">
        <v>282</v>
      </c>
      <c r="AI79" s="272" t="s">
        <v>282</v>
      </c>
      <c r="AJ79" s="272" t="s">
        <v>282</v>
      </c>
      <c r="AK79" s="272" t="s">
        <v>282</v>
      </c>
      <c r="AL79" s="272" t="s">
        <v>282</v>
      </c>
      <c r="AM79" s="272" t="s">
        <v>282</v>
      </c>
      <c r="AN79" s="272" t="s">
        <v>282</v>
      </c>
      <c r="AO79" s="272" t="s">
        <v>282</v>
      </c>
      <c r="AP79" s="272" t="s">
        <v>282</v>
      </c>
      <c r="AQ79" s="272" t="s">
        <v>282</v>
      </c>
      <c r="AR79" s="272" t="s">
        <v>282</v>
      </c>
      <c r="AS79" s="272" t="s">
        <v>282</v>
      </c>
      <c r="AT79" s="272" t="s">
        <v>282</v>
      </c>
      <c r="AU79" s="272" t="s">
        <v>282</v>
      </c>
      <c r="AV79" s="272" t="s">
        <v>282</v>
      </c>
      <c r="AW79" s="272" t="s">
        <v>282</v>
      </c>
      <c r="AX79" s="272" t="s">
        <v>282</v>
      </c>
      <c r="AY79" s="272" t="s">
        <v>282</v>
      </c>
      <c r="AZ79" s="272" t="s">
        <v>282</v>
      </c>
      <c r="BA79" s="272" t="s">
        <v>282</v>
      </c>
      <c r="BB79" s="272" t="s">
        <v>282</v>
      </c>
      <c r="BC79" s="272" t="s">
        <v>282</v>
      </c>
      <c r="BD79" s="272" t="s">
        <v>282</v>
      </c>
      <c r="BE79" s="272" t="s">
        <v>282</v>
      </c>
      <c r="BF79" s="272" t="s">
        <v>282</v>
      </c>
      <c r="BG79" s="272" t="s">
        <v>282</v>
      </c>
      <c r="BH79" s="272" t="s">
        <v>282</v>
      </c>
      <c r="BI79" s="272" t="s">
        <v>282</v>
      </c>
      <c r="BJ79" s="272" t="s">
        <v>282</v>
      </c>
      <c r="BK79" s="272" t="s">
        <v>282</v>
      </c>
      <c r="BL79" s="272" t="s">
        <v>282</v>
      </c>
      <c r="BM79" s="272" t="s">
        <v>282</v>
      </c>
      <c r="BN79" s="272" t="s">
        <v>282</v>
      </c>
      <c r="BO79" s="272" t="s">
        <v>282</v>
      </c>
      <c r="BP79" s="272" t="s">
        <v>282</v>
      </c>
      <c r="BQ79" s="272" t="s">
        <v>282</v>
      </c>
      <c r="BR79" s="272" t="s">
        <v>282</v>
      </c>
      <c r="BS79" s="272" t="s">
        <v>282</v>
      </c>
      <c r="BT79" s="272" t="s">
        <v>282</v>
      </c>
      <c r="BU79" s="272" t="s">
        <v>282</v>
      </c>
      <c r="BV79" s="272" t="s">
        <v>282</v>
      </c>
      <c r="BW79" s="272" t="s">
        <v>282</v>
      </c>
      <c r="BX79" s="272" t="s">
        <v>282</v>
      </c>
      <c r="BY79" s="272" t="s">
        <v>282</v>
      </c>
      <c r="BZ79" s="272" t="s">
        <v>282</v>
      </c>
      <c r="CA79" s="272" t="s">
        <v>282</v>
      </c>
      <c r="CB79" s="272" t="s">
        <v>282</v>
      </c>
      <c r="CC79" s="272" t="s">
        <v>282</v>
      </c>
      <c r="CD79" s="272" t="s">
        <v>282</v>
      </c>
      <c r="CE79" s="31">
        <f t="shared" si="11"/>
        <v>0</v>
      </c>
    </row>
    <row r="80" spans="1:83" x14ac:dyDescent="0.25">
      <c r="A80" s="32" t="s">
        <v>264</v>
      </c>
      <c r="B80" s="19"/>
      <c r="C80" s="272" t="s">
        <v>282</v>
      </c>
      <c r="D80" s="272" t="s">
        <v>282</v>
      </c>
      <c r="E80" s="272" t="s">
        <v>282</v>
      </c>
      <c r="F80" s="272" t="s">
        <v>282</v>
      </c>
      <c r="G80" s="272" t="s">
        <v>282</v>
      </c>
      <c r="H80" s="272" t="s">
        <v>282</v>
      </c>
      <c r="I80" s="272" t="s">
        <v>282</v>
      </c>
      <c r="J80" s="272" t="s">
        <v>282</v>
      </c>
      <c r="K80" s="272" t="s">
        <v>282</v>
      </c>
      <c r="L80" s="272" t="s">
        <v>282</v>
      </c>
      <c r="M80" s="272" t="s">
        <v>282</v>
      </c>
      <c r="N80" s="272" t="s">
        <v>282</v>
      </c>
      <c r="O80" s="272" t="s">
        <v>282</v>
      </c>
      <c r="P80" s="272" t="s">
        <v>282</v>
      </c>
      <c r="Q80" s="272" t="s">
        <v>282</v>
      </c>
      <c r="R80" s="272" t="s">
        <v>282</v>
      </c>
      <c r="S80" s="272" t="s">
        <v>282</v>
      </c>
      <c r="T80" s="272" t="s">
        <v>282</v>
      </c>
      <c r="U80" s="272" t="s">
        <v>282</v>
      </c>
      <c r="V80" s="272" t="s">
        <v>282</v>
      </c>
      <c r="W80" s="272" t="s">
        <v>282</v>
      </c>
      <c r="X80" s="272" t="s">
        <v>282</v>
      </c>
      <c r="Y80" s="272" t="s">
        <v>282</v>
      </c>
      <c r="Z80" s="272" t="s">
        <v>282</v>
      </c>
      <c r="AA80" s="272" t="s">
        <v>282</v>
      </c>
      <c r="AB80" s="272" t="s">
        <v>282</v>
      </c>
      <c r="AC80" s="272" t="s">
        <v>282</v>
      </c>
      <c r="AD80" s="272" t="s">
        <v>282</v>
      </c>
      <c r="AE80" s="272" t="s">
        <v>282</v>
      </c>
      <c r="AF80" s="272" t="s">
        <v>282</v>
      </c>
      <c r="AG80" s="272" t="s">
        <v>282</v>
      </c>
      <c r="AH80" s="272" t="s">
        <v>282</v>
      </c>
      <c r="AI80" s="272" t="s">
        <v>282</v>
      </c>
      <c r="AJ80" s="272" t="s">
        <v>282</v>
      </c>
      <c r="AK80" s="272" t="s">
        <v>282</v>
      </c>
      <c r="AL80" s="272" t="s">
        <v>282</v>
      </c>
      <c r="AM80" s="272" t="s">
        <v>282</v>
      </c>
      <c r="AN80" s="272" t="s">
        <v>282</v>
      </c>
      <c r="AO80" s="272" t="s">
        <v>282</v>
      </c>
      <c r="AP80" s="272" t="s">
        <v>282</v>
      </c>
      <c r="AQ80" s="272" t="s">
        <v>282</v>
      </c>
      <c r="AR80" s="272" t="s">
        <v>282</v>
      </c>
      <c r="AS80" s="272" t="s">
        <v>282</v>
      </c>
      <c r="AT80" s="272" t="s">
        <v>282</v>
      </c>
      <c r="AU80" s="272" t="s">
        <v>282</v>
      </c>
      <c r="AV80" s="272" t="s">
        <v>282</v>
      </c>
      <c r="AW80" s="272" t="s">
        <v>282</v>
      </c>
      <c r="AX80" s="272" t="s">
        <v>282</v>
      </c>
      <c r="AY80" s="272" t="s">
        <v>282</v>
      </c>
      <c r="AZ80" s="272" t="s">
        <v>282</v>
      </c>
      <c r="BA80" s="272" t="s">
        <v>282</v>
      </c>
      <c r="BB80" s="272" t="s">
        <v>282</v>
      </c>
      <c r="BC80" s="272" t="s">
        <v>282</v>
      </c>
      <c r="BD80" s="272" t="s">
        <v>282</v>
      </c>
      <c r="BE80" s="272" t="s">
        <v>282</v>
      </c>
      <c r="BF80" s="272" t="s">
        <v>282</v>
      </c>
      <c r="BG80" s="272" t="s">
        <v>282</v>
      </c>
      <c r="BH80" s="272" t="s">
        <v>282</v>
      </c>
      <c r="BI80" s="272" t="s">
        <v>282</v>
      </c>
      <c r="BJ80" s="272" t="s">
        <v>282</v>
      </c>
      <c r="BK80" s="272" t="s">
        <v>282</v>
      </c>
      <c r="BL80" s="272" t="s">
        <v>282</v>
      </c>
      <c r="BM80" s="272" t="s">
        <v>282</v>
      </c>
      <c r="BN80" s="272" t="s">
        <v>282</v>
      </c>
      <c r="BO80" s="272" t="s">
        <v>282</v>
      </c>
      <c r="BP80" s="272" t="s">
        <v>282</v>
      </c>
      <c r="BQ80" s="272" t="s">
        <v>282</v>
      </c>
      <c r="BR80" s="272" t="s">
        <v>282</v>
      </c>
      <c r="BS80" s="272" t="s">
        <v>282</v>
      </c>
      <c r="BT80" s="272" t="s">
        <v>282</v>
      </c>
      <c r="BU80" s="272" t="s">
        <v>282</v>
      </c>
      <c r="BV80" s="272" t="s">
        <v>282</v>
      </c>
      <c r="BW80" s="272" t="s">
        <v>282</v>
      </c>
      <c r="BX80" s="272" t="s">
        <v>282</v>
      </c>
      <c r="BY80" s="272" t="s">
        <v>282</v>
      </c>
      <c r="BZ80" s="272" t="s">
        <v>282</v>
      </c>
      <c r="CA80" s="272" t="s">
        <v>282</v>
      </c>
      <c r="CB80" s="272" t="s">
        <v>282</v>
      </c>
      <c r="CC80" s="272" t="s">
        <v>282</v>
      </c>
      <c r="CD80" s="272" t="s">
        <v>282</v>
      </c>
      <c r="CE80" s="31">
        <f t="shared" si="11"/>
        <v>0</v>
      </c>
    </row>
    <row r="81" spans="1:84" x14ac:dyDescent="0.25">
      <c r="A81" s="32" t="s">
        <v>265</v>
      </c>
      <c r="B81" s="19"/>
      <c r="C81" s="272" t="s">
        <v>282</v>
      </c>
      <c r="D81" s="272" t="s">
        <v>282</v>
      </c>
      <c r="E81" s="272" t="s">
        <v>282</v>
      </c>
      <c r="F81" s="272" t="s">
        <v>282</v>
      </c>
      <c r="G81" s="272" t="s">
        <v>282</v>
      </c>
      <c r="H81" s="272" t="s">
        <v>282</v>
      </c>
      <c r="I81" s="272" t="s">
        <v>282</v>
      </c>
      <c r="J81" s="272" t="s">
        <v>282</v>
      </c>
      <c r="K81" s="272" t="s">
        <v>282</v>
      </c>
      <c r="L81" s="272" t="s">
        <v>282</v>
      </c>
      <c r="M81" s="272" t="s">
        <v>282</v>
      </c>
      <c r="N81" s="272" t="s">
        <v>282</v>
      </c>
      <c r="O81" s="272" t="s">
        <v>282</v>
      </c>
      <c r="P81" s="272" t="s">
        <v>282</v>
      </c>
      <c r="Q81" s="272" t="s">
        <v>282</v>
      </c>
      <c r="R81" s="272" t="s">
        <v>282</v>
      </c>
      <c r="S81" s="272" t="s">
        <v>282</v>
      </c>
      <c r="T81" s="272" t="s">
        <v>282</v>
      </c>
      <c r="U81" s="272" t="s">
        <v>282</v>
      </c>
      <c r="V81" s="272" t="s">
        <v>282</v>
      </c>
      <c r="W81" s="272" t="s">
        <v>282</v>
      </c>
      <c r="X81" s="272" t="s">
        <v>282</v>
      </c>
      <c r="Y81" s="272" t="s">
        <v>282</v>
      </c>
      <c r="Z81" s="272" t="s">
        <v>282</v>
      </c>
      <c r="AA81" s="272" t="s">
        <v>282</v>
      </c>
      <c r="AB81" s="272" t="s">
        <v>282</v>
      </c>
      <c r="AC81" s="272" t="s">
        <v>282</v>
      </c>
      <c r="AD81" s="272" t="s">
        <v>282</v>
      </c>
      <c r="AE81" s="272" t="s">
        <v>282</v>
      </c>
      <c r="AF81" s="272" t="s">
        <v>282</v>
      </c>
      <c r="AG81" s="272" t="s">
        <v>282</v>
      </c>
      <c r="AH81" s="272" t="s">
        <v>282</v>
      </c>
      <c r="AI81" s="272" t="s">
        <v>282</v>
      </c>
      <c r="AJ81" s="272" t="s">
        <v>282</v>
      </c>
      <c r="AK81" s="272" t="s">
        <v>282</v>
      </c>
      <c r="AL81" s="272" t="s">
        <v>282</v>
      </c>
      <c r="AM81" s="272" t="s">
        <v>282</v>
      </c>
      <c r="AN81" s="272" t="s">
        <v>282</v>
      </c>
      <c r="AO81" s="272" t="s">
        <v>282</v>
      </c>
      <c r="AP81" s="272" t="s">
        <v>282</v>
      </c>
      <c r="AQ81" s="272" t="s">
        <v>282</v>
      </c>
      <c r="AR81" s="272" t="s">
        <v>282</v>
      </c>
      <c r="AS81" s="272" t="s">
        <v>282</v>
      </c>
      <c r="AT81" s="272" t="s">
        <v>282</v>
      </c>
      <c r="AU81" s="272" t="s">
        <v>282</v>
      </c>
      <c r="AV81" s="272" t="s">
        <v>282</v>
      </c>
      <c r="AW81" s="272" t="s">
        <v>282</v>
      </c>
      <c r="AX81" s="272" t="s">
        <v>282</v>
      </c>
      <c r="AY81" s="272" t="s">
        <v>282</v>
      </c>
      <c r="AZ81" s="272" t="s">
        <v>282</v>
      </c>
      <c r="BA81" s="272" t="s">
        <v>282</v>
      </c>
      <c r="BB81" s="272" t="s">
        <v>282</v>
      </c>
      <c r="BC81" s="272" t="s">
        <v>282</v>
      </c>
      <c r="BD81" s="272" t="s">
        <v>282</v>
      </c>
      <c r="BE81" s="272" t="s">
        <v>282</v>
      </c>
      <c r="BF81" s="272" t="s">
        <v>282</v>
      </c>
      <c r="BG81" s="272" t="s">
        <v>282</v>
      </c>
      <c r="BH81" s="272" t="s">
        <v>282</v>
      </c>
      <c r="BI81" s="272" t="s">
        <v>282</v>
      </c>
      <c r="BJ81" s="272" t="s">
        <v>282</v>
      </c>
      <c r="BK81" s="272" t="s">
        <v>282</v>
      </c>
      <c r="BL81" s="272" t="s">
        <v>282</v>
      </c>
      <c r="BM81" s="272" t="s">
        <v>282</v>
      </c>
      <c r="BN81" s="272" t="s">
        <v>282</v>
      </c>
      <c r="BO81" s="272" t="s">
        <v>282</v>
      </c>
      <c r="BP81" s="272" t="s">
        <v>282</v>
      </c>
      <c r="BQ81" s="272" t="s">
        <v>282</v>
      </c>
      <c r="BR81" s="272" t="s">
        <v>282</v>
      </c>
      <c r="BS81" s="272" t="s">
        <v>282</v>
      </c>
      <c r="BT81" s="272" t="s">
        <v>282</v>
      </c>
      <c r="BU81" s="272" t="s">
        <v>282</v>
      </c>
      <c r="BV81" s="272" t="s">
        <v>282</v>
      </c>
      <c r="BW81" s="272" t="s">
        <v>282</v>
      </c>
      <c r="BX81" s="272" t="s">
        <v>282</v>
      </c>
      <c r="BY81" s="272" t="s">
        <v>282</v>
      </c>
      <c r="BZ81" s="272" t="s">
        <v>282</v>
      </c>
      <c r="CA81" s="272" t="s">
        <v>282</v>
      </c>
      <c r="CB81" s="272" t="s">
        <v>282</v>
      </c>
      <c r="CC81" s="272" t="s">
        <v>282</v>
      </c>
      <c r="CD81" s="272" t="s">
        <v>282</v>
      </c>
      <c r="CE81" s="31">
        <f t="shared" si="11"/>
        <v>0</v>
      </c>
    </row>
    <row r="82" spans="1:84" x14ac:dyDescent="0.25">
      <c r="A82" s="32" t="s">
        <v>266</v>
      </c>
      <c r="B82" s="19"/>
      <c r="C82" s="272" t="s">
        <v>282</v>
      </c>
      <c r="D82" s="272" t="s">
        <v>282</v>
      </c>
      <c r="E82" s="272" t="s">
        <v>282</v>
      </c>
      <c r="F82" s="272" t="s">
        <v>282</v>
      </c>
      <c r="G82" s="272" t="s">
        <v>282</v>
      </c>
      <c r="H82" s="272" t="s">
        <v>282</v>
      </c>
      <c r="I82" s="272" t="s">
        <v>282</v>
      </c>
      <c r="J82" s="272" t="s">
        <v>282</v>
      </c>
      <c r="K82" s="272" t="s">
        <v>282</v>
      </c>
      <c r="L82" s="272" t="s">
        <v>282</v>
      </c>
      <c r="M82" s="272" t="s">
        <v>282</v>
      </c>
      <c r="N82" s="272" t="s">
        <v>282</v>
      </c>
      <c r="O82" s="272" t="s">
        <v>282</v>
      </c>
      <c r="P82" s="272" t="s">
        <v>282</v>
      </c>
      <c r="Q82" s="272" t="s">
        <v>282</v>
      </c>
      <c r="R82" s="272" t="s">
        <v>282</v>
      </c>
      <c r="S82" s="272" t="s">
        <v>282</v>
      </c>
      <c r="T82" s="272" t="s">
        <v>282</v>
      </c>
      <c r="U82" s="272" t="s">
        <v>282</v>
      </c>
      <c r="V82" s="272" t="s">
        <v>282</v>
      </c>
      <c r="W82" s="272" t="s">
        <v>282</v>
      </c>
      <c r="X82" s="272" t="s">
        <v>282</v>
      </c>
      <c r="Y82" s="272" t="s">
        <v>282</v>
      </c>
      <c r="Z82" s="272" t="s">
        <v>282</v>
      </c>
      <c r="AA82" s="272" t="s">
        <v>282</v>
      </c>
      <c r="AB82" s="272" t="s">
        <v>282</v>
      </c>
      <c r="AC82" s="272" t="s">
        <v>282</v>
      </c>
      <c r="AD82" s="272" t="s">
        <v>282</v>
      </c>
      <c r="AE82" s="272" t="s">
        <v>282</v>
      </c>
      <c r="AF82" s="272" t="s">
        <v>282</v>
      </c>
      <c r="AG82" s="272" t="s">
        <v>282</v>
      </c>
      <c r="AH82" s="272" t="s">
        <v>282</v>
      </c>
      <c r="AI82" s="272" t="s">
        <v>282</v>
      </c>
      <c r="AJ82" s="272" t="s">
        <v>282</v>
      </c>
      <c r="AK82" s="272" t="s">
        <v>282</v>
      </c>
      <c r="AL82" s="272" t="s">
        <v>282</v>
      </c>
      <c r="AM82" s="272" t="s">
        <v>282</v>
      </c>
      <c r="AN82" s="272" t="s">
        <v>282</v>
      </c>
      <c r="AO82" s="272" t="s">
        <v>282</v>
      </c>
      <c r="AP82" s="272" t="s">
        <v>282</v>
      </c>
      <c r="AQ82" s="272" t="s">
        <v>282</v>
      </c>
      <c r="AR82" s="272" t="s">
        <v>282</v>
      </c>
      <c r="AS82" s="272" t="s">
        <v>282</v>
      </c>
      <c r="AT82" s="272" t="s">
        <v>282</v>
      </c>
      <c r="AU82" s="272" t="s">
        <v>282</v>
      </c>
      <c r="AV82" s="272" t="s">
        <v>282</v>
      </c>
      <c r="AW82" s="272" t="s">
        <v>282</v>
      </c>
      <c r="AX82" s="272" t="s">
        <v>282</v>
      </c>
      <c r="AY82" s="272" t="s">
        <v>282</v>
      </c>
      <c r="AZ82" s="272" t="s">
        <v>282</v>
      </c>
      <c r="BA82" s="272" t="s">
        <v>282</v>
      </c>
      <c r="BB82" s="272" t="s">
        <v>282</v>
      </c>
      <c r="BC82" s="272" t="s">
        <v>282</v>
      </c>
      <c r="BD82" s="272" t="s">
        <v>282</v>
      </c>
      <c r="BE82" s="272" t="s">
        <v>282</v>
      </c>
      <c r="BF82" s="272" t="s">
        <v>282</v>
      </c>
      <c r="BG82" s="272" t="s">
        <v>282</v>
      </c>
      <c r="BH82" s="272" t="s">
        <v>282</v>
      </c>
      <c r="BI82" s="272" t="s">
        <v>282</v>
      </c>
      <c r="BJ82" s="272" t="s">
        <v>282</v>
      </c>
      <c r="BK82" s="272" t="s">
        <v>282</v>
      </c>
      <c r="BL82" s="272" t="s">
        <v>282</v>
      </c>
      <c r="BM82" s="272" t="s">
        <v>282</v>
      </c>
      <c r="BN82" s="272" t="s">
        <v>282</v>
      </c>
      <c r="BO82" s="272" t="s">
        <v>282</v>
      </c>
      <c r="BP82" s="272" t="s">
        <v>282</v>
      </c>
      <c r="BQ82" s="272" t="s">
        <v>282</v>
      </c>
      <c r="BR82" s="272" t="s">
        <v>282</v>
      </c>
      <c r="BS82" s="272" t="s">
        <v>282</v>
      </c>
      <c r="BT82" s="272" t="s">
        <v>282</v>
      </c>
      <c r="BU82" s="272" t="s">
        <v>282</v>
      </c>
      <c r="BV82" s="272" t="s">
        <v>282</v>
      </c>
      <c r="BW82" s="272" t="s">
        <v>282</v>
      </c>
      <c r="BX82" s="272" t="s">
        <v>282</v>
      </c>
      <c r="BY82" s="272" t="s">
        <v>282</v>
      </c>
      <c r="BZ82" s="272" t="s">
        <v>282</v>
      </c>
      <c r="CA82" s="272" t="s">
        <v>282</v>
      </c>
      <c r="CB82" s="272" t="s">
        <v>282</v>
      </c>
      <c r="CC82" s="272" t="s">
        <v>282</v>
      </c>
      <c r="CD82" s="272" t="s">
        <v>282</v>
      </c>
      <c r="CE82" s="31">
        <f t="shared" si="11"/>
        <v>0</v>
      </c>
    </row>
    <row r="83" spans="1:84" x14ac:dyDescent="0.25">
      <c r="A83" s="32" t="s">
        <v>267</v>
      </c>
      <c r="B83" s="19"/>
      <c r="C83" s="272" t="s">
        <v>282</v>
      </c>
      <c r="D83" s="272" t="s">
        <v>282</v>
      </c>
      <c r="E83" s="272" t="s">
        <v>282</v>
      </c>
      <c r="F83" s="272" t="s">
        <v>282</v>
      </c>
      <c r="G83" s="272" t="s">
        <v>282</v>
      </c>
      <c r="H83" s="272" t="s">
        <v>282</v>
      </c>
      <c r="I83" s="272" t="s">
        <v>282</v>
      </c>
      <c r="J83" s="272" t="s">
        <v>282</v>
      </c>
      <c r="K83" s="272" t="s">
        <v>282</v>
      </c>
      <c r="L83" s="272" t="s">
        <v>282</v>
      </c>
      <c r="M83" s="272" t="s">
        <v>282</v>
      </c>
      <c r="N83" s="272" t="s">
        <v>282</v>
      </c>
      <c r="O83" s="272" t="s">
        <v>282</v>
      </c>
      <c r="P83" s="272" t="s">
        <v>282</v>
      </c>
      <c r="Q83" s="272" t="s">
        <v>282</v>
      </c>
      <c r="R83" s="272" t="s">
        <v>282</v>
      </c>
      <c r="S83" s="272" t="s">
        <v>282</v>
      </c>
      <c r="T83" s="272" t="s">
        <v>282</v>
      </c>
      <c r="U83" s="272" t="s">
        <v>282</v>
      </c>
      <c r="V83" s="272" t="s">
        <v>282</v>
      </c>
      <c r="W83" s="272" t="s">
        <v>282</v>
      </c>
      <c r="X83" s="272" t="s">
        <v>282</v>
      </c>
      <c r="Y83" s="272" t="s">
        <v>282</v>
      </c>
      <c r="Z83" s="272" t="s">
        <v>282</v>
      </c>
      <c r="AA83" s="272" t="s">
        <v>282</v>
      </c>
      <c r="AB83" s="272" t="s">
        <v>282</v>
      </c>
      <c r="AC83" s="272" t="s">
        <v>282</v>
      </c>
      <c r="AD83" s="272" t="s">
        <v>282</v>
      </c>
      <c r="AE83" s="272" t="s">
        <v>282</v>
      </c>
      <c r="AF83" s="272" t="s">
        <v>282</v>
      </c>
      <c r="AG83" s="272" t="s">
        <v>282</v>
      </c>
      <c r="AH83" s="272" t="s">
        <v>282</v>
      </c>
      <c r="AI83" s="272" t="s">
        <v>282</v>
      </c>
      <c r="AJ83" s="272" t="s">
        <v>282</v>
      </c>
      <c r="AK83" s="272" t="s">
        <v>282</v>
      </c>
      <c r="AL83" s="272" t="s">
        <v>282</v>
      </c>
      <c r="AM83" s="272" t="s">
        <v>282</v>
      </c>
      <c r="AN83" s="272" t="s">
        <v>282</v>
      </c>
      <c r="AO83" s="272" t="s">
        <v>282</v>
      </c>
      <c r="AP83" s="272" t="s">
        <v>282</v>
      </c>
      <c r="AQ83" s="272" t="s">
        <v>282</v>
      </c>
      <c r="AR83" s="272" t="s">
        <v>282</v>
      </c>
      <c r="AS83" s="272" t="s">
        <v>282</v>
      </c>
      <c r="AT83" s="272" t="s">
        <v>282</v>
      </c>
      <c r="AU83" s="272" t="s">
        <v>282</v>
      </c>
      <c r="AV83" s="272" t="s">
        <v>282</v>
      </c>
      <c r="AW83" s="272" t="s">
        <v>282</v>
      </c>
      <c r="AX83" s="272" t="s">
        <v>282</v>
      </c>
      <c r="AY83" s="272" t="s">
        <v>282</v>
      </c>
      <c r="AZ83" s="272" t="s">
        <v>282</v>
      </c>
      <c r="BA83" s="272" t="s">
        <v>282</v>
      </c>
      <c r="BB83" s="272" t="s">
        <v>282</v>
      </c>
      <c r="BC83" s="272" t="s">
        <v>282</v>
      </c>
      <c r="BD83" s="272" t="s">
        <v>282</v>
      </c>
      <c r="BE83" s="272" t="s">
        <v>282</v>
      </c>
      <c r="BF83" s="272" t="s">
        <v>282</v>
      </c>
      <c r="BG83" s="272" t="s">
        <v>282</v>
      </c>
      <c r="BH83" s="272" t="s">
        <v>282</v>
      </c>
      <c r="BI83" s="272" t="s">
        <v>282</v>
      </c>
      <c r="BJ83" s="272" t="s">
        <v>282</v>
      </c>
      <c r="BK83" s="272" t="s">
        <v>282</v>
      </c>
      <c r="BL83" s="272" t="s">
        <v>282</v>
      </c>
      <c r="BM83" s="272" t="s">
        <v>282</v>
      </c>
      <c r="BN83" s="272" t="s">
        <v>282</v>
      </c>
      <c r="BO83" s="272" t="s">
        <v>282</v>
      </c>
      <c r="BP83" s="272" t="s">
        <v>282</v>
      </c>
      <c r="BQ83" s="272" t="s">
        <v>282</v>
      </c>
      <c r="BR83" s="272" t="s">
        <v>282</v>
      </c>
      <c r="BS83" s="272" t="s">
        <v>282</v>
      </c>
      <c r="BT83" s="272" t="s">
        <v>282</v>
      </c>
      <c r="BU83" s="272" t="s">
        <v>282</v>
      </c>
      <c r="BV83" s="272" t="s">
        <v>282</v>
      </c>
      <c r="BW83" s="272" t="s">
        <v>282</v>
      </c>
      <c r="BX83" s="272" t="s">
        <v>282</v>
      </c>
      <c r="BY83" s="272" t="s">
        <v>282</v>
      </c>
      <c r="BZ83" s="272" t="s">
        <v>282</v>
      </c>
      <c r="CA83" s="272" t="s">
        <v>282</v>
      </c>
      <c r="CB83" s="272" t="s">
        <v>282</v>
      </c>
      <c r="CC83" s="272" t="s">
        <v>282</v>
      </c>
      <c r="CD83" s="272" t="s">
        <v>282</v>
      </c>
      <c r="CE83" s="31">
        <f t="shared" si="11"/>
        <v>0</v>
      </c>
    </row>
    <row r="84" spans="1:84" x14ac:dyDescent="0.25">
      <c r="A84" s="32" t="s">
        <v>268</v>
      </c>
      <c r="B84" s="19"/>
      <c r="C84" s="23">
        <v>11059.329999999998</v>
      </c>
      <c r="D84" s="23">
        <v>11096.31</v>
      </c>
      <c r="E84" s="29">
        <v>15187.97</v>
      </c>
      <c r="F84" s="29">
        <v>39722.799999999996</v>
      </c>
      <c r="G84" s="23">
        <v>9418.84</v>
      </c>
      <c r="H84" s="23"/>
      <c r="I84" s="29">
        <v>0</v>
      </c>
      <c r="J84" s="29"/>
      <c r="K84" s="29"/>
      <c r="L84" s="29"/>
      <c r="M84" s="23">
        <v>42937.259999999995</v>
      </c>
      <c r="N84" s="23">
        <v>207195.55</v>
      </c>
      <c r="O84" s="23">
        <v>10379.61</v>
      </c>
      <c r="P84" s="29">
        <v>16550.5</v>
      </c>
      <c r="Q84" s="29">
        <v>4923.83</v>
      </c>
      <c r="R84" s="30">
        <v>550</v>
      </c>
      <c r="S84" s="29">
        <v>5243.85</v>
      </c>
      <c r="T84" s="23">
        <v>0</v>
      </c>
      <c r="U84" s="29">
        <v>53386.45</v>
      </c>
      <c r="V84" s="29">
        <v>0</v>
      </c>
      <c r="W84" s="23">
        <v>2874.5</v>
      </c>
      <c r="X84" s="29">
        <v>5044.75</v>
      </c>
      <c r="Y84" s="29">
        <v>87132.779999999984</v>
      </c>
      <c r="Z84" s="29">
        <v>32426.89</v>
      </c>
      <c r="AA84" s="29">
        <v>9263</v>
      </c>
      <c r="AB84" s="29">
        <v>29028.620000000003</v>
      </c>
      <c r="AC84" s="29">
        <v>328.23</v>
      </c>
      <c r="AD84" s="29">
        <v>0</v>
      </c>
      <c r="AE84" s="29">
        <v>26049.399999999998</v>
      </c>
      <c r="AF84" s="29"/>
      <c r="AG84" s="29">
        <v>18702.949999999997</v>
      </c>
      <c r="AH84" s="29">
        <v>0</v>
      </c>
      <c r="AI84" s="29">
        <v>0</v>
      </c>
      <c r="AJ84" s="29">
        <v>1094384.1399999999</v>
      </c>
      <c r="AK84" s="29">
        <v>0</v>
      </c>
      <c r="AL84" s="29"/>
      <c r="AM84" s="29"/>
      <c r="AN84" s="29"/>
      <c r="AO84" s="23"/>
      <c r="AP84" s="29">
        <v>1053389.3000000003</v>
      </c>
      <c r="AQ84" s="23"/>
      <c r="AR84" s="23">
        <v>1369810.18</v>
      </c>
      <c r="AS84" s="23">
        <v>0</v>
      </c>
      <c r="AT84" s="23"/>
      <c r="AU84" s="29"/>
      <c r="AV84" s="29">
        <v>5404.29</v>
      </c>
      <c r="AW84" s="29">
        <v>76617.429999999993</v>
      </c>
      <c r="AX84" s="29">
        <v>1991.69</v>
      </c>
      <c r="AY84" s="29"/>
      <c r="AZ84" s="29">
        <v>19.75</v>
      </c>
      <c r="BA84" s="29">
        <v>0</v>
      </c>
      <c r="BB84" s="29">
        <v>0</v>
      </c>
      <c r="BC84" s="29">
        <v>0</v>
      </c>
      <c r="BD84" s="29">
        <v>258870.65000000002</v>
      </c>
      <c r="BE84" s="29">
        <v>193488.41</v>
      </c>
      <c r="BF84" s="29">
        <v>1646.76</v>
      </c>
      <c r="BG84" s="29">
        <v>0</v>
      </c>
      <c r="BH84" s="30">
        <v>35976.549999999996</v>
      </c>
      <c r="BI84" s="29">
        <v>26537.799999999996</v>
      </c>
      <c r="BJ84" s="29">
        <v>1265</v>
      </c>
      <c r="BK84" s="29">
        <v>1343.7</v>
      </c>
      <c r="BL84" s="29">
        <v>918.99</v>
      </c>
      <c r="BM84" s="29">
        <v>35474.550000000003</v>
      </c>
      <c r="BN84" s="29">
        <v>807447.07</v>
      </c>
      <c r="BO84" s="29">
        <v>1136.01</v>
      </c>
      <c r="BP84" s="29">
        <v>4672.58</v>
      </c>
      <c r="BQ84" s="29">
        <v>0</v>
      </c>
      <c r="BR84" s="29">
        <v>8411.8799999999992</v>
      </c>
      <c r="BS84" s="29">
        <v>3406.19</v>
      </c>
      <c r="BT84" s="29">
        <v>0</v>
      </c>
      <c r="BU84" s="29">
        <v>246032.7</v>
      </c>
      <c r="BV84" s="29">
        <v>3927.77</v>
      </c>
      <c r="BW84" s="29">
        <v>6945</v>
      </c>
      <c r="BX84" s="29">
        <v>18579.599999999999</v>
      </c>
      <c r="BY84" s="29">
        <v>21557</v>
      </c>
      <c r="BZ84" s="29">
        <v>515</v>
      </c>
      <c r="CA84" s="29">
        <v>350816.1</v>
      </c>
      <c r="CB84" s="29">
        <v>1902.7</v>
      </c>
      <c r="CC84" s="29">
        <v>5560239.8600000003</v>
      </c>
      <c r="CD84" s="34">
        <v>9869834.3200000003</v>
      </c>
      <c r="CE84" s="31">
        <f t="shared" si="11"/>
        <v>21701066.390000001</v>
      </c>
    </row>
    <row r="85" spans="1:84" x14ac:dyDescent="0.25">
      <c r="A85" s="38" t="s">
        <v>269</v>
      </c>
      <c r="B85" s="19"/>
      <c r="C85" s="212">
        <v>44850.53</v>
      </c>
      <c r="D85" s="212">
        <v>0</v>
      </c>
      <c r="E85" s="212">
        <v>49.92</v>
      </c>
      <c r="F85" s="212">
        <v>0</v>
      </c>
      <c r="G85" s="212">
        <v>0</v>
      </c>
      <c r="H85" s="212"/>
      <c r="I85" s="212">
        <v>0</v>
      </c>
      <c r="J85" s="212"/>
      <c r="K85" s="212"/>
      <c r="L85" s="212"/>
      <c r="M85" s="212">
        <v>873391.55</v>
      </c>
      <c r="N85" s="212">
        <v>35373.14</v>
      </c>
      <c r="O85" s="212">
        <v>7706.01</v>
      </c>
      <c r="P85" s="212">
        <v>42.3</v>
      </c>
      <c r="Q85" s="212">
        <v>0</v>
      </c>
      <c r="R85" s="212">
        <v>0</v>
      </c>
      <c r="S85" s="212">
        <v>0</v>
      </c>
      <c r="T85" s="212">
        <v>0</v>
      </c>
      <c r="U85" s="212">
        <v>859617.06</v>
      </c>
      <c r="V85" s="212">
        <v>2855.47</v>
      </c>
      <c r="W85" s="212">
        <v>0</v>
      </c>
      <c r="X85" s="212">
        <v>0</v>
      </c>
      <c r="Y85" s="212">
        <v>62254.87</v>
      </c>
      <c r="Z85" s="212">
        <v>14086.02</v>
      </c>
      <c r="AA85" s="212">
        <v>0</v>
      </c>
      <c r="AB85" s="212">
        <v>2243.4699999999998</v>
      </c>
      <c r="AC85" s="212">
        <v>0</v>
      </c>
      <c r="AD85" s="212">
        <v>0</v>
      </c>
      <c r="AE85" s="212">
        <v>2685</v>
      </c>
      <c r="AF85" s="212"/>
      <c r="AG85" s="212">
        <v>459.15</v>
      </c>
      <c r="AH85" s="212">
        <v>0</v>
      </c>
      <c r="AI85" s="212">
        <v>0</v>
      </c>
      <c r="AJ85" s="212">
        <v>3266478.32</v>
      </c>
      <c r="AK85" s="212">
        <v>0</v>
      </c>
      <c r="AL85" s="212"/>
      <c r="AM85" s="212"/>
      <c r="AN85" s="212"/>
      <c r="AO85" s="212"/>
      <c r="AP85" s="212">
        <v>2990682.62</v>
      </c>
      <c r="AQ85" s="212"/>
      <c r="AR85" s="212">
        <v>303423.09000000003</v>
      </c>
      <c r="AS85" s="212">
        <v>0</v>
      </c>
      <c r="AT85" s="212"/>
      <c r="AU85" s="212"/>
      <c r="AV85" s="212">
        <v>8247510.29</v>
      </c>
      <c r="AW85" s="212">
        <v>4231695.1500000004</v>
      </c>
      <c r="AX85" s="212">
        <v>0</v>
      </c>
      <c r="AY85" s="212"/>
      <c r="AZ85" s="212">
        <v>1607808.92</v>
      </c>
      <c r="BA85" s="212">
        <v>0</v>
      </c>
      <c r="BB85" s="212">
        <v>0</v>
      </c>
      <c r="BC85" s="212">
        <v>0</v>
      </c>
      <c r="BD85" s="212">
        <v>0</v>
      </c>
      <c r="BE85" s="212">
        <v>6955847.5599999996</v>
      </c>
      <c r="BF85" s="212">
        <v>7052.28</v>
      </c>
      <c r="BG85" s="212">
        <v>256298.79</v>
      </c>
      <c r="BH85" s="212">
        <v>63819.4</v>
      </c>
      <c r="BI85" s="212">
        <v>4088789.61</v>
      </c>
      <c r="BJ85" s="212">
        <v>146174.70000000001</v>
      </c>
      <c r="BK85" s="212">
        <v>20020</v>
      </c>
      <c r="BL85" s="212">
        <v>502767.01</v>
      </c>
      <c r="BM85" s="212">
        <v>0</v>
      </c>
      <c r="BN85" s="212">
        <v>0</v>
      </c>
      <c r="BO85" s="212">
        <v>20</v>
      </c>
      <c r="BP85" s="212">
        <v>0</v>
      </c>
      <c r="BQ85" s="212">
        <v>0</v>
      </c>
      <c r="BR85" s="212">
        <v>94.21</v>
      </c>
      <c r="BS85" s="212">
        <v>423081.63</v>
      </c>
      <c r="BT85" s="212">
        <v>49.87</v>
      </c>
      <c r="BU85" s="212">
        <v>15000</v>
      </c>
      <c r="BV85" s="212">
        <v>2752.79</v>
      </c>
      <c r="BW85" s="212">
        <v>111799.36</v>
      </c>
      <c r="BX85" s="212">
        <v>1081441.53</v>
      </c>
      <c r="BY85" s="212">
        <v>657.5</v>
      </c>
      <c r="BZ85" s="212">
        <v>0</v>
      </c>
      <c r="CA85" s="212">
        <v>0</v>
      </c>
      <c r="CB85" s="212">
        <v>1302787.25</v>
      </c>
      <c r="CC85" s="212">
        <v>14736507.529999999</v>
      </c>
      <c r="CD85" s="34">
        <v>731326.19</v>
      </c>
      <c r="CE85" s="31">
        <f t="shared" si="11"/>
        <v>52999500.090000004</v>
      </c>
    </row>
    <row r="86" spans="1:84" x14ac:dyDescent="0.25">
      <c r="A86" s="38" t="s">
        <v>270</v>
      </c>
      <c r="B86" s="31"/>
      <c r="C86" s="31">
        <f>SUM(C62:C70)-C85</f>
        <v>23799689.959999993</v>
      </c>
      <c r="D86" s="31">
        <f t="shared" ref="D86:BO86" si="12">SUM(D62:D70)-D85</f>
        <v>11995408.549999999</v>
      </c>
      <c r="E86" s="31">
        <f t="shared" si="12"/>
        <v>41762422.419999979</v>
      </c>
      <c r="F86" s="31">
        <f t="shared" si="12"/>
        <v>1412464.8700000003</v>
      </c>
      <c r="G86" s="31">
        <f t="shared" si="12"/>
        <v>2750175.3599999994</v>
      </c>
      <c r="H86" s="31">
        <f t="shared" si="12"/>
        <v>0</v>
      </c>
      <c r="I86" s="31">
        <f t="shared" si="12"/>
        <v>0</v>
      </c>
      <c r="J86" s="31">
        <f t="shared" si="12"/>
        <v>0</v>
      </c>
      <c r="K86" s="31">
        <f t="shared" si="12"/>
        <v>0</v>
      </c>
      <c r="L86" s="31">
        <f t="shared" si="12"/>
        <v>0</v>
      </c>
      <c r="M86" s="31">
        <f t="shared" si="12"/>
        <v>6123052.6299999999</v>
      </c>
      <c r="N86" s="31">
        <f t="shared" si="12"/>
        <v>20356249.569999993</v>
      </c>
      <c r="O86" s="31">
        <f t="shared" si="12"/>
        <v>29547383.460000001</v>
      </c>
      <c r="P86" s="31">
        <f t="shared" si="12"/>
        <v>56825268.649999999</v>
      </c>
      <c r="Q86" s="31">
        <f t="shared" si="12"/>
        <v>8410713.4199999999</v>
      </c>
      <c r="R86" s="31">
        <f t="shared" si="12"/>
        <v>1352621.2000000002</v>
      </c>
      <c r="S86" s="31">
        <f t="shared" si="12"/>
        <v>2895057.5500000003</v>
      </c>
      <c r="T86" s="31">
        <f t="shared" si="12"/>
        <v>0</v>
      </c>
      <c r="U86" s="31">
        <f t="shared" si="12"/>
        <v>21083474.649999999</v>
      </c>
      <c r="V86" s="31">
        <f t="shared" si="12"/>
        <v>243226.63</v>
      </c>
      <c r="W86" s="31">
        <f t="shared" si="12"/>
        <v>1458195.6599999997</v>
      </c>
      <c r="X86" s="31">
        <f t="shared" si="12"/>
        <v>2800255.38</v>
      </c>
      <c r="Y86" s="31">
        <f t="shared" si="12"/>
        <v>35213275.070000008</v>
      </c>
      <c r="Z86" s="31">
        <f t="shared" si="12"/>
        <v>7987001.5799999991</v>
      </c>
      <c r="AA86" s="31">
        <f t="shared" si="12"/>
        <v>1027008.3300000002</v>
      </c>
      <c r="AB86" s="31">
        <f t="shared" si="12"/>
        <v>25508689.520000011</v>
      </c>
      <c r="AC86" s="31">
        <f t="shared" si="12"/>
        <v>3632417.81</v>
      </c>
      <c r="AD86" s="31">
        <f t="shared" si="12"/>
        <v>0</v>
      </c>
      <c r="AE86" s="31">
        <f t="shared" si="12"/>
        <v>7393320.6500000013</v>
      </c>
      <c r="AF86" s="31">
        <f t="shared" si="12"/>
        <v>0</v>
      </c>
      <c r="AG86" s="31">
        <f t="shared" si="12"/>
        <v>18671980.219999999</v>
      </c>
      <c r="AH86" s="31">
        <f t="shared" si="12"/>
        <v>0</v>
      </c>
      <c r="AI86" s="31">
        <f t="shared" si="12"/>
        <v>0</v>
      </c>
      <c r="AJ86" s="31">
        <f t="shared" si="12"/>
        <v>100109262.19000001</v>
      </c>
      <c r="AK86" s="31">
        <f t="shared" si="12"/>
        <v>0</v>
      </c>
      <c r="AL86" s="31">
        <f t="shared" si="12"/>
        <v>0</v>
      </c>
      <c r="AM86" s="31">
        <f t="shared" si="12"/>
        <v>0</v>
      </c>
      <c r="AN86" s="31">
        <f t="shared" si="12"/>
        <v>0</v>
      </c>
      <c r="AO86" s="31">
        <f t="shared" si="12"/>
        <v>0</v>
      </c>
      <c r="AP86" s="31">
        <f t="shared" si="12"/>
        <v>79820872.239999995</v>
      </c>
      <c r="AQ86" s="31">
        <f t="shared" si="12"/>
        <v>0</v>
      </c>
      <c r="AR86" s="31">
        <f t="shared" si="12"/>
        <v>71372341.429999992</v>
      </c>
      <c r="AS86" s="31">
        <f t="shared" si="12"/>
        <v>0</v>
      </c>
      <c r="AT86" s="31">
        <f t="shared" si="12"/>
        <v>0</v>
      </c>
      <c r="AU86" s="31">
        <f t="shared" si="12"/>
        <v>0</v>
      </c>
      <c r="AV86" s="31">
        <f t="shared" si="12"/>
        <v>4339394.4700000016</v>
      </c>
      <c r="AW86" s="31">
        <f t="shared" si="12"/>
        <v>-1592350.4900000002</v>
      </c>
      <c r="AX86" s="31">
        <f t="shared" si="12"/>
        <v>4731566.4300000006</v>
      </c>
      <c r="AY86" s="31">
        <f t="shared" si="12"/>
        <v>0</v>
      </c>
      <c r="AZ86" s="31">
        <f t="shared" si="12"/>
        <v>4125014.4799999995</v>
      </c>
      <c r="BA86" s="31">
        <f t="shared" si="12"/>
        <v>1241680.3500000001</v>
      </c>
      <c r="BB86" s="31">
        <f t="shared" si="12"/>
        <v>376507.22</v>
      </c>
      <c r="BC86" s="31">
        <f t="shared" si="12"/>
        <v>490955.84</v>
      </c>
      <c r="BD86" s="31">
        <f t="shared" si="12"/>
        <v>9480990.5800000001</v>
      </c>
      <c r="BE86" s="31">
        <f t="shared" si="12"/>
        <v>9730138.7699999996</v>
      </c>
      <c r="BF86" s="31">
        <f t="shared" si="12"/>
        <v>6375912.0799999991</v>
      </c>
      <c r="BG86" s="31">
        <f t="shared" si="12"/>
        <v>2696893.66</v>
      </c>
      <c r="BH86" s="31">
        <f t="shared" si="12"/>
        <v>39890939.25</v>
      </c>
      <c r="BI86" s="31">
        <f t="shared" si="12"/>
        <v>6604985.7800000012</v>
      </c>
      <c r="BJ86" s="31">
        <f t="shared" si="12"/>
        <v>2356091.35</v>
      </c>
      <c r="BK86" s="31">
        <f t="shared" si="12"/>
        <v>10305075.460000001</v>
      </c>
      <c r="BL86" s="31">
        <f t="shared" si="12"/>
        <v>5925287.3799999999</v>
      </c>
      <c r="BM86" s="31">
        <f t="shared" si="12"/>
        <v>5345751.5200000005</v>
      </c>
      <c r="BN86" s="31">
        <f t="shared" si="12"/>
        <v>12954862.439999999</v>
      </c>
      <c r="BO86" s="31">
        <f t="shared" si="12"/>
        <v>1579781.26</v>
      </c>
      <c r="BP86" s="31">
        <f t="shared" ref="BP86:CD86" si="13">SUM(BP62:BP70)-BP85</f>
        <v>7161145.7800000003</v>
      </c>
      <c r="BQ86" s="31">
        <f t="shared" si="13"/>
        <v>678573.21</v>
      </c>
      <c r="BR86" s="31">
        <f t="shared" si="13"/>
        <v>12626886.880000001</v>
      </c>
      <c r="BS86" s="31">
        <f t="shared" si="13"/>
        <v>202765.82999999996</v>
      </c>
      <c r="BT86" s="31">
        <f t="shared" si="13"/>
        <v>195343.11000000004</v>
      </c>
      <c r="BU86" s="31">
        <f t="shared" si="13"/>
        <v>231032.7</v>
      </c>
      <c r="BV86" s="31">
        <f t="shared" si="13"/>
        <v>6502105.3199999994</v>
      </c>
      <c r="BW86" s="31">
        <f t="shared" si="13"/>
        <v>3662539.5999999996</v>
      </c>
      <c r="BX86" s="31">
        <f t="shared" si="13"/>
        <v>7372396.1600000011</v>
      </c>
      <c r="BY86" s="31">
        <f t="shared" si="13"/>
        <v>2070945.9000000001</v>
      </c>
      <c r="BZ86" s="31">
        <f t="shared" si="13"/>
        <v>4963605.21</v>
      </c>
      <c r="CA86" s="31">
        <f t="shared" si="13"/>
        <v>2915201.06</v>
      </c>
      <c r="CB86" s="31">
        <f t="shared" si="13"/>
        <v>6559272.1799999997</v>
      </c>
      <c r="CC86" s="31">
        <f t="shared" si="13"/>
        <v>6284358.8300000001</v>
      </c>
      <c r="CD86" s="31">
        <f t="shared" si="13"/>
        <v>9138508.1300000008</v>
      </c>
      <c r="CE86" s="31">
        <f t="shared" si="11"/>
        <v>781075986.73000014</v>
      </c>
    </row>
    <row r="87" spans="1:84" x14ac:dyDescent="0.25">
      <c r="A87" s="38" t="s">
        <v>271</v>
      </c>
      <c r="B87" s="31"/>
      <c r="C87" s="28" t="s">
        <v>233</v>
      </c>
      <c r="D87" s="28" t="s">
        <v>233</v>
      </c>
      <c r="E87" s="28" t="s">
        <v>233</v>
      </c>
      <c r="F87" s="28" t="s">
        <v>233</v>
      </c>
      <c r="G87" s="28" t="s">
        <v>233</v>
      </c>
      <c r="H87" s="28" t="s">
        <v>233</v>
      </c>
      <c r="I87" s="28" t="s">
        <v>233</v>
      </c>
      <c r="J87" s="28" t="s">
        <v>233</v>
      </c>
      <c r="K87" s="35" t="s">
        <v>233</v>
      </c>
      <c r="L87" s="28" t="s">
        <v>233</v>
      </c>
      <c r="M87" s="28" t="s">
        <v>233</v>
      </c>
      <c r="N87" s="28" t="s">
        <v>233</v>
      </c>
      <c r="O87" s="28" t="s">
        <v>233</v>
      </c>
      <c r="P87" s="28" t="s">
        <v>233</v>
      </c>
      <c r="Q87" s="28" t="s">
        <v>233</v>
      </c>
      <c r="R87" s="28" t="s">
        <v>233</v>
      </c>
      <c r="S87" s="28" t="s">
        <v>233</v>
      </c>
      <c r="T87" s="28" t="s">
        <v>233</v>
      </c>
      <c r="U87" s="28" t="s">
        <v>233</v>
      </c>
      <c r="V87" s="28" t="s">
        <v>233</v>
      </c>
      <c r="W87" s="28" t="s">
        <v>233</v>
      </c>
      <c r="X87" s="28" t="s">
        <v>233</v>
      </c>
      <c r="Y87" s="28" t="s">
        <v>233</v>
      </c>
      <c r="Z87" s="28" t="s">
        <v>233</v>
      </c>
      <c r="AA87" s="28" t="s">
        <v>233</v>
      </c>
      <c r="AB87" s="28" t="s">
        <v>233</v>
      </c>
      <c r="AC87" s="28" t="s">
        <v>233</v>
      </c>
      <c r="AD87" s="28" t="s">
        <v>233</v>
      </c>
      <c r="AE87" s="28" t="s">
        <v>233</v>
      </c>
      <c r="AF87" s="28" t="s">
        <v>233</v>
      </c>
      <c r="AG87" s="28" t="s">
        <v>233</v>
      </c>
      <c r="AH87" s="28" t="s">
        <v>233</v>
      </c>
      <c r="AI87" s="28" t="s">
        <v>233</v>
      </c>
      <c r="AJ87" s="28" t="s">
        <v>233</v>
      </c>
      <c r="AK87" s="28" t="s">
        <v>233</v>
      </c>
      <c r="AL87" s="28" t="s">
        <v>233</v>
      </c>
      <c r="AM87" s="28" t="s">
        <v>233</v>
      </c>
      <c r="AN87" s="28" t="s">
        <v>233</v>
      </c>
      <c r="AO87" s="28" t="s">
        <v>233</v>
      </c>
      <c r="AP87" s="28" t="s">
        <v>233</v>
      </c>
      <c r="AQ87" s="28" t="s">
        <v>233</v>
      </c>
      <c r="AR87" s="28" t="s">
        <v>233</v>
      </c>
      <c r="AS87" s="28" t="s">
        <v>233</v>
      </c>
      <c r="AT87" s="28" t="s">
        <v>233</v>
      </c>
      <c r="AU87" s="28" t="s">
        <v>233</v>
      </c>
      <c r="AV87" s="28" t="s">
        <v>233</v>
      </c>
      <c r="AW87" s="28" t="s">
        <v>233</v>
      </c>
      <c r="AX87" s="28" t="s">
        <v>233</v>
      </c>
      <c r="AY87" s="28" t="s">
        <v>233</v>
      </c>
      <c r="AZ87" s="28" t="s">
        <v>233</v>
      </c>
      <c r="BA87" s="28" t="s">
        <v>233</v>
      </c>
      <c r="BB87" s="28" t="s">
        <v>233</v>
      </c>
      <c r="BC87" s="28" t="s">
        <v>233</v>
      </c>
      <c r="BD87" s="28" t="s">
        <v>233</v>
      </c>
      <c r="BE87" s="28" t="s">
        <v>233</v>
      </c>
      <c r="BF87" s="28" t="s">
        <v>233</v>
      </c>
      <c r="BG87" s="28" t="s">
        <v>233</v>
      </c>
      <c r="BH87" s="28" t="s">
        <v>233</v>
      </c>
      <c r="BI87" s="28" t="s">
        <v>233</v>
      </c>
      <c r="BJ87" s="28" t="s">
        <v>233</v>
      </c>
      <c r="BK87" s="28" t="s">
        <v>233</v>
      </c>
      <c r="BL87" s="28" t="s">
        <v>233</v>
      </c>
      <c r="BM87" s="28" t="s">
        <v>233</v>
      </c>
      <c r="BN87" s="28" t="s">
        <v>233</v>
      </c>
      <c r="BO87" s="28" t="s">
        <v>233</v>
      </c>
      <c r="BP87" s="28" t="s">
        <v>233</v>
      </c>
      <c r="BQ87" s="28" t="s">
        <v>233</v>
      </c>
      <c r="BR87" s="28" t="s">
        <v>233</v>
      </c>
      <c r="BS87" s="28" t="s">
        <v>233</v>
      </c>
      <c r="BT87" s="28" t="s">
        <v>233</v>
      </c>
      <c r="BU87" s="28" t="s">
        <v>233</v>
      </c>
      <c r="BV87" s="28" t="s">
        <v>233</v>
      </c>
      <c r="BW87" s="28" t="s">
        <v>233</v>
      </c>
      <c r="BX87" s="28" t="s">
        <v>233</v>
      </c>
      <c r="BY87" s="28" t="s">
        <v>233</v>
      </c>
      <c r="BZ87" s="28" t="s">
        <v>233</v>
      </c>
      <c r="CA87" s="28" t="s">
        <v>233</v>
      </c>
      <c r="CB87" s="28" t="s">
        <v>233</v>
      </c>
      <c r="CC87" s="28" t="s">
        <v>233</v>
      </c>
      <c r="CD87" s="28" t="s">
        <v>233</v>
      </c>
      <c r="CE87" s="34"/>
    </row>
    <row r="88" spans="1:84" x14ac:dyDescent="0.25">
      <c r="A88" s="25" t="s">
        <v>272</v>
      </c>
      <c r="B88" s="19"/>
      <c r="C88" s="212">
        <v>81926691.040000007</v>
      </c>
      <c r="D88" s="212">
        <v>48349974.57</v>
      </c>
      <c r="E88" s="212">
        <v>138453400.66999999</v>
      </c>
      <c r="F88" s="212">
        <v>0</v>
      </c>
      <c r="G88" s="212">
        <v>13841087.310000001</v>
      </c>
      <c r="H88" s="212">
        <v>0</v>
      </c>
      <c r="I88" s="212">
        <v>0</v>
      </c>
      <c r="J88" s="212">
        <v>0</v>
      </c>
      <c r="K88" s="212">
        <v>0</v>
      </c>
      <c r="L88" s="212">
        <v>0</v>
      </c>
      <c r="M88" s="212">
        <v>5749377.3300000001</v>
      </c>
      <c r="N88" s="212">
        <v>19220243</v>
      </c>
      <c r="O88" s="212">
        <v>105901189.18000001</v>
      </c>
      <c r="P88" s="212">
        <v>77853637</v>
      </c>
      <c r="Q88" s="212">
        <v>5734359</v>
      </c>
      <c r="R88" s="212">
        <v>11149640</v>
      </c>
      <c r="S88" s="212">
        <v>0</v>
      </c>
      <c r="T88" s="212">
        <v>0</v>
      </c>
      <c r="U88" s="212">
        <v>72389141</v>
      </c>
      <c r="V88" s="212">
        <v>2127999</v>
      </c>
      <c r="W88" s="212">
        <v>5811312</v>
      </c>
      <c r="X88" s="212">
        <v>23971883</v>
      </c>
      <c r="Y88" s="212">
        <v>44220207</v>
      </c>
      <c r="Z88" s="212">
        <v>780043</v>
      </c>
      <c r="AA88" s="212">
        <v>1067322</v>
      </c>
      <c r="AB88" s="212">
        <v>79485575.290000007</v>
      </c>
      <c r="AC88" s="212">
        <v>21682835</v>
      </c>
      <c r="AD88" s="212">
        <v>0</v>
      </c>
      <c r="AE88" s="212">
        <v>13659570</v>
      </c>
      <c r="AF88" s="212">
        <v>0</v>
      </c>
      <c r="AG88" s="212">
        <v>38241925.390000001</v>
      </c>
      <c r="AH88" s="212">
        <v>0</v>
      </c>
      <c r="AI88" s="212">
        <v>0</v>
      </c>
      <c r="AJ88" s="212">
        <v>28153211.449999999</v>
      </c>
      <c r="AK88" s="212">
        <v>0</v>
      </c>
      <c r="AL88" s="212">
        <v>0</v>
      </c>
      <c r="AM88" s="212"/>
      <c r="AN88" s="212"/>
      <c r="AO88" s="212"/>
      <c r="AP88" s="212">
        <v>4201995.5</v>
      </c>
      <c r="AQ88" s="212"/>
      <c r="AR88" s="212"/>
      <c r="AS88" s="212"/>
      <c r="AT88" s="212"/>
      <c r="AU88" s="212"/>
      <c r="AV88" s="212">
        <v>3522698.24</v>
      </c>
      <c r="AW88" s="28" t="s">
        <v>233</v>
      </c>
      <c r="AX88" s="28" t="s">
        <v>233</v>
      </c>
      <c r="AY88" s="28" t="s">
        <v>233</v>
      </c>
      <c r="AZ88" s="28" t="s">
        <v>233</v>
      </c>
      <c r="BA88" s="28" t="s">
        <v>233</v>
      </c>
      <c r="BB88" s="28" t="s">
        <v>233</v>
      </c>
      <c r="BC88" s="28" t="s">
        <v>233</v>
      </c>
      <c r="BD88" s="28" t="s">
        <v>233</v>
      </c>
      <c r="BE88" s="28" t="s">
        <v>233</v>
      </c>
      <c r="BF88" s="28" t="s">
        <v>233</v>
      </c>
      <c r="BG88" s="28" t="s">
        <v>233</v>
      </c>
      <c r="BH88" s="28" t="s">
        <v>233</v>
      </c>
      <c r="BI88" s="28" t="s">
        <v>233</v>
      </c>
      <c r="BJ88" s="28" t="s">
        <v>233</v>
      </c>
      <c r="BK88" s="28" t="s">
        <v>233</v>
      </c>
      <c r="BL88" s="28" t="s">
        <v>233</v>
      </c>
      <c r="BM88" s="28" t="s">
        <v>233</v>
      </c>
      <c r="BN88" s="28" t="s">
        <v>233</v>
      </c>
      <c r="BO88" s="28" t="s">
        <v>233</v>
      </c>
      <c r="BP88" s="28" t="s">
        <v>233</v>
      </c>
      <c r="BQ88" s="28" t="s">
        <v>233</v>
      </c>
      <c r="BR88" s="28" t="s">
        <v>233</v>
      </c>
      <c r="BS88" s="28" t="s">
        <v>233</v>
      </c>
      <c r="BT88" s="28" t="s">
        <v>233</v>
      </c>
      <c r="BU88" s="28" t="s">
        <v>233</v>
      </c>
      <c r="BV88" s="28" t="s">
        <v>233</v>
      </c>
      <c r="BW88" s="28" t="s">
        <v>233</v>
      </c>
      <c r="BX88" s="28" t="s">
        <v>233</v>
      </c>
      <c r="BY88" s="28" t="s">
        <v>233</v>
      </c>
      <c r="BZ88" s="28" t="s">
        <v>233</v>
      </c>
      <c r="CA88" s="28" t="s">
        <v>233</v>
      </c>
      <c r="CB88" s="28" t="s">
        <v>233</v>
      </c>
      <c r="CC88" s="28" t="s">
        <v>233</v>
      </c>
      <c r="CD88" s="28" t="s">
        <v>233</v>
      </c>
      <c r="CE88" s="31">
        <f t="shared" ref="CE88:CE95" si="14">SUM(C88:CD88)</f>
        <v>847495316.96999991</v>
      </c>
    </row>
    <row r="89" spans="1:84" x14ac:dyDescent="0.25">
      <c r="A89" s="25" t="s">
        <v>273</v>
      </c>
      <c r="B89" s="19"/>
      <c r="C89" s="212">
        <v>-70353</v>
      </c>
      <c r="D89" s="212">
        <v>535373</v>
      </c>
      <c r="E89" s="212">
        <v>6620204.9100000001</v>
      </c>
      <c r="F89" s="212">
        <v>0</v>
      </c>
      <c r="G89" s="212">
        <v>-4108</v>
      </c>
      <c r="H89" s="212">
        <v>0</v>
      </c>
      <c r="I89" s="212">
        <v>0</v>
      </c>
      <c r="J89" s="212">
        <v>0</v>
      </c>
      <c r="K89" s="212">
        <v>0</v>
      </c>
      <c r="L89" s="212">
        <v>0</v>
      </c>
      <c r="M89" s="212">
        <v>222317</v>
      </c>
      <c r="N89" s="212">
        <v>1760059.01</v>
      </c>
      <c r="O89" s="212">
        <v>4835476</v>
      </c>
      <c r="P89" s="212">
        <v>201857071</v>
      </c>
      <c r="Q89" s="212">
        <v>21037370</v>
      </c>
      <c r="R89" s="212">
        <v>32146512</v>
      </c>
      <c r="S89" s="212">
        <v>0</v>
      </c>
      <c r="T89" s="212">
        <v>0</v>
      </c>
      <c r="U89" s="212">
        <v>70816412.75</v>
      </c>
      <c r="V89" s="212">
        <v>747397</v>
      </c>
      <c r="W89" s="212">
        <v>10318080</v>
      </c>
      <c r="X89" s="212">
        <v>49573661</v>
      </c>
      <c r="Y89" s="212">
        <v>143108373.94999999</v>
      </c>
      <c r="Z89" s="212">
        <v>38746178</v>
      </c>
      <c r="AA89" s="212">
        <v>3906615</v>
      </c>
      <c r="AB89" s="212">
        <v>65857035.630000003</v>
      </c>
      <c r="AC89" s="212">
        <v>716225</v>
      </c>
      <c r="AD89" s="212">
        <v>0</v>
      </c>
      <c r="AE89" s="212">
        <v>20523283.129999999</v>
      </c>
      <c r="AF89" s="212">
        <v>0</v>
      </c>
      <c r="AG89" s="212">
        <v>131145287.45</v>
      </c>
      <c r="AH89" s="212">
        <v>0</v>
      </c>
      <c r="AI89" s="212">
        <v>0</v>
      </c>
      <c r="AJ89" s="212">
        <v>171234296.55000001</v>
      </c>
      <c r="AK89" s="212"/>
      <c r="AL89" s="212"/>
      <c r="AM89" s="212"/>
      <c r="AN89" s="212"/>
      <c r="AO89" s="212"/>
      <c r="AP89" s="212">
        <v>129829512.22999999</v>
      </c>
      <c r="AQ89" s="212">
        <v>0</v>
      </c>
      <c r="AR89" s="212">
        <v>137334541.94999999</v>
      </c>
      <c r="AS89" s="212">
        <v>0</v>
      </c>
      <c r="AT89" s="212">
        <v>0</v>
      </c>
      <c r="AU89" s="212">
        <v>0</v>
      </c>
      <c r="AV89" s="212">
        <v>10717738.050000001</v>
      </c>
      <c r="AW89" s="28" t="s">
        <v>233</v>
      </c>
      <c r="AX89" s="28" t="s">
        <v>233</v>
      </c>
      <c r="AY89" s="28" t="s">
        <v>233</v>
      </c>
      <c r="AZ89" s="28" t="s">
        <v>233</v>
      </c>
      <c r="BA89" s="28" t="s">
        <v>233</v>
      </c>
      <c r="BB89" s="28" t="s">
        <v>233</v>
      </c>
      <c r="BC89" s="28" t="s">
        <v>233</v>
      </c>
      <c r="BD89" s="28" t="s">
        <v>233</v>
      </c>
      <c r="BE89" s="28" t="s">
        <v>233</v>
      </c>
      <c r="BF89" s="28" t="s">
        <v>233</v>
      </c>
      <c r="BG89" s="28" t="s">
        <v>233</v>
      </c>
      <c r="BH89" s="28" t="s">
        <v>233</v>
      </c>
      <c r="BI89" s="28" t="s">
        <v>233</v>
      </c>
      <c r="BJ89" s="28" t="s">
        <v>233</v>
      </c>
      <c r="BK89" s="28" t="s">
        <v>233</v>
      </c>
      <c r="BL89" s="28" t="s">
        <v>233</v>
      </c>
      <c r="BM89" s="28" t="s">
        <v>233</v>
      </c>
      <c r="BN89" s="28" t="s">
        <v>233</v>
      </c>
      <c r="BO89" s="28" t="s">
        <v>233</v>
      </c>
      <c r="BP89" s="28" t="s">
        <v>233</v>
      </c>
      <c r="BQ89" s="28" t="s">
        <v>233</v>
      </c>
      <c r="BR89" s="28" t="s">
        <v>233</v>
      </c>
      <c r="BS89" s="28" t="s">
        <v>233</v>
      </c>
      <c r="BT89" s="28" t="s">
        <v>233</v>
      </c>
      <c r="BU89" s="28" t="s">
        <v>233</v>
      </c>
      <c r="BV89" s="28" t="s">
        <v>233</v>
      </c>
      <c r="BW89" s="28" t="s">
        <v>233</v>
      </c>
      <c r="BX89" s="28" t="s">
        <v>233</v>
      </c>
      <c r="BY89" s="28" t="s">
        <v>233</v>
      </c>
      <c r="BZ89" s="28" t="s">
        <v>233</v>
      </c>
      <c r="CA89" s="28" t="s">
        <v>233</v>
      </c>
      <c r="CB89" s="28" t="s">
        <v>233</v>
      </c>
      <c r="CC89" s="28" t="s">
        <v>233</v>
      </c>
      <c r="CD89" s="28" t="s">
        <v>233</v>
      </c>
      <c r="CE89" s="31">
        <f t="shared" si="14"/>
        <v>1253514559.6099999</v>
      </c>
    </row>
    <row r="90" spans="1:84" x14ac:dyDescent="0.25">
      <c r="A90" s="25" t="s">
        <v>274</v>
      </c>
      <c r="B90" s="19"/>
      <c r="C90" s="31">
        <f>C88+C89</f>
        <v>81856338.040000007</v>
      </c>
      <c r="D90" s="31">
        <f t="shared" ref="D90:AV90" si="15">D88+D89</f>
        <v>48885347.57</v>
      </c>
      <c r="E90" s="31">
        <f t="shared" si="15"/>
        <v>145073605.57999998</v>
      </c>
      <c r="F90" s="31">
        <f t="shared" si="15"/>
        <v>0</v>
      </c>
      <c r="G90" s="31">
        <f t="shared" si="15"/>
        <v>13836979.310000001</v>
      </c>
      <c r="H90" s="31">
        <f t="shared" si="15"/>
        <v>0</v>
      </c>
      <c r="I90" s="31">
        <f t="shared" si="15"/>
        <v>0</v>
      </c>
      <c r="J90" s="31">
        <f t="shared" si="15"/>
        <v>0</v>
      </c>
      <c r="K90" s="31">
        <f t="shared" si="15"/>
        <v>0</v>
      </c>
      <c r="L90" s="31">
        <f t="shared" si="15"/>
        <v>0</v>
      </c>
      <c r="M90" s="31">
        <f t="shared" si="15"/>
        <v>5971694.3300000001</v>
      </c>
      <c r="N90" s="31">
        <f t="shared" si="15"/>
        <v>20980302.010000002</v>
      </c>
      <c r="O90" s="31">
        <f t="shared" si="15"/>
        <v>110736665.18000001</v>
      </c>
      <c r="P90" s="31">
        <f t="shared" si="15"/>
        <v>279710708</v>
      </c>
      <c r="Q90" s="31">
        <f t="shared" si="15"/>
        <v>26771729</v>
      </c>
      <c r="R90" s="31">
        <f t="shared" si="15"/>
        <v>43296152</v>
      </c>
      <c r="S90" s="31">
        <f t="shared" si="15"/>
        <v>0</v>
      </c>
      <c r="T90" s="31">
        <f t="shared" si="15"/>
        <v>0</v>
      </c>
      <c r="U90" s="31">
        <f t="shared" si="15"/>
        <v>143205553.75</v>
      </c>
      <c r="V90" s="31">
        <f t="shared" si="15"/>
        <v>2875396</v>
      </c>
      <c r="W90" s="31">
        <f t="shared" si="15"/>
        <v>16129392</v>
      </c>
      <c r="X90" s="31">
        <f t="shared" si="15"/>
        <v>73545544</v>
      </c>
      <c r="Y90" s="31">
        <f t="shared" si="15"/>
        <v>187328580.94999999</v>
      </c>
      <c r="Z90" s="31">
        <f t="shared" si="15"/>
        <v>39526221</v>
      </c>
      <c r="AA90" s="31">
        <f t="shared" si="15"/>
        <v>4973937</v>
      </c>
      <c r="AB90" s="31">
        <f t="shared" si="15"/>
        <v>145342610.92000002</v>
      </c>
      <c r="AC90" s="31">
        <f t="shared" si="15"/>
        <v>22399060</v>
      </c>
      <c r="AD90" s="31">
        <f t="shared" si="15"/>
        <v>0</v>
      </c>
      <c r="AE90" s="31">
        <f t="shared" si="15"/>
        <v>34182853.129999995</v>
      </c>
      <c r="AF90" s="31">
        <f t="shared" si="15"/>
        <v>0</v>
      </c>
      <c r="AG90" s="31">
        <f t="shared" si="15"/>
        <v>169387212.84</v>
      </c>
      <c r="AH90" s="31">
        <f t="shared" si="15"/>
        <v>0</v>
      </c>
      <c r="AI90" s="31">
        <f t="shared" si="15"/>
        <v>0</v>
      </c>
      <c r="AJ90" s="31">
        <f t="shared" si="15"/>
        <v>199387508</v>
      </c>
      <c r="AK90" s="31">
        <f t="shared" si="15"/>
        <v>0</v>
      </c>
      <c r="AL90" s="31">
        <f t="shared" si="15"/>
        <v>0</v>
      </c>
      <c r="AM90" s="31">
        <f t="shared" si="15"/>
        <v>0</v>
      </c>
      <c r="AN90" s="31">
        <f t="shared" si="15"/>
        <v>0</v>
      </c>
      <c r="AO90" s="31">
        <f t="shared" si="15"/>
        <v>0</v>
      </c>
      <c r="AP90" s="31">
        <f t="shared" si="15"/>
        <v>134031507.72999999</v>
      </c>
      <c r="AQ90" s="31">
        <f t="shared" si="15"/>
        <v>0</v>
      </c>
      <c r="AR90" s="31">
        <f t="shared" si="15"/>
        <v>137334541.94999999</v>
      </c>
      <c r="AS90" s="31">
        <f t="shared" si="15"/>
        <v>0</v>
      </c>
      <c r="AT90" s="31">
        <f t="shared" si="15"/>
        <v>0</v>
      </c>
      <c r="AU90" s="31">
        <f t="shared" si="15"/>
        <v>0</v>
      </c>
      <c r="AV90" s="31">
        <f t="shared" si="15"/>
        <v>14240436.290000001</v>
      </c>
      <c r="AW90" s="28" t="s">
        <v>233</v>
      </c>
      <c r="AX90" s="28" t="s">
        <v>233</v>
      </c>
      <c r="AY90" s="28" t="s">
        <v>233</v>
      </c>
      <c r="AZ90" s="28" t="s">
        <v>233</v>
      </c>
      <c r="BA90" s="28" t="s">
        <v>233</v>
      </c>
      <c r="BB90" s="28" t="s">
        <v>233</v>
      </c>
      <c r="BC90" s="28" t="s">
        <v>233</v>
      </c>
      <c r="BD90" s="28" t="s">
        <v>233</v>
      </c>
      <c r="BE90" s="28" t="s">
        <v>233</v>
      </c>
      <c r="BF90" s="28" t="s">
        <v>233</v>
      </c>
      <c r="BG90" s="28" t="s">
        <v>233</v>
      </c>
      <c r="BH90" s="28" t="s">
        <v>233</v>
      </c>
      <c r="BI90" s="28" t="s">
        <v>233</v>
      </c>
      <c r="BJ90" s="28" t="s">
        <v>233</v>
      </c>
      <c r="BK90" s="28" t="s">
        <v>233</v>
      </c>
      <c r="BL90" s="28" t="s">
        <v>233</v>
      </c>
      <c r="BM90" s="28" t="s">
        <v>233</v>
      </c>
      <c r="BN90" s="28" t="s">
        <v>233</v>
      </c>
      <c r="BO90" s="28" t="s">
        <v>233</v>
      </c>
      <c r="BP90" s="28" t="s">
        <v>233</v>
      </c>
      <c r="BQ90" s="28" t="s">
        <v>233</v>
      </c>
      <c r="BR90" s="28" t="s">
        <v>233</v>
      </c>
      <c r="BS90" s="28" t="s">
        <v>233</v>
      </c>
      <c r="BT90" s="28" t="s">
        <v>233</v>
      </c>
      <c r="BU90" s="28" t="s">
        <v>233</v>
      </c>
      <c r="BV90" s="28" t="s">
        <v>233</v>
      </c>
      <c r="BW90" s="28" t="s">
        <v>233</v>
      </c>
      <c r="BX90" s="28" t="s">
        <v>233</v>
      </c>
      <c r="BY90" s="28" t="s">
        <v>233</v>
      </c>
      <c r="BZ90" s="28" t="s">
        <v>233</v>
      </c>
      <c r="CA90" s="28" t="s">
        <v>233</v>
      </c>
      <c r="CB90" s="28" t="s">
        <v>233</v>
      </c>
      <c r="CC90" s="28" t="s">
        <v>233</v>
      </c>
      <c r="CD90" s="28" t="s">
        <v>233</v>
      </c>
      <c r="CE90" s="31">
        <f t="shared" si="14"/>
        <v>2101009876.5799999</v>
      </c>
    </row>
    <row r="91" spans="1:84" x14ac:dyDescent="0.25">
      <c r="A91" s="38" t="s">
        <v>275</v>
      </c>
      <c r="B91" s="31"/>
      <c r="C91" s="212">
        <v>31983</v>
      </c>
      <c r="D91" s="212">
        <v>24368</v>
      </c>
      <c r="E91" s="212">
        <v>112482</v>
      </c>
      <c r="F91" s="212"/>
      <c r="G91" s="212">
        <v>9095</v>
      </c>
      <c r="H91" s="212"/>
      <c r="I91" s="212"/>
      <c r="J91" s="212"/>
      <c r="K91" s="212"/>
      <c r="L91" s="212"/>
      <c r="M91" s="212">
        <v>20520</v>
      </c>
      <c r="N91" s="212">
        <v>5055</v>
      </c>
      <c r="O91" s="212">
        <v>54397</v>
      </c>
      <c r="P91" s="212">
        <v>71966</v>
      </c>
      <c r="Q91" s="212">
        <v>5119</v>
      </c>
      <c r="R91" s="212">
        <v>651</v>
      </c>
      <c r="S91" s="212">
        <v>10270</v>
      </c>
      <c r="T91" s="212"/>
      <c r="U91" s="212">
        <v>15470</v>
      </c>
      <c r="V91" s="212">
        <v>298</v>
      </c>
      <c r="W91" s="212">
        <v>3104</v>
      </c>
      <c r="X91" s="212">
        <v>3166</v>
      </c>
      <c r="Y91" s="212">
        <v>50628</v>
      </c>
      <c r="Z91" s="212">
        <v>16493</v>
      </c>
      <c r="AA91" s="212">
        <v>1139</v>
      </c>
      <c r="AB91" s="212">
        <v>7695</v>
      </c>
      <c r="AC91" s="212">
        <v>2635</v>
      </c>
      <c r="AD91" s="212"/>
      <c r="AE91" s="212">
        <v>17259</v>
      </c>
      <c r="AF91" s="212"/>
      <c r="AG91" s="212">
        <v>55060</v>
      </c>
      <c r="AH91" s="212"/>
      <c r="AI91" s="212"/>
      <c r="AJ91" s="212">
        <v>144637</v>
      </c>
      <c r="AK91" s="212"/>
      <c r="AL91" s="212"/>
      <c r="AM91" s="212"/>
      <c r="AN91" s="212"/>
      <c r="AO91" s="212"/>
      <c r="AP91" s="212">
        <v>45968</v>
      </c>
      <c r="AQ91" s="212"/>
      <c r="AR91" s="212"/>
      <c r="AS91" s="212"/>
      <c r="AT91" s="212"/>
      <c r="AU91" s="212"/>
      <c r="AV91" s="212">
        <v>13135</v>
      </c>
      <c r="AW91" s="212">
        <v>3911</v>
      </c>
      <c r="AX91" s="212"/>
      <c r="AY91" s="212"/>
      <c r="AZ91" s="212">
        <v>23579</v>
      </c>
      <c r="BA91" s="212">
        <v>3589</v>
      </c>
      <c r="BB91" s="212"/>
      <c r="BC91" s="212"/>
      <c r="BD91" s="212">
        <v>9077</v>
      </c>
      <c r="BE91" s="212">
        <v>679195</v>
      </c>
      <c r="BF91" s="212">
        <v>9629</v>
      </c>
      <c r="BG91" s="212">
        <v>5077</v>
      </c>
      <c r="BH91" s="212">
        <v>24834</v>
      </c>
      <c r="BI91" s="212">
        <v>26210</v>
      </c>
      <c r="BJ91" s="212">
        <v>4555</v>
      </c>
      <c r="BK91" s="212">
        <v>11014</v>
      </c>
      <c r="BL91" s="212">
        <v>5010</v>
      </c>
      <c r="BM91" s="212">
        <v>4678</v>
      </c>
      <c r="BN91" s="212">
        <v>14258</v>
      </c>
      <c r="BO91" s="212">
        <v>2082</v>
      </c>
      <c r="BP91" s="212">
        <v>1894</v>
      </c>
      <c r="BQ91" s="212">
        <v>1677</v>
      </c>
      <c r="BR91" s="212">
        <v>3400</v>
      </c>
      <c r="BS91" s="212">
        <v>5109</v>
      </c>
      <c r="BT91" s="212">
        <v>947</v>
      </c>
      <c r="BU91" s="212"/>
      <c r="BV91" s="212">
        <v>17194</v>
      </c>
      <c r="BW91" s="212">
        <v>3446</v>
      </c>
      <c r="BX91" s="212">
        <v>3549</v>
      </c>
      <c r="BY91" s="212">
        <v>1319</v>
      </c>
      <c r="BZ91" s="212"/>
      <c r="CA91" s="212">
        <v>5571</v>
      </c>
      <c r="CB91" s="212">
        <v>4031</v>
      </c>
      <c r="CC91" s="212">
        <v>7876</v>
      </c>
      <c r="CD91" s="232" t="s">
        <v>233</v>
      </c>
      <c r="CE91" s="31">
        <f t="shared" si="14"/>
        <v>1605304</v>
      </c>
      <c r="CF91" s="31">
        <f>BE60-CE91</f>
        <v>-926109</v>
      </c>
    </row>
    <row r="92" spans="1:84" x14ac:dyDescent="0.25">
      <c r="A92" s="25" t="s">
        <v>276</v>
      </c>
      <c r="B92" s="19"/>
      <c r="C92" s="212">
        <v>8432</v>
      </c>
      <c r="D92" s="212">
        <v>29212</v>
      </c>
      <c r="E92" s="212">
        <v>128071</v>
      </c>
      <c r="F92" s="212"/>
      <c r="G92" s="212">
        <v>9866</v>
      </c>
      <c r="H92" s="212"/>
      <c r="I92" s="212"/>
      <c r="J92" s="212"/>
      <c r="K92" s="212"/>
      <c r="L92" s="212"/>
      <c r="M92" s="212">
        <v>5542</v>
      </c>
      <c r="N92" s="212"/>
      <c r="O92" s="212">
        <v>27122</v>
      </c>
      <c r="P92" s="212"/>
      <c r="Q92" s="212"/>
      <c r="R92" s="212"/>
      <c r="S92" s="212"/>
      <c r="T92" s="212"/>
      <c r="U92" s="212"/>
      <c r="V92" s="212"/>
      <c r="W92" s="212"/>
      <c r="X92" s="212"/>
      <c r="Y92" s="212">
        <v>50</v>
      </c>
      <c r="Z92" s="212"/>
      <c r="AA92" s="212"/>
      <c r="AB92" s="212"/>
      <c r="AC92" s="212"/>
      <c r="AD92" s="212"/>
      <c r="AE92" s="212"/>
      <c r="AF92" s="212"/>
      <c r="AG92" s="212">
        <v>5081</v>
      </c>
      <c r="AH92" s="212"/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63" t="s">
        <v>233</v>
      </c>
      <c r="AY92" s="263" t="s">
        <v>233</v>
      </c>
      <c r="AZ92" s="212"/>
      <c r="BA92" s="212"/>
      <c r="BB92" s="212"/>
      <c r="BC92" s="212"/>
      <c r="BD92" s="228" t="s">
        <v>233</v>
      </c>
      <c r="BE92" s="228" t="s">
        <v>233</v>
      </c>
      <c r="BF92" s="212"/>
      <c r="BG92" s="228" t="s">
        <v>233</v>
      </c>
      <c r="BH92" s="212"/>
      <c r="BI92" s="212"/>
      <c r="BJ92" s="228" t="s">
        <v>233</v>
      </c>
      <c r="BK92" s="212"/>
      <c r="BL92" s="212"/>
      <c r="BM92" s="212"/>
      <c r="BN92" s="228" t="s">
        <v>233</v>
      </c>
      <c r="BO92" s="228" t="s">
        <v>233</v>
      </c>
      <c r="BP92" s="228" t="s">
        <v>233</v>
      </c>
      <c r="BQ92" s="228" t="s">
        <v>233</v>
      </c>
      <c r="BR92" s="212"/>
      <c r="BS92" s="212"/>
      <c r="BT92" s="212"/>
      <c r="BU92" s="212"/>
      <c r="BV92" s="212"/>
      <c r="BW92" s="212"/>
      <c r="BX92" s="212"/>
      <c r="BY92" s="212"/>
      <c r="BZ92" s="212"/>
      <c r="CA92" s="212"/>
      <c r="CB92" s="212"/>
      <c r="CC92" s="228" t="s">
        <v>233</v>
      </c>
      <c r="CD92" s="228" t="s">
        <v>233</v>
      </c>
      <c r="CE92" s="31">
        <f t="shared" si="14"/>
        <v>213376</v>
      </c>
      <c r="CF92" s="31">
        <f>AY60-CE92</f>
        <v>-213376</v>
      </c>
    </row>
    <row r="93" spans="1:84" x14ac:dyDescent="0.25">
      <c r="A93" s="25" t="s">
        <v>277</v>
      </c>
      <c r="B93" s="19"/>
      <c r="C93" s="212">
        <v>4073</v>
      </c>
      <c r="D93" s="212">
        <v>3103</v>
      </c>
      <c r="E93" s="212">
        <v>14323</v>
      </c>
      <c r="F93" s="212"/>
      <c r="G93" s="212">
        <v>1158</v>
      </c>
      <c r="H93" s="212"/>
      <c r="I93" s="212"/>
      <c r="J93" s="212"/>
      <c r="K93" s="212"/>
      <c r="L93" s="212"/>
      <c r="M93" s="212">
        <v>2613</v>
      </c>
      <c r="N93" s="212">
        <v>644</v>
      </c>
      <c r="O93" s="212">
        <v>6927</v>
      </c>
      <c r="P93" s="212">
        <v>9167</v>
      </c>
      <c r="Q93" s="212">
        <v>652</v>
      </c>
      <c r="R93" s="212">
        <v>83</v>
      </c>
      <c r="S93" s="212">
        <v>1308</v>
      </c>
      <c r="T93" s="212"/>
      <c r="U93" s="212">
        <v>1970</v>
      </c>
      <c r="V93" s="212">
        <v>38</v>
      </c>
      <c r="W93" s="212">
        <v>395</v>
      </c>
      <c r="X93" s="212">
        <v>403</v>
      </c>
      <c r="Y93" s="212">
        <v>6447</v>
      </c>
      <c r="Z93" s="212">
        <v>2100</v>
      </c>
      <c r="AA93" s="212">
        <v>145</v>
      </c>
      <c r="AB93" s="212">
        <v>980</v>
      </c>
      <c r="AC93" s="212">
        <v>336</v>
      </c>
      <c r="AD93" s="212"/>
      <c r="AE93" s="212">
        <v>2232</v>
      </c>
      <c r="AF93" s="212"/>
      <c r="AG93" s="212">
        <v>7011</v>
      </c>
      <c r="AH93" s="212"/>
      <c r="AI93" s="212"/>
      <c r="AJ93" s="212">
        <v>18418</v>
      </c>
      <c r="AK93" s="212"/>
      <c r="AL93" s="212"/>
      <c r="AM93" s="212"/>
      <c r="AN93" s="212"/>
      <c r="AO93" s="212"/>
      <c r="AP93" s="212">
        <v>5854</v>
      </c>
      <c r="AQ93" s="212"/>
      <c r="AR93" s="212"/>
      <c r="AS93" s="212"/>
      <c r="AT93" s="212"/>
      <c r="AU93" s="212"/>
      <c r="AV93" s="212">
        <v>1673</v>
      </c>
      <c r="AW93" s="212">
        <v>498</v>
      </c>
      <c r="AX93" s="263" t="s">
        <v>233</v>
      </c>
      <c r="AY93" s="263" t="s">
        <v>233</v>
      </c>
      <c r="AZ93" s="228" t="s">
        <v>233</v>
      </c>
      <c r="BA93" s="212">
        <v>457</v>
      </c>
      <c r="BB93" s="212"/>
      <c r="BC93" s="212"/>
      <c r="BD93" s="228" t="s">
        <v>233</v>
      </c>
      <c r="BE93" s="228" t="s">
        <v>233</v>
      </c>
      <c r="BF93" s="228" t="s">
        <v>233</v>
      </c>
      <c r="BG93" s="228" t="s">
        <v>233</v>
      </c>
      <c r="BH93" s="212">
        <v>3162</v>
      </c>
      <c r="BI93" s="212">
        <v>3338</v>
      </c>
      <c r="BJ93" s="228" t="s">
        <v>233</v>
      </c>
      <c r="BK93" s="212">
        <v>1402</v>
      </c>
      <c r="BL93" s="212">
        <v>638</v>
      </c>
      <c r="BM93" s="212">
        <v>596</v>
      </c>
      <c r="BN93" s="228" t="s">
        <v>233</v>
      </c>
      <c r="BO93" s="228" t="s">
        <v>233</v>
      </c>
      <c r="BP93" s="228" t="s">
        <v>233</v>
      </c>
      <c r="BQ93" s="228" t="s">
        <v>233</v>
      </c>
      <c r="BR93" s="228" t="s">
        <v>233</v>
      </c>
      <c r="BS93" s="212">
        <v>651</v>
      </c>
      <c r="BT93" s="212">
        <v>121</v>
      </c>
      <c r="BU93" s="212"/>
      <c r="BV93" s="212">
        <v>2190</v>
      </c>
      <c r="BW93" s="212">
        <v>439</v>
      </c>
      <c r="BX93" s="212">
        <v>452</v>
      </c>
      <c r="BY93" s="212">
        <v>168</v>
      </c>
      <c r="BZ93" s="212"/>
      <c r="CA93" s="212">
        <v>709</v>
      </c>
      <c r="CB93" s="212">
        <v>513</v>
      </c>
      <c r="CC93" s="228" t="s">
        <v>233</v>
      </c>
      <c r="CD93" s="228" t="s">
        <v>233</v>
      </c>
      <c r="CE93" s="31">
        <f t="shared" si="14"/>
        <v>107387</v>
      </c>
      <c r="CF93" s="19"/>
    </row>
    <row r="94" spans="1:84" x14ac:dyDescent="0.25">
      <c r="A94" s="25" t="s">
        <v>278</v>
      </c>
      <c r="B94" s="19"/>
      <c r="C94" s="212">
        <v>180193.28</v>
      </c>
      <c r="D94" s="212">
        <v>210015.85</v>
      </c>
      <c r="E94" s="212">
        <v>539544.76</v>
      </c>
      <c r="F94" s="212">
        <v>0</v>
      </c>
      <c r="G94" s="212">
        <v>31911.47</v>
      </c>
      <c r="H94" s="212"/>
      <c r="I94" s="212">
        <v>0</v>
      </c>
      <c r="J94" s="212"/>
      <c r="K94" s="212"/>
      <c r="L94" s="212"/>
      <c r="M94" s="212">
        <v>27725.599999999999</v>
      </c>
      <c r="N94" s="212"/>
      <c r="O94" s="212">
        <v>368240.08</v>
      </c>
      <c r="P94" s="212">
        <v>192441.32</v>
      </c>
      <c r="Q94" s="212">
        <v>0</v>
      </c>
      <c r="R94" s="212">
        <v>0</v>
      </c>
      <c r="S94" s="212">
        <v>17748.63</v>
      </c>
      <c r="T94" s="212">
        <v>0</v>
      </c>
      <c r="U94" s="212">
        <v>1925.25</v>
      </c>
      <c r="V94" s="212">
        <v>0</v>
      </c>
      <c r="W94" s="212">
        <v>21144.52</v>
      </c>
      <c r="X94" s="212"/>
      <c r="Y94" s="212">
        <v>280119.38</v>
      </c>
      <c r="Z94" s="212">
        <v>45184.5</v>
      </c>
      <c r="AA94" s="212"/>
      <c r="AB94" s="212"/>
      <c r="AC94" s="212"/>
      <c r="AD94" s="212"/>
      <c r="AE94" s="212"/>
      <c r="AF94" s="212"/>
      <c r="AG94" s="212">
        <v>370208.2</v>
      </c>
      <c r="AH94" s="212">
        <v>0</v>
      </c>
      <c r="AI94" s="212">
        <v>0</v>
      </c>
      <c r="AJ94" s="212">
        <v>88729.2</v>
      </c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>
        <v>28262.06</v>
      </c>
      <c r="AW94" s="212"/>
      <c r="AX94" s="263" t="s">
        <v>233</v>
      </c>
      <c r="AY94" s="263" t="s">
        <v>233</v>
      </c>
      <c r="AZ94" s="228" t="s">
        <v>233</v>
      </c>
      <c r="BA94" s="228" t="s">
        <v>233</v>
      </c>
      <c r="BB94" s="212"/>
      <c r="BC94" s="212"/>
      <c r="BD94" s="228" t="s">
        <v>233</v>
      </c>
      <c r="BE94" s="228" t="s">
        <v>233</v>
      </c>
      <c r="BF94" s="228" t="s">
        <v>233</v>
      </c>
      <c r="BG94" s="228" t="s">
        <v>233</v>
      </c>
      <c r="BH94" s="212"/>
      <c r="BI94" s="212">
        <v>49423</v>
      </c>
      <c r="BJ94" s="228" t="s">
        <v>233</v>
      </c>
      <c r="BK94" s="212"/>
      <c r="BL94" s="212"/>
      <c r="BM94" s="212"/>
      <c r="BN94" s="228" t="s">
        <v>233</v>
      </c>
      <c r="BO94" s="228" t="s">
        <v>233</v>
      </c>
      <c r="BP94" s="228" t="s">
        <v>233</v>
      </c>
      <c r="BQ94" s="228" t="s">
        <v>233</v>
      </c>
      <c r="BR94" s="228" t="s">
        <v>233</v>
      </c>
      <c r="BS94" s="212"/>
      <c r="BT94" s="212"/>
      <c r="BU94" s="212"/>
      <c r="BV94" s="212"/>
      <c r="BW94" s="212"/>
      <c r="BX94" s="212"/>
      <c r="BY94" s="212"/>
      <c r="BZ94" s="212"/>
      <c r="CA94" s="212"/>
      <c r="CB94" s="212"/>
      <c r="CC94" s="228" t="s">
        <v>233</v>
      </c>
      <c r="CD94" s="228" t="s">
        <v>233</v>
      </c>
      <c r="CE94" s="31">
        <f t="shared" si="14"/>
        <v>2452817.1000000006</v>
      </c>
      <c r="CF94" s="31">
        <f>BA60</f>
        <v>0</v>
      </c>
    </row>
    <row r="95" spans="1:84" x14ac:dyDescent="0.25">
      <c r="A95" s="25" t="s">
        <v>279</v>
      </c>
      <c r="B95" s="19"/>
      <c r="C95" s="241">
        <v>98.057163461538465</v>
      </c>
      <c r="D95" s="241">
        <v>45.436730769230763</v>
      </c>
      <c r="E95" s="241">
        <v>184.78013942307692</v>
      </c>
      <c r="F95" s="241">
        <v>0.41763461538461538</v>
      </c>
      <c r="G95" s="241">
        <v>11.122442307692308</v>
      </c>
      <c r="H95" s="241"/>
      <c r="I95" s="241"/>
      <c r="J95" s="241"/>
      <c r="K95" s="241"/>
      <c r="L95" s="241"/>
      <c r="M95" s="241">
        <v>17.644692307692299</v>
      </c>
      <c r="N95" s="241"/>
      <c r="O95" s="241">
        <v>132.01289903846154</v>
      </c>
      <c r="P95" s="242">
        <v>51.87710096153846</v>
      </c>
      <c r="Q95" s="242">
        <v>40.69363461538461</v>
      </c>
      <c r="R95" s="242">
        <v>0</v>
      </c>
      <c r="S95" s="243">
        <v>9.1346153846153851E-3</v>
      </c>
      <c r="T95" s="243">
        <v>0</v>
      </c>
      <c r="U95" s="244">
        <v>0.68947115384615376</v>
      </c>
      <c r="V95" s="242">
        <v>0</v>
      </c>
      <c r="W95" s="242">
        <v>1.6826923076923078E-3</v>
      </c>
      <c r="X95" s="242">
        <v>0</v>
      </c>
      <c r="Y95" s="242">
        <v>30.538735576923077</v>
      </c>
      <c r="Z95" s="242">
        <v>4.2729519230769233</v>
      </c>
      <c r="AA95" s="242"/>
      <c r="AB95" s="243"/>
      <c r="AC95" s="242"/>
      <c r="AD95" s="242"/>
      <c r="AE95" s="242"/>
      <c r="AF95" s="242"/>
      <c r="AG95" s="242">
        <v>65.661836538461543</v>
      </c>
      <c r="AH95" s="242">
        <v>0</v>
      </c>
      <c r="AI95" s="242">
        <v>0</v>
      </c>
      <c r="AJ95" s="242">
        <v>53.624048076923081</v>
      </c>
      <c r="AK95" s="242"/>
      <c r="AL95" s="242"/>
      <c r="AM95" s="242"/>
      <c r="AN95" s="242"/>
      <c r="AO95" s="242"/>
      <c r="AP95" s="242">
        <v>15.406192307692308</v>
      </c>
      <c r="AQ95" s="242">
        <v>0</v>
      </c>
      <c r="AR95" s="242">
        <v>174.25440384615399</v>
      </c>
      <c r="AS95" s="242">
        <v>0</v>
      </c>
      <c r="AT95" s="242">
        <v>0</v>
      </c>
      <c r="AU95" s="242">
        <v>0</v>
      </c>
      <c r="AV95" s="243">
        <v>64.618427884615386</v>
      </c>
      <c r="AW95" s="263" t="s">
        <v>233</v>
      </c>
      <c r="AX95" s="263" t="s">
        <v>233</v>
      </c>
      <c r="AY95" s="263" t="s">
        <v>233</v>
      </c>
      <c r="AZ95" s="228" t="s">
        <v>233</v>
      </c>
      <c r="BA95" s="228" t="s">
        <v>233</v>
      </c>
      <c r="BB95" s="228" t="s">
        <v>233</v>
      </c>
      <c r="BC95" s="228" t="s">
        <v>233</v>
      </c>
      <c r="BD95" s="228" t="s">
        <v>233</v>
      </c>
      <c r="BE95" s="228" t="s">
        <v>233</v>
      </c>
      <c r="BF95" s="228" t="s">
        <v>233</v>
      </c>
      <c r="BG95" s="228" t="s">
        <v>233</v>
      </c>
      <c r="BH95" s="228" t="s">
        <v>233</v>
      </c>
      <c r="BI95" s="228" t="s">
        <v>233</v>
      </c>
      <c r="BJ95" s="228" t="s">
        <v>233</v>
      </c>
      <c r="BK95" s="228" t="s">
        <v>233</v>
      </c>
      <c r="BL95" s="228" t="s">
        <v>233</v>
      </c>
      <c r="BM95" s="228" t="s">
        <v>233</v>
      </c>
      <c r="BN95" s="228" t="s">
        <v>233</v>
      </c>
      <c r="BO95" s="228" t="s">
        <v>233</v>
      </c>
      <c r="BP95" s="228" t="s">
        <v>233</v>
      </c>
      <c r="BQ95" s="228" t="s">
        <v>233</v>
      </c>
      <c r="BR95" s="228" t="s">
        <v>233</v>
      </c>
      <c r="BS95" s="228" t="s">
        <v>233</v>
      </c>
      <c r="BT95" s="228" t="s">
        <v>233</v>
      </c>
      <c r="BU95" s="229"/>
      <c r="BV95" s="229"/>
      <c r="BW95" s="229"/>
      <c r="BX95" s="229"/>
      <c r="BY95" s="229"/>
      <c r="BZ95" s="229"/>
      <c r="CA95" s="229"/>
      <c r="CB95" s="229"/>
      <c r="CC95" s="228" t="s">
        <v>233</v>
      </c>
      <c r="CD95" s="228" t="s">
        <v>233</v>
      </c>
      <c r="CE95" s="265">
        <f t="shared" si="14"/>
        <v>991.11932211538465</v>
      </c>
      <c r="CF95" s="36"/>
    </row>
    <row r="96" spans="1:84" x14ac:dyDescent="0.25">
      <c r="A96" s="37" t="s">
        <v>280</v>
      </c>
      <c r="B96" s="37"/>
      <c r="C96" s="37"/>
      <c r="D96" s="37"/>
      <c r="E96" s="37"/>
    </row>
    <row r="97" spans="1:6" x14ac:dyDescent="0.25">
      <c r="A97" s="38" t="s">
        <v>281</v>
      </c>
      <c r="B97" s="39"/>
      <c r="C97" s="216" t="s">
        <v>1360</v>
      </c>
      <c r="D97" s="41"/>
      <c r="E97" s="42"/>
      <c r="F97" s="15"/>
    </row>
    <row r="98" spans="1:6" x14ac:dyDescent="0.25">
      <c r="A98" s="31" t="s">
        <v>283</v>
      </c>
      <c r="B98" s="39" t="s">
        <v>284</v>
      </c>
      <c r="C98" s="217" t="s">
        <v>1361</v>
      </c>
      <c r="D98" s="41"/>
      <c r="E98" s="42"/>
      <c r="F98" s="15"/>
    </row>
    <row r="99" spans="1:6" x14ac:dyDescent="0.25">
      <c r="A99" s="31" t="s">
        <v>285</v>
      </c>
      <c r="B99" s="39" t="s">
        <v>284</v>
      </c>
      <c r="C99" s="218" t="s">
        <v>1362</v>
      </c>
      <c r="D99" s="41"/>
      <c r="E99" s="42"/>
      <c r="F99" s="15"/>
    </row>
    <row r="100" spans="1:6" x14ac:dyDescent="0.25">
      <c r="A100" s="31" t="s">
        <v>286</v>
      </c>
      <c r="B100" s="39" t="s">
        <v>284</v>
      </c>
      <c r="C100" s="218" t="s">
        <v>1363</v>
      </c>
      <c r="D100" s="41"/>
      <c r="E100" s="42"/>
      <c r="F100" s="15"/>
    </row>
    <row r="101" spans="1:6" x14ac:dyDescent="0.25">
      <c r="A101" s="31" t="s">
        <v>287</v>
      </c>
      <c r="B101" s="39" t="s">
        <v>284</v>
      </c>
      <c r="C101" s="218" t="s">
        <v>1364</v>
      </c>
      <c r="D101" s="41"/>
      <c r="E101" s="42"/>
      <c r="F101" s="15"/>
    </row>
    <row r="102" spans="1:6" x14ac:dyDescent="0.25">
      <c r="A102" s="31" t="s">
        <v>288</v>
      </c>
      <c r="B102" s="39" t="s">
        <v>284</v>
      </c>
      <c r="C102" s="218" t="s">
        <v>1365</v>
      </c>
      <c r="D102" s="41"/>
      <c r="E102" s="42"/>
      <c r="F102" s="15"/>
    </row>
    <row r="103" spans="1:6" x14ac:dyDescent="0.25">
      <c r="A103" s="31" t="s">
        <v>289</v>
      </c>
      <c r="B103" s="39" t="s">
        <v>284</v>
      </c>
      <c r="C103" s="246">
        <v>98034</v>
      </c>
      <c r="D103" s="41"/>
      <c r="E103" s="42"/>
      <c r="F103" s="15"/>
    </row>
    <row r="104" spans="1:6" x14ac:dyDescent="0.25">
      <c r="A104" s="31" t="s">
        <v>290</v>
      </c>
      <c r="B104" s="39" t="s">
        <v>284</v>
      </c>
      <c r="C104" s="246" t="s">
        <v>1366</v>
      </c>
      <c r="D104" s="41"/>
      <c r="E104" s="42"/>
      <c r="F104" s="15"/>
    </row>
    <row r="105" spans="1:6" x14ac:dyDescent="0.25">
      <c r="A105" s="31" t="s">
        <v>291</v>
      </c>
      <c r="B105" s="39" t="s">
        <v>284</v>
      </c>
      <c r="C105" s="246" t="s">
        <v>1367</v>
      </c>
      <c r="D105" s="41"/>
      <c r="E105" s="42"/>
      <c r="F105" s="15"/>
    </row>
    <row r="106" spans="1:6" x14ac:dyDescent="0.25">
      <c r="A106" s="31" t="s">
        <v>292</v>
      </c>
      <c r="B106" s="39" t="s">
        <v>284</v>
      </c>
      <c r="C106" s="216" t="s">
        <v>1368</v>
      </c>
      <c r="D106" s="41"/>
      <c r="E106" s="42"/>
      <c r="F106" s="15"/>
    </row>
    <row r="107" spans="1:6" x14ac:dyDescent="0.25">
      <c r="A107" s="31" t="s">
        <v>293</v>
      </c>
      <c r="B107" s="39" t="s">
        <v>284</v>
      </c>
      <c r="C107" s="218" t="s">
        <v>1369</v>
      </c>
      <c r="D107" s="41"/>
      <c r="E107" s="42"/>
      <c r="F107" s="15"/>
    </row>
    <row r="108" spans="1:6" x14ac:dyDescent="0.25">
      <c r="A108" s="31" t="s">
        <v>294</v>
      </c>
      <c r="B108" s="39" t="s">
        <v>284</v>
      </c>
      <c r="C108" s="340" t="s">
        <v>1370</v>
      </c>
      <c r="D108" s="41"/>
      <c r="E108" s="42"/>
      <c r="F108" s="15"/>
    </row>
    <row r="109" spans="1:6" x14ac:dyDescent="0.25">
      <c r="A109" s="31" t="s">
        <v>295</v>
      </c>
      <c r="B109" s="39" t="s">
        <v>284</v>
      </c>
      <c r="C109" s="340" t="s">
        <v>1371</v>
      </c>
      <c r="D109" s="41"/>
      <c r="E109" s="42"/>
      <c r="F109" s="15"/>
    </row>
    <row r="110" spans="1:6" x14ac:dyDescent="0.25">
      <c r="A110" s="43" t="s">
        <v>296</v>
      </c>
      <c r="B110" s="39" t="s">
        <v>284</v>
      </c>
      <c r="C110" s="40"/>
      <c r="D110" s="41"/>
      <c r="E110" s="42"/>
      <c r="F110" s="15"/>
    </row>
    <row r="111" spans="1:6" x14ac:dyDescent="0.25">
      <c r="A111" s="43" t="s">
        <v>297</v>
      </c>
      <c r="B111" s="39" t="s">
        <v>284</v>
      </c>
      <c r="C111" s="326"/>
      <c r="D111" s="41"/>
      <c r="E111" s="42"/>
      <c r="F111" s="15"/>
    </row>
    <row r="112" spans="1:6" x14ac:dyDescent="0.25">
      <c r="A112" s="37" t="s">
        <v>298</v>
      </c>
      <c r="B112" s="37"/>
      <c r="C112" s="37"/>
      <c r="D112" s="37"/>
      <c r="E112" s="37"/>
    </row>
    <row r="113" spans="1:5" x14ac:dyDescent="0.25">
      <c r="A113" s="44" t="s">
        <v>299</v>
      </c>
      <c r="B113" s="44"/>
      <c r="C113" s="44"/>
      <c r="D113" s="44"/>
      <c r="E113" s="44"/>
    </row>
    <row r="114" spans="1:5" x14ac:dyDescent="0.25">
      <c r="A114" s="19" t="s">
        <v>288</v>
      </c>
      <c r="B114" s="45" t="s">
        <v>284</v>
      </c>
      <c r="C114" s="46" t="s">
        <v>282</v>
      </c>
      <c r="D114" s="19"/>
      <c r="E114" s="19"/>
    </row>
    <row r="115" spans="1:5" x14ac:dyDescent="0.25">
      <c r="A115" s="19" t="s">
        <v>290</v>
      </c>
      <c r="B115" s="45" t="s">
        <v>284</v>
      </c>
      <c r="C115" s="46" t="s">
        <v>282</v>
      </c>
      <c r="D115" s="19"/>
      <c r="E115" s="19"/>
    </row>
    <row r="116" spans="1:5" x14ac:dyDescent="0.25">
      <c r="A116" s="19" t="s">
        <v>300</v>
      </c>
      <c r="B116" s="45" t="s">
        <v>284</v>
      </c>
      <c r="C116" s="46" t="s">
        <v>1372</v>
      </c>
      <c r="D116" s="19"/>
      <c r="E116" s="19"/>
    </row>
    <row r="117" spans="1:5" x14ac:dyDescent="0.25">
      <c r="A117" s="44" t="s">
        <v>301</v>
      </c>
      <c r="B117" s="44"/>
      <c r="C117" s="44"/>
      <c r="D117" s="44"/>
      <c r="E117" s="44"/>
    </row>
    <row r="118" spans="1:5" x14ac:dyDescent="0.25">
      <c r="A118" s="19" t="s">
        <v>302</v>
      </c>
      <c r="B118" s="45" t="s">
        <v>284</v>
      </c>
      <c r="C118" s="46"/>
      <c r="D118" s="19"/>
      <c r="E118" s="19"/>
    </row>
    <row r="119" spans="1:5" x14ac:dyDescent="0.25">
      <c r="A119" s="19" t="s">
        <v>144</v>
      </c>
      <c r="B119" s="45" t="s">
        <v>284</v>
      </c>
      <c r="C119" s="233"/>
      <c r="D119" s="19"/>
      <c r="E119" s="19"/>
    </row>
    <row r="120" spans="1:5" x14ac:dyDescent="0.25">
      <c r="A120" s="44" t="s">
        <v>303</v>
      </c>
      <c r="B120" s="44"/>
      <c r="C120" s="44"/>
      <c r="D120" s="44"/>
      <c r="E120" s="44"/>
    </row>
    <row r="121" spans="1:5" x14ac:dyDescent="0.25">
      <c r="A121" s="19" t="s">
        <v>304</v>
      </c>
      <c r="B121" s="45" t="s">
        <v>284</v>
      </c>
      <c r="C121" s="46" t="s">
        <v>282</v>
      </c>
      <c r="D121" s="19"/>
      <c r="E121" s="19"/>
    </row>
    <row r="122" spans="1:5" x14ac:dyDescent="0.25">
      <c r="A122" s="19" t="s">
        <v>305</v>
      </c>
      <c r="B122" s="45" t="s">
        <v>284</v>
      </c>
      <c r="C122" s="46" t="s">
        <v>282</v>
      </c>
      <c r="D122" s="19"/>
      <c r="E122" s="19"/>
    </row>
    <row r="123" spans="1:5" x14ac:dyDescent="0.25">
      <c r="A123" s="19" t="s">
        <v>306</v>
      </c>
      <c r="B123" s="45" t="s">
        <v>284</v>
      </c>
      <c r="C123" s="46" t="s">
        <v>282</v>
      </c>
      <c r="D123" s="19"/>
      <c r="E123" s="19"/>
    </row>
    <row r="124" spans="1:5" x14ac:dyDescent="0.25">
      <c r="A124" s="19"/>
      <c r="B124" s="45"/>
      <c r="C124" s="47"/>
      <c r="D124" s="19"/>
      <c r="E124" s="19"/>
    </row>
    <row r="125" spans="1:5" x14ac:dyDescent="0.25">
      <c r="A125" s="48" t="s">
        <v>307</v>
      </c>
      <c r="B125" s="37"/>
      <c r="C125" s="37"/>
      <c r="D125" s="37"/>
      <c r="E125" s="37"/>
    </row>
    <row r="126" spans="1:5" x14ac:dyDescent="0.25">
      <c r="A126" s="19"/>
      <c r="B126" s="45"/>
      <c r="C126" s="47"/>
      <c r="D126" s="19"/>
      <c r="E126" s="19"/>
    </row>
    <row r="127" spans="1:5" x14ac:dyDescent="0.25">
      <c r="A127" s="25" t="s">
        <v>308</v>
      </c>
      <c r="B127" s="19"/>
      <c r="C127" s="20" t="s">
        <v>309</v>
      </c>
      <c r="D127" s="21" t="s">
        <v>227</v>
      </c>
      <c r="E127" s="19"/>
    </row>
    <row r="128" spans="1:5" x14ac:dyDescent="0.25">
      <c r="A128" s="19" t="s">
        <v>310</v>
      </c>
      <c r="B128" s="45" t="s">
        <v>284</v>
      </c>
      <c r="C128" s="215">
        <v>14650</v>
      </c>
      <c r="D128" s="219">
        <v>66833</v>
      </c>
      <c r="E128" s="19"/>
    </row>
    <row r="129" spans="1:5" x14ac:dyDescent="0.25">
      <c r="A129" s="19" t="s">
        <v>311</v>
      </c>
      <c r="B129" s="45" t="s">
        <v>284</v>
      </c>
      <c r="C129" s="215"/>
      <c r="D129" s="219"/>
      <c r="E129" s="19"/>
    </row>
    <row r="130" spans="1:5" x14ac:dyDescent="0.25">
      <c r="A130" s="19" t="s">
        <v>312</v>
      </c>
      <c r="B130" s="45" t="s">
        <v>284</v>
      </c>
      <c r="C130" s="215"/>
      <c r="D130" s="219"/>
      <c r="E130" s="19"/>
    </row>
    <row r="131" spans="1:5" x14ac:dyDescent="0.25">
      <c r="A131" s="19" t="s">
        <v>313</v>
      </c>
      <c r="B131" s="45" t="s">
        <v>284</v>
      </c>
      <c r="C131" s="215">
        <v>4833</v>
      </c>
      <c r="D131" s="219"/>
      <c r="E131" s="19"/>
    </row>
    <row r="132" spans="1:5" x14ac:dyDescent="0.25">
      <c r="A132" s="25" t="s">
        <v>314</v>
      </c>
      <c r="B132" s="19"/>
      <c r="C132" s="20" t="s">
        <v>179</v>
      </c>
      <c r="D132" s="19"/>
      <c r="E132" s="19"/>
    </row>
    <row r="133" spans="1:5" x14ac:dyDescent="0.25">
      <c r="A133" s="19" t="s">
        <v>315</v>
      </c>
      <c r="B133" s="45" t="s">
        <v>284</v>
      </c>
      <c r="C133" s="215">
        <v>20</v>
      </c>
      <c r="D133" s="19"/>
      <c r="E133" s="19"/>
    </row>
    <row r="134" spans="1:5" x14ac:dyDescent="0.25">
      <c r="A134" s="19" t="s">
        <v>316</v>
      </c>
      <c r="B134" s="45" t="s">
        <v>284</v>
      </c>
      <c r="C134" s="215">
        <v>31</v>
      </c>
      <c r="D134" s="19"/>
      <c r="E134" s="19"/>
    </row>
    <row r="135" spans="1:5" x14ac:dyDescent="0.25">
      <c r="A135" s="19" t="s">
        <v>317</v>
      </c>
      <c r="B135" s="45" t="s">
        <v>284</v>
      </c>
      <c r="C135" s="215">
        <v>173</v>
      </c>
      <c r="D135" s="19"/>
      <c r="E135" s="19"/>
    </row>
    <row r="136" spans="1:5" x14ac:dyDescent="0.25">
      <c r="A136" s="19" t="s">
        <v>318</v>
      </c>
      <c r="B136" s="45" t="s">
        <v>284</v>
      </c>
      <c r="C136" s="215">
        <v>1</v>
      </c>
      <c r="D136" s="19"/>
      <c r="E136" s="19"/>
    </row>
    <row r="137" spans="1:5" x14ac:dyDescent="0.25">
      <c r="A137" s="19" t="s">
        <v>319</v>
      </c>
      <c r="B137" s="45" t="s">
        <v>284</v>
      </c>
      <c r="C137" s="215">
        <v>36</v>
      </c>
      <c r="D137" s="19"/>
      <c r="E137" s="19"/>
    </row>
    <row r="138" spans="1:5" x14ac:dyDescent="0.25">
      <c r="A138" s="19" t="s">
        <v>320</v>
      </c>
      <c r="B138" s="45" t="s">
        <v>284</v>
      </c>
      <c r="C138" s="215">
        <v>14</v>
      </c>
      <c r="D138" s="19"/>
      <c r="E138" s="19"/>
    </row>
    <row r="139" spans="1:5" x14ac:dyDescent="0.25">
      <c r="A139" s="19" t="s">
        <v>108</v>
      </c>
      <c r="B139" s="45" t="s">
        <v>284</v>
      </c>
      <c r="C139" s="215"/>
      <c r="D139" s="19"/>
      <c r="E139" s="19"/>
    </row>
    <row r="140" spans="1:5" x14ac:dyDescent="0.25">
      <c r="A140" s="19" t="s">
        <v>321</v>
      </c>
      <c r="B140" s="45" t="s">
        <v>284</v>
      </c>
      <c r="C140" s="215"/>
      <c r="D140" s="19"/>
      <c r="E140" s="19"/>
    </row>
    <row r="141" spans="1:5" x14ac:dyDescent="0.25">
      <c r="A141" s="19" t="s">
        <v>322</v>
      </c>
      <c r="B141" s="45"/>
      <c r="C141" s="215"/>
      <c r="D141" s="19"/>
      <c r="E141" s="19"/>
    </row>
    <row r="142" spans="1:5" x14ac:dyDescent="0.25">
      <c r="A142" s="19" t="s">
        <v>312</v>
      </c>
      <c r="B142" s="45" t="s">
        <v>284</v>
      </c>
      <c r="C142" s="215"/>
      <c r="D142" s="19"/>
      <c r="E142" s="19"/>
    </row>
    <row r="143" spans="1:5" x14ac:dyDescent="0.25">
      <c r="A143" s="19" t="s">
        <v>323</v>
      </c>
      <c r="B143" s="45" t="s">
        <v>284</v>
      </c>
      <c r="C143" s="215">
        <v>42</v>
      </c>
      <c r="D143" s="19"/>
      <c r="E143" s="19"/>
    </row>
    <row r="144" spans="1:5" x14ac:dyDescent="0.25">
      <c r="A144" s="19" t="s">
        <v>324</v>
      </c>
      <c r="B144" s="19"/>
      <c r="C144" s="26"/>
      <c r="D144" s="19"/>
      <c r="E144" s="31">
        <f>SUM(C133:C143)</f>
        <v>317</v>
      </c>
    </row>
    <row r="145" spans="1:6" x14ac:dyDescent="0.25">
      <c r="A145" s="19" t="s">
        <v>325</v>
      </c>
      <c r="B145" s="45" t="s">
        <v>284</v>
      </c>
      <c r="C145" s="46">
        <v>318</v>
      </c>
      <c r="D145" s="19"/>
      <c r="E145" s="19"/>
    </row>
    <row r="146" spans="1:6" x14ac:dyDescent="0.25">
      <c r="A146" s="19" t="s">
        <v>326</v>
      </c>
      <c r="B146" s="45" t="s">
        <v>284</v>
      </c>
      <c r="C146" s="46"/>
      <c r="D146" s="19"/>
      <c r="E146" s="19"/>
    </row>
    <row r="147" spans="1:6" x14ac:dyDescent="0.25">
      <c r="A147" s="19"/>
      <c r="B147" s="19"/>
      <c r="C147" s="26"/>
      <c r="D147" s="19"/>
      <c r="E147" s="19"/>
    </row>
    <row r="148" spans="1:6" x14ac:dyDescent="0.25">
      <c r="A148" s="19" t="s">
        <v>327</v>
      </c>
      <c r="B148" s="45" t="s">
        <v>284</v>
      </c>
      <c r="C148" s="46"/>
      <c r="D148" s="19"/>
      <c r="E148" s="19"/>
    </row>
    <row r="149" spans="1:6" x14ac:dyDescent="0.25">
      <c r="A149" s="19"/>
      <c r="B149" s="19"/>
      <c r="C149" s="26"/>
      <c r="D149" s="19"/>
      <c r="E149" s="19"/>
    </row>
    <row r="150" spans="1:6" x14ac:dyDescent="0.25">
      <c r="A150" s="19"/>
      <c r="B150" s="19"/>
      <c r="C150" s="26"/>
      <c r="D150" s="19"/>
      <c r="E150" s="19"/>
    </row>
    <row r="151" spans="1:6" x14ac:dyDescent="0.25">
      <c r="A151" s="19"/>
      <c r="B151" s="19"/>
      <c r="C151" s="26"/>
      <c r="D151" s="19"/>
      <c r="E151" s="19"/>
    </row>
    <row r="152" spans="1:6" x14ac:dyDescent="0.25">
      <c r="A152" s="19"/>
      <c r="B152" s="19"/>
      <c r="C152" s="26"/>
      <c r="D152" s="19"/>
      <c r="E152" s="19"/>
    </row>
    <row r="153" spans="1:6" x14ac:dyDescent="0.25">
      <c r="A153" s="37" t="s">
        <v>328</v>
      </c>
      <c r="B153" s="48"/>
      <c r="C153" s="48"/>
      <c r="D153" s="48"/>
      <c r="E153" s="48"/>
    </row>
    <row r="154" spans="1:6" x14ac:dyDescent="0.25">
      <c r="A154" s="50" t="s">
        <v>329</v>
      </c>
      <c r="B154" s="51" t="s">
        <v>330</v>
      </c>
      <c r="C154" s="52" t="s">
        <v>331</v>
      </c>
      <c r="D154" s="51" t="s">
        <v>144</v>
      </c>
      <c r="E154" s="51" t="s">
        <v>215</v>
      </c>
    </row>
    <row r="155" spans="1:6" x14ac:dyDescent="0.25">
      <c r="A155" s="19" t="s">
        <v>309</v>
      </c>
      <c r="B155" s="49">
        <v>5611</v>
      </c>
      <c r="C155" s="49">
        <v>5472</v>
      </c>
      <c r="D155" s="49">
        <v>3567</v>
      </c>
      <c r="E155" s="31">
        <f>SUM(B155:D155)</f>
        <v>14650</v>
      </c>
    </row>
    <row r="156" spans="1:6" x14ac:dyDescent="0.25">
      <c r="A156" s="19" t="s">
        <v>227</v>
      </c>
      <c r="B156" s="49">
        <v>39261</v>
      </c>
      <c r="C156" s="49">
        <v>10432</v>
      </c>
      <c r="D156" s="49">
        <v>17140</v>
      </c>
      <c r="E156" s="31">
        <f>SUM(B156:D156)</f>
        <v>66833</v>
      </c>
    </row>
    <row r="157" spans="1:6" x14ac:dyDescent="0.25">
      <c r="A157" s="19" t="s">
        <v>332</v>
      </c>
      <c r="B157" s="49"/>
      <c r="C157" s="49"/>
      <c r="D157" s="49"/>
      <c r="E157" s="31">
        <f>SUM(B157:D157)</f>
        <v>0</v>
      </c>
    </row>
    <row r="158" spans="1:6" x14ac:dyDescent="0.25">
      <c r="A158" s="19" t="s">
        <v>272</v>
      </c>
      <c r="B158" s="49">
        <v>400385844</v>
      </c>
      <c r="C158" s="49">
        <v>100991324</v>
      </c>
      <c r="D158" s="49">
        <v>346118150</v>
      </c>
      <c r="E158" s="31">
        <f>SUM(B158:D158)</f>
        <v>847495318</v>
      </c>
      <c r="F158" s="17"/>
    </row>
    <row r="159" spans="1:6" x14ac:dyDescent="0.25">
      <c r="A159" s="19" t="s">
        <v>273</v>
      </c>
      <c r="B159" s="49">
        <v>493100168</v>
      </c>
      <c r="C159" s="49">
        <v>108672622</v>
      </c>
      <c r="D159" s="49">
        <v>651741769</v>
      </c>
      <c r="E159" s="31">
        <f>SUM(B159:D159)</f>
        <v>1253514559</v>
      </c>
      <c r="F159" s="17"/>
    </row>
    <row r="160" spans="1:6" x14ac:dyDescent="0.25">
      <c r="A160" s="50" t="s">
        <v>333</v>
      </c>
      <c r="B160" s="51" t="s">
        <v>330</v>
      </c>
      <c r="C160" s="52" t="s">
        <v>331</v>
      </c>
      <c r="D160" s="51" t="s">
        <v>144</v>
      </c>
      <c r="E160" s="51" t="s">
        <v>215</v>
      </c>
    </row>
    <row r="161" spans="1:5" x14ac:dyDescent="0.25">
      <c r="A161" s="19" t="s">
        <v>309</v>
      </c>
      <c r="B161" s="49"/>
      <c r="C161" s="49"/>
      <c r="D161" s="49"/>
      <c r="E161" s="31">
        <f>SUM(B161:D161)</f>
        <v>0</v>
      </c>
    </row>
    <row r="162" spans="1:5" x14ac:dyDescent="0.25">
      <c r="A162" s="19" t="s">
        <v>227</v>
      </c>
      <c r="B162" s="49"/>
      <c r="C162" s="49"/>
      <c r="D162" s="49"/>
      <c r="E162" s="31">
        <f>SUM(B162:D162)</f>
        <v>0</v>
      </c>
    </row>
    <row r="163" spans="1:5" x14ac:dyDescent="0.25">
      <c r="A163" s="19" t="s">
        <v>332</v>
      </c>
      <c r="B163" s="49"/>
      <c r="C163" s="49"/>
      <c r="D163" s="49"/>
      <c r="E163" s="31">
        <f>SUM(B163:D163)</f>
        <v>0</v>
      </c>
    </row>
    <row r="164" spans="1:5" x14ac:dyDescent="0.25">
      <c r="A164" s="19" t="s">
        <v>272</v>
      </c>
      <c r="B164" s="49"/>
      <c r="C164" s="49"/>
      <c r="D164" s="49"/>
      <c r="E164" s="31">
        <f>SUM(B164:D164)</f>
        <v>0</v>
      </c>
    </row>
    <row r="165" spans="1:5" x14ac:dyDescent="0.25">
      <c r="A165" s="19" t="s">
        <v>273</v>
      </c>
      <c r="B165" s="49"/>
      <c r="C165" s="49"/>
      <c r="D165" s="49"/>
      <c r="E165" s="31">
        <f>SUM(B165:D165)</f>
        <v>0</v>
      </c>
    </row>
    <row r="166" spans="1:5" x14ac:dyDescent="0.25">
      <c r="A166" s="50" t="s">
        <v>334</v>
      </c>
      <c r="B166" s="51" t="s">
        <v>330</v>
      </c>
      <c r="C166" s="52" t="s">
        <v>331</v>
      </c>
      <c r="D166" s="51" t="s">
        <v>144</v>
      </c>
      <c r="E166" s="51" t="s">
        <v>215</v>
      </c>
    </row>
    <row r="167" spans="1:5" x14ac:dyDescent="0.25">
      <c r="A167" s="19" t="s">
        <v>309</v>
      </c>
      <c r="B167" s="49"/>
      <c r="C167" s="49"/>
      <c r="D167" s="49"/>
      <c r="E167" s="31">
        <f>SUM(B167:D167)</f>
        <v>0</v>
      </c>
    </row>
    <row r="168" spans="1:5" x14ac:dyDescent="0.25">
      <c r="A168" s="19" t="s">
        <v>227</v>
      </c>
      <c r="B168" s="49"/>
      <c r="C168" s="49"/>
      <c r="D168" s="49"/>
      <c r="E168" s="31">
        <f>SUM(B168:D168)</f>
        <v>0</v>
      </c>
    </row>
    <row r="169" spans="1:5" x14ac:dyDescent="0.25">
      <c r="A169" s="19" t="s">
        <v>332</v>
      </c>
      <c r="B169" s="49"/>
      <c r="C169" s="49"/>
      <c r="D169" s="49"/>
      <c r="E169" s="31">
        <f>SUM(B169:D169)</f>
        <v>0</v>
      </c>
    </row>
    <row r="170" spans="1:5" x14ac:dyDescent="0.25">
      <c r="A170" s="19" t="s">
        <v>272</v>
      </c>
      <c r="B170" s="49"/>
      <c r="C170" s="49"/>
      <c r="D170" s="49"/>
      <c r="E170" s="31">
        <f>SUM(B170:D170)</f>
        <v>0</v>
      </c>
    </row>
    <row r="171" spans="1:5" x14ac:dyDescent="0.25">
      <c r="A171" s="19" t="s">
        <v>273</v>
      </c>
      <c r="B171" s="49"/>
      <c r="C171" s="49"/>
      <c r="D171" s="49"/>
      <c r="E171" s="31">
        <f>SUM(B171:D171)</f>
        <v>0</v>
      </c>
    </row>
    <row r="172" spans="1:5" x14ac:dyDescent="0.25">
      <c r="A172" s="24"/>
      <c r="B172" s="24"/>
      <c r="C172" s="53"/>
      <c r="D172" s="54"/>
      <c r="E172" s="19"/>
    </row>
    <row r="173" spans="1:5" x14ac:dyDescent="0.25">
      <c r="A173" s="50" t="s">
        <v>335</v>
      </c>
      <c r="B173" s="51" t="s">
        <v>336</v>
      </c>
      <c r="C173" s="52" t="s">
        <v>337</v>
      </c>
      <c r="D173" s="19"/>
      <c r="E173" s="19"/>
    </row>
    <row r="174" spans="1:5" x14ac:dyDescent="0.25">
      <c r="A174" s="24" t="s">
        <v>338</v>
      </c>
      <c r="B174" s="49">
        <v>7835412</v>
      </c>
      <c r="C174" s="49">
        <v>16660393</v>
      </c>
      <c r="D174" s="19"/>
      <c r="E174" s="19"/>
    </row>
    <row r="175" spans="1:5" x14ac:dyDescent="0.25">
      <c r="A175" s="24"/>
      <c r="B175" s="54"/>
      <c r="C175" s="53"/>
      <c r="D175" s="19"/>
      <c r="E175" s="19"/>
    </row>
    <row r="176" spans="1:5" x14ac:dyDescent="0.25">
      <c r="A176" s="24"/>
      <c r="B176" s="24"/>
      <c r="C176" s="53"/>
      <c r="D176" s="54"/>
      <c r="E176" s="19"/>
    </row>
    <row r="177" spans="1:5" x14ac:dyDescent="0.25">
      <c r="A177" s="24"/>
      <c r="B177" s="24"/>
      <c r="C177" s="53"/>
      <c r="D177" s="54"/>
      <c r="E177" s="19"/>
    </row>
    <row r="178" spans="1:5" x14ac:dyDescent="0.25">
      <c r="A178" s="24"/>
      <c r="B178" s="24"/>
      <c r="C178" s="53"/>
      <c r="D178" s="54"/>
      <c r="E178" s="19"/>
    </row>
    <row r="179" spans="1:5" x14ac:dyDescent="0.25">
      <c r="A179" s="24"/>
      <c r="B179" s="24"/>
      <c r="C179" s="53"/>
      <c r="D179" s="54"/>
      <c r="E179" s="19"/>
    </row>
    <row r="180" spans="1:5" x14ac:dyDescent="0.25">
      <c r="A180" s="48" t="s">
        <v>339</v>
      </c>
      <c r="B180" s="37"/>
      <c r="C180" s="37"/>
      <c r="D180" s="37"/>
      <c r="E180" s="37"/>
    </row>
    <row r="181" spans="1:5" x14ac:dyDescent="0.25">
      <c r="A181" s="44" t="s">
        <v>340</v>
      </c>
      <c r="B181" s="44"/>
      <c r="C181" s="44"/>
      <c r="D181" s="44"/>
      <c r="E181" s="44"/>
    </row>
    <row r="182" spans="1:5" x14ac:dyDescent="0.25">
      <c r="A182" s="19" t="s">
        <v>341</v>
      </c>
      <c r="B182" s="45" t="s">
        <v>284</v>
      </c>
      <c r="C182" s="215">
        <v>27566399</v>
      </c>
      <c r="D182" s="19"/>
      <c r="E182" s="19"/>
    </row>
    <row r="183" spans="1:5" x14ac:dyDescent="0.25">
      <c r="A183" s="19" t="s">
        <v>342</v>
      </c>
      <c r="B183" s="45" t="s">
        <v>284</v>
      </c>
      <c r="C183" s="215">
        <v>11058</v>
      </c>
      <c r="D183" s="19"/>
      <c r="E183" s="19"/>
    </row>
    <row r="184" spans="1:5" x14ac:dyDescent="0.25">
      <c r="A184" s="24" t="s">
        <v>343</v>
      </c>
      <c r="B184" s="45" t="s">
        <v>284</v>
      </c>
      <c r="C184" s="215">
        <v>2813235</v>
      </c>
      <c r="D184" s="19"/>
      <c r="E184" s="19"/>
    </row>
    <row r="185" spans="1:5" x14ac:dyDescent="0.25">
      <c r="A185" s="19" t="s">
        <v>344</v>
      </c>
      <c r="B185" s="45" t="s">
        <v>284</v>
      </c>
      <c r="C185" s="215">
        <v>48803374</v>
      </c>
      <c r="D185" s="19"/>
      <c r="E185" s="19"/>
    </row>
    <row r="186" spans="1:5" x14ac:dyDescent="0.25">
      <c r="A186" s="19" t="s">
        <v>345</v>
      </c>
      <c r="B186" s="45" t="s">
        <v>284</v>
      </c>
      <c r="C186" s="215">
        <v>206869</v>
      </c>
      <c r="D186" s="19"/>
      <c r="E186" s="19"/>
    </row>
    <row r="187" spans="1:5" x14ac:dyDescent="0.25">
      <c r="A187" s="19" t="s">
        <v>346</v>
      </c>
      <c r="B187" s="45" t="s">
        <v>284</v>
      </c>
      <c r="C187" s="215">
        <v>21453089</v>
      </c>
      <c r="D187" s="19"/>
      <c r="E187" s="19"/>
    </row>
    <row r="188" spans="1:5" x14ac:dyDescent="0.25">
      <c r="A188" s="19" t="s">
        <v>347</v>
      </c>
      <c r="B188" s="45" t="s">
        <v>284</v>
      </c>
      <c r="C188" s="215">
        <v>1573712</v>
      </c>
      <c r="D188" s="19"/>
      <c r="E188" s="19"/>
    </row>
    <row r="189" spans="1:5" x14ac:dyDescent="0.25">
      <c r="A189" s="19" t="s">
        <v>347</v>
      </c>
      <c r="B189" s="45" t="s">
        <v>284</v>
      </c>
      <c r="C189" s="46"/>
      <c r="D189" s="19"/>
      <c r="E189" s="19"/>
    </row>
    <row r="190" spans="1:5" x14ac:dyDescent="0.25">
      <c r="A190" s="19" t="s">
        <v>215</v>
      </c>
      <c r="B190" s="19"/>
      <c r="C190" s="26"/>
      <c r="D190" s="31">
        <f>SUM(C182:C189)</f>
        <v>102427736</v>
      </c>
      <c r="E190" s="19"/>
    </row>
    <row r="191" spans="1:5" x14ac:dyDescent="0.25">
      <c r="A191" s="44" t="s">
        <v>348</v>
      </c>
      <c r="B191" s="44"/>
      <c r="C191" s="44"/>
      <c r="D191" s="44"/>
      <c r="E191" s="44"/>
    </row>
    <row r="192" spans="1:5" x14ac:dyDescent="0.25">
      <c r="A192" s="19" t="s">
        <v>349</v>
      </c>
      <c r="B192" s="45" t="s">
        <v>284</v>
      </c>
      <c r="C192" s="215">
        <v>13656735</v>
      </c>
      <c r="D192" s="19"/>
      <c r="E192" s="19"/>
    </row>
    <row r="193" spans="1:5" x14ac:dyDescent="0.25">
      <c r="A193" s="19" t="s">
        <v>350</v>
      </c>
      <c r="B193" s="45" t="s">
        <v>284</v>
      </c>
      <c r="C193" s="215">
        <v>3123056</v>
      </c>
      <c r="D193" s="19"/>
      <c r="E193" s="19"/>
    </row>
    <row r="194" spans="1:5" x14ac:dyDescent="0.25">
      <c r="A194" s="19" t="s">
        <v>215</v>
      </c>
      <c r="B194" s="19"/>
      <c r="C194" s="26"/>
      <c r="D194" s="31">
        <f>SUM(C192:C193)</f>
        <v>16779791</v>
      </c>
      <c r="E194" s="19"/>
    </row>
    <row r="195" spans="1:5" x14ac:dyDescent="0.25">
      <c r="A195" s="44" t="s">
        <v>351</v>
      </c>
      <c r="B195" s="44"/>
      <c r="C195" s="44"/>
      <c r="D195" s="44"/>
      <c r="E195" s="44"/>
    </row>
    <row r="196" spans="1:5" x14ac:dyDescent="0.25">
      <c r="A196" s="19" t="s">
        <v>352</v>
      </c>
      <c r="B196" s="45" t="s">
        <v>284</v>
      </c>
      <c r="C196" s="46">
        <v>1412203</v>
      </c>
      <c r="D196" s="19"/>
      <c r="E196" s="19"/>
    </row>
    <row r="197" spans="1:5" x14ac:dyDescent="0.25">
      <c r="A197" s="19" t="s">
        <v>353</v>
      </c>
      <c r="B197" s="45" t="s">
        <v>284</v>
      </c>
      <c r="C197" s="46">
        <v>1832793</v>
      </c>
      <c r="D197" s="19"/>
      <c r="E197" s="19"/>
    </row>
    <row r="198" spans="1:5" x14ac:dyDescent="0.25">
      <c r="A198" s="19" t="s">
        <v>215</v>
      </c>
      <c r="B198" s="19"/>
      <c r="C198" s="26"/>
      <c r="D198" s="31">
        <f>SUM(C196:C197)</f>
        <v>3244996</v>
      </c>
      <c r="E198" s="19"/>
    </row>
    <row r="199" spans="1:5" x14ac:dyDescent="0.25">
      <c r="A199" s="44" t="s">
        <v>354</v>
      </c>
      <c r="B199" s="44"/>
      <c r="C199" s="44"/>
      <c r="D199" s="44"/>
      <c r="E199" s="44"/>
    </row>
    <row r="200" spans="1:5" x14ac:dyDescent="0.25">
      <c r="A200" s="19" t="s">
        <v>355</v>
      </c>
      <c r="B200" s="45" t="s">
        <v>284</v>
      </c>
      <c r="C200" s="46">
        <v>469973</v>
      </c>
      <c r="D200" s="19"/>
      <c r="E200" s="19"/>
    </row>
    <row r="201" spans="1:5" x14ac:dyDescent="0.25">
      <c r="A201" s="19" t="s">
        <v>356</v>
      </c>
      <c r="B201" s="45" t="s">
        <v>284</v>
      </c>
      <c r="C201" s="46">
        <v>6802635</v>
      </c>
      <c r="D201" s="19"/>
      <c r="E201" s="19"/>
    </row>
    <row r="202" spans="1:5" x14ac:dyDescent="0.25">
      <c r="A202" s="19" t="s">
        <v>144</v>
      </c>
      <c r="B202" s="45" t="s">
        <v>284</v>
      </c>
      <c r="C202" s="46"/>
      <c r="D202" s="19"/>
      <c r="E202" s="19"/>
    </row>
    <row r="203" spans="1:5" x14ac:dyDescent="0.25">
      <c r="A203" s="19" t="s">
        <v>215</v>
      </c>
      <c r="B203" s="19"/>
      <c r="C203" s="26"/>
      <c r="D203" s="31">
        <f>SUM(C200:C202)</f>
        <v>7272608</v>
      </c>
      <c r="E203" s="19"/>
    </row>
    <row r="204" spans="1:5" x14ac:dyDescent="0.25">
      <c r="A204" s="44" t="s">
        <v>357</v>
      </c>
      <c r="B204" s="44"/>
      <c r="C204" s="44"/>
      <c r="D204" s="44"/>
      <c r="E204" s="44"/>
    </row>
    <row r="205" spans="1:5" x14ac:dyDescent="0.25">
      <c r="A205" s="19" t="s">
        <v>358</v>
      </c>
      <c r="B205" s="45" t="s">
        <v>284</v>
      </c>
      <c r="C205" s="46">
        <v>9081161</v>
      </c>
      <c r="D205" s="19"/>
      <c r="E205" s="19"/>
    </row>
    <row r="206" spans="1:5" x14ac:dyDescent="0.25">
      <c r="A206" s="19" t="s">
        <v>359</v>
      </c>
      <c r="B206" s="45" t="s">
        <v>284</v>
      </c>
      <c r="C206" s="46"/>
      <c r="D206" s="19"/>
      <c r="E206" s="19"/>
    </row>
    <row r="207" spans="1:5" x14ac:dyDescent="0.25">
      <c r="A207" s="19" t="s">
        <v>215</v>
      </c>
      <c r="B207" s="19"/>
      <c r="C207" s="26"/>
      <c r="D207" s="31">
        <f>SUM(C205:C206)</f>
        <v>9081161</v>
      </c>
      <c r="E207" s="19"/>
    </row>
    <row r="208" spans="1:5" x14ac:dyDescent="0.25">
      <c r="A208" s="19"/>
      <c r="B208" s="19"/>
      <c r="C208" s="26"/>
      <c r="D208" s="19"/>
      <c r="E208" s="19"/>
    </row>
    <row r="209" spans="1:5" x14ac:dyDescent="0.25">
      <c r="A209" s="37" t="s">
        <v>360</v>
      </c>
      <c r="B209" s="37"/>
      <c r="C209" s="37"/>
      <c r="D209" s="37"/>
      <c r="E209" s="37"/>
    </row>
    <row r="210" spans="1:5" x14ac:dyDescent="0.25">
      <c r="A210" s="48" t="s">
        <v>361</v>
      </c>
      <c r="B210" s="37"/>
      <c r="C210" s="37"/>
      <c r="D210" s="37"/>
      <c r="E210" s="37"/>
    </row>
    <row r="211" spans="1:5" x14ac:dyDescent="0.25">
      <c r="A211" s="25"/>
      <c r="B211" s="21" t="s">
        <v>362</v>
      </c>
      <c r="C211" s="20" t="s">
        <v>363</v>
      </c>
      <c r="D211" s="21" t="s">
        <v>364</v>
      </c>
      <c r="E211" s="21" t="s">
        <v>365</v>
      </c>
    </row>
    <row r="212" spans="1:5" x14ac:dyDescent="0.25">
      <c r="A212" s="19" t="s">
        <v>366</v>
      </c>
      <c r="B212" s="219">
        <v>4913659.68</v>
      </c>
      <c r="C212" s="215"/>
      <c r="D212" s="219"/>
      <c r="E212" s="31">
        <f t="shared" ref="E212:E220" si="16">SUM(B212:C212)-D212</f>
        <v>4913659.68</v>
      </c>
    </row>
    <row r="213" spans="1:5" x14ac:dyDescent="0.25">
      <c r="A213" s="19" t="s">
        <v>367</v>
      </c>
      <c r="B213" s="219">
        <v>13123911</v>
      </c>
      <c r="C213" s="215"/>
      <c r="D213" s="219">
        <v>2805</v>
      </c>
      <c r="E213" s="31">
        <f t="shared" si="16"/>
        <v>13121106</v>
      </c>
    </row>
    <row r="214" spans="1:5" x14ac:dyDescent="0.25">
      <c r="A214" s="19" t="s">
        <v>368</v>
      </c>
      <c r="B214" s="219">
        <v>340376358</v>
      </c>
      <c r="C214" s="215">
        <v>18633496</v>
      </c>
      <c r="D214" s="219">
        <v>683557</v>
      </c>
      <c r="E214" s="31">
        <f t="shared" si="16"/>
        <v>358326297</v>
      </c>
    </row>
    <row r="215" spans="1:5" x14ac:dyDescent="0.25">
      <c r="A215" s="19" t="s">
        <v>369</v>
      </c>
      <c r="B215" s="219">
        <v>130279560</v>
      </c>
      <c r="C215" s="215">
        <v>3839889</v>
      </c>
      <c r="D215" s="219">
        <v>350948</v>
      </c>
      <c r="E215" s="31">
        <f t="shared" si="16"/>
        <v>133768501</v>
      </c>
    </row>
    <row r="216" spans="1:5" x14ac:dyDescent="0.25">
      <c r="A216" s="19" t="s">
        <v>370</v>
      </c>
      <c r="B216" s="219">
        <v>23123</v>
      </c>
      <c r="C216" s="215"/>
      <c r="D216" s="219">
        <v>12522</v>
      </c>
      <c r="E216" s="31">
        <f t="shared" si="16"/>
        <v>10601</v>
      </c>
    </row>
    <row r="217" spans="1:5" x14ac:dyDescent="0.25">
      <c r="A217" s="19" t="s">
        <v>371</v>
      </c>
      <c r="B217" s="219">
        <v>301103323</v>
      </c>
      <c r="C217" s="215">
        <v>19964651</v>
      </c>
      <c r="D217" s="219">
        <v>31909848</v>
      </c>
      <c r="E217" s="31">
        <f t="shared" si="16"/>
        <v>289158126</v>
      </c>
    </row>
    <row r="218" spans="1:5" x14ac:dyDescent="0.25">
      <c r="A218" s="19" t="s">
        <v>372</v>
      </c>
      <c r="B218" s="219"/>
      <c r="C218" s="215"/>
      <c r="D218" s="219"/>
      <c r="E218" s="31">
        <f t="shared" si="16"/>
        <v>0</v>
      </c>
    </row>
    <row r="219" spans="1:5" x14ac:dyDescent="0.25">
      <c r="A219" s="19" t="s">
        <v>373</v>
      </c>
      <c r="B219" s="219">
        <v>39940622</v>
      </c>
      <c r="C219" s="215">
        <v>71762</v>
      </c>
      <c r="D219" s="219">
        <v>156740</v>
      </c>
      <c r="E219" s="31">
        <f t="shared" si="16"/>
        <v>39855644</v>
      </c>
    </row>
    <row r="220" spans="1:5" x14ac:dyDescent="0.25">
      <c r="A220" s="19" t="s">
        <v>374</v>
      </c>
      <c r="B220" s="219">
        <v>24573853</v>
      </c>
      <c r="C220" s="215">
        <v>55099847</v>
      </c>
      <c r="D220" s="219">
        <v>46387444</v>
      </c>
      <c r="E220" s="31">
        <f t="shared" si="16"/>
        <v>33286256</v>
      </c>
    </row>
    <row r="221" spans="1:5" x14ac:dyDescent="0.25">
      <c r="A221" s="19" t="s">
        <v>215</v>
      </c>
      <c r="B221" s="31">
        <f>SUM(B212:B220)</f>
        <v>854334409.68000007</v>
      </c>
      <c r="C221" s="264">
        <f>SUM(C212:C220)</f>
        <v>97609645</v>
      </c>
      <c r="D221" s="31">
        <f>SUM(D212:D220)</f>
        <v>79503864</v>
      </c>
      <c r="E221" s="31">
        <f>SUM(E212:E220)</f>
        <v>872440190.68000007</v>
      </c>
    </row>
    <row r="222" spans="1:5" x14ac:dyDescent="0.25">
      <c r="A222" s="19"/>
      <c r="B222" s="19"/>
      <c r="C222" s="26"/>
      <c r="D222" s="19"/>
      <c r="E222" s="19"/>
    </row>
    <row r="223" spans="1:5" x14ac:dyDescent="0.25">
      <c r="A223" s="48" t="s">
        <v>375</v>
      </c>
      <c r="B223" s="48"/>
      <c r="C223" s="48"/>
      <c r="D223" s="48"/>
      <c r="E223" s="48"/>
    </row>
    <row r="224" spans="1:5" x14ac:dyDescent="0.25">
      <c r="A224" s="25"/>
      <c r="B224" s="21" t="s">
        <v>362</v>
      </c>
      <c r="C224" s="20" t="s">
        <v>363</v>
      </c>
      <c r="D224" s="21" t="s">
        <v>364</v>
      </c>
      <c r="E224" s="21" t="s">
        <v>365</v>
      </c>
    </row>
    <row r="225" spans="1:5" x14ac:dyDescent="0.25">
      <c r="A225" s="19" t="s">
        <v>366</v>
      </c>
      <c r="B225" s="54"/>
      <c r="C225" s="53"/>
      <c r="D225" s="54"/>
      <c r="E225" s="19"/>
    </row>
    <row r="226" spans="1:5" x14ac:dyDescent="0.25">
      <c r="A226" s="19" t="s">
        <v>367</v>
      </c>
      <c r="B226" s="219">
        <v>11308055</v>
      </c>
      <c r="C226" s="215">
        <v>355809</v>
      </c>
      <c r="D226" s="219">
        <v>2805</v>
      </c>
      <c r="E226" s="31">
        <f t="shared" ref="E226:E233" si="17">SUM(B226:C226)-D226</f>
        <v>11661059</v>
      </c>
    </row>
    <row r="227" spans="1:5" x14ac:dyDescent="0.25">
      <c r="A227" s="19" t="s">
        <v>368</v>
      </c>
      <c r="B227" s="219">
        <v>182460179</v>
      </c>
      <c r="C227" s="215">
        <v>11974387</v>
      </c>
      <c r="D227" s="219">
        <v>683557</v>
      </c>
      <c r="E227" s="31">
        <f t="shared" si="17"/>
        <v>193751009</v>
      </c>
    </row>
    <row r="228" spans="1:5" x14ac:dyDescent="0.25">
      <c r="A228" s="19" t="s">
        <v>369</v>
      </c>
      <c r="B228" s="219">
        <v>96254498</v>
      </c>
      <c r="C228" s="215">
        <v>4414448</v>
      </c>
      <c r="D228" s="219">
        <v>350948</v>
      </c>
      <c r="E228" s="31">
        <f t="shared" si="17"/>
        <v>100317998</v>
      </c>
    </row>
    <row r="229" spans="1:5" x14ac:dyDescent="0.25">
      <c r="A229" s="19" t="s">
        <v>370</v>
      </c>
      <c r="B229" s="219">
        <v>21268</v>
      </c>
      <c r="C229" s="215">
        <v>530</v>
      </c>
      <c r="D229" s="219">
        <v>12522</v>
      </c>
      <c r="E229" s="31">
        <f t="shared" si="17"/>
        <v>9276</v>
      </c>
    </row>
    <row r="230" spans="1:5" x14ac:dyDescent="0.25">
      <c r="A230" s="19" t="s">
        <v>371</v>
      </c>
      <c r="B230" s="219">
        <v>230163888</v>
      </c>
      <c r="C230" s="215">
        <v>19085474</v>
      </c>
      <c r="D230" s="219">
        <v>31274217</v>
      </c>
      <c r="E230" s="31">
        <f t="shared" si="17"/>
        <v>217975145</v>
      </c>
    </row>
    <row r="231" spans="1:5" x14ac:dyDescent="0.25">
      <c r="A231" s="19" t="s">
        <v>372</v>
      </c>
      <c r="B231" s="219"/>
      <c r="C231" s="215"/>
      <c r="D231" s="219"/>
      <c r="E231" s="31">
        <f t="shared" si="17"/>
        <v>0</v>
      </c>
    </row>
    <row r="232" spans="1:5" x14ac:dyDescent="0.25">
      <c r="A232" s="19" t="s">
        <v>373</v>
      </c>
      <c r="B232" s="219">
        <v>23969317</v>
      </c>
      <c r="C232" s="215">
        <v>2470979</v>
      </c>
      <c r="D232" s="219">
        <v>156740</v>
      </c>
      <c r="E232" s="31">
        <f t="shared" si="17"/>
        <v>26283556</v>
      </c>
    </row>
    <row r="233" spans="1:5" x14ac:dyDescent="0.25">
      <c r="A233" s="19" t="s">
        <v>374</v>
      </c>
      <c r="B233" s="219"/>
      <c r="C233" s="215"/>
      <c r="D233" s="219"/>
      <c r="E233" s="31">
        <f t="shared" si="17"/>
        <v>0</v>
      </c>
    </row>
    <row r="234" spans="1:5" x14ac:dyDescent="0.25">
      <c r="A234" s="19" t="s">
        <v>215</v>
      </c>
      <c r="B234" s="31">
        <f>SUM(B225:B233)</f>
        <v>544177205</v>
      </c>
      <c r="C234" s="264">
        <f>SUM(C225:C233)</f>
        <v>38301627</v>
      </c>
      <c r="D234" s="31">
        <f>SUM(D225:D233)</f>
        <v>32480789</v>
      </c>
      <c r="E234" s="31">
        <f>SUM(E225:E233)</f>
        <v>549998043</v>
      </c>
    </row>
    <row r="235" spans="1:5" x14ac:dyDescent="0.25">
      <c r="A235" s="19"/>
      <c r="B235" s="19"/>
      <c r="C235" s="26"/>
      <c r="D235" s="19"/>
      <c r="E235" s="19"/>
    </row>
    <row r="236" spans="1:5" x14ac:dyDescent="0.25">
      <c r="A236" s="37" t="s">
        <v>376</v>
      </c>
      <c r="B236" s="37"/>
      <c r="C236" s="37"/>
      <c r="D236" s="37"/>
      <c r="E236" s="37"/>
    </row>
    <row r="237" spans="1:5" x14ac:dyDescent="0.25">
      <c r="A237" s="37"/>
      <c r="B237" s="354" t="s">
        <v>377</v>
      </c>
      <c r="C237" s="354"/>
      <c r="D237" s="37"/>
      <c r="E237" s="37"/>
    </row>
    <row r="238" spans="1:5" x14ac:dyDescent="0.25">
      <c r="A238" s="55" t="s">
        <v>377</v>
      </c>
      <c r="B238" s="37"/>
      <c r="C238" s="215">
        <v>16930347</v>
      </c>
      <c r="D238" s="39">
        <f>C238</f>
        <v>16930347</v>
      </c>
      <c r="E238" s="37"/>
    </row>
    <row r="239" spans="1:5" x14ac:dyDescent="0.25">
      <c r="A239" s="44" t="s">
        <v>378</v>
      </c>
      <c r="B239" s="44"/>
      <c r="C239" s="44"/>
      <c r="D239" s="44"/>
      <c r="E239" s="44"/>
    </row>
    <row r="240" spans="1:5" x14ac:dyDescent="0.25">
      <c r="A240" s="19" t="s">
        <v>379</v>
      </c>
      <c r="B240" s="45" t="s">
        <v>284</v>
      </c>
      <c r="C240" s="215">
        <v>636075632</v>
      </c>
      <c r="D240" s="19"/>
      <c r="E240" s="19"/>
    </row>
    <row r="241" spans="1:5" x14ac:dyDescent="0.25">
      <c r="A241" s="19" t="s">
        <v>380</v>
      </c>
      <c r="B241" s="45" t="s">
        <v>284</v>
      </c>
      <c r="C241" s="215">
        <v>146018542</v>
      </c>
      <c r="D241" s="19"/>
      <c r="E241" s="19"/>
    </row>
    <row r="242" spans="1:5" x14ac:dyDescent="0.25">
      <c r="A242" s="19" t="s">
        <v>381</v>
      </c>
      <c r="B242" s="45" t="s">
        <v>284</v>
      </c>
      <c r="C242" s="215">
        <v>9103062</v>
      </c>
      <c r="D242" s="19"/>
      <c r="E242" s="19"/>
    </row>
    <row r="243" spans="1:5" x14ac:dyDescent="0.25">
      <c r="A243" s="19" t="s">
        <v>382</v>
      </c>
      <c r="B243" s="45" t="s">
        <v>284</v>
      </c>
      <c r="C243" s="215">
        <v>8198226</v>
      </c>
      <c r="D243" s="19"/>
      <c r="E243" s="19"/>
    </row>
    <row r="244" spans="1:5" x14ac:dyDescent="0.25">
      <c r="A244" s="19" t="s">
        <v>383</v>
      </c>
      <c r="B244" s="45" t="s">
        <v>284</v>
      </c>
      <c r="C244" s="215">
        <v>502508168</v>
      </c>
      <c r="D244" s="19"/>
      <c r="E244" s="19"/>
    </row>
    <row r="245" spans="1:5" x14ac:dyDescent="0.25">
      <c r="A245" s="19" t="s">
        <v>384</v>
      </c>
      <c r="B245" s="45" t="s">
        <v>284</v>
      </c>
      <c r="C245" s="215">
        <v>465710</v>
      </c>
      <c r="D245" s="19"/>
      <c r="E245" s="19"/>
    </row>
    <row r="246" spans="1:5" x14ac:dyDescent="0.25">
      <c r="A246" s="19" t="s">
        <v>385</v>
      </c>
      <c r="B246" s="19"/>
      <c r="C246" s="26"/>
      <c r="D246" s="31">
        <f>SUM(C240:C245)</f>
        <v>1302369340</v>
      </c>
      <c r="E246" s="19"/>
    </row>
    <row r="247" spans="1:5" x14ac:dyDescent="0.25">
      <c r="A247" s="44" t="s">
        <v>386</v>
      </c>
      <c r="B247" s="44"/>
      <c r="C247" s="44"/>
      <c r="D247" s="44"/>
      <c r="E247" s="44"/>
    </row>
    <row r="248" spans="1:5" x14ac:dyDescent="0.25">
      <c r="A248" s="25" t="s">
        <v>387</v>
      </c>
      <c r="B248" s="45" t="s">
        <v>284</v>
      </c>
      <c r="C248" s="215">
        <v>3855</v>
      </c>
      <c r="D248" s="19"/>
      <c r="E248" s="19"/>
    </row>
    <row r="249" spans="1:5" x14ac:dyDescent="0.25">
      <c r="A249" s="25"/>
      <c r="B249" s="45"/>
      <c r="C249" s="26"/>
      <c r="D249" s="19"/>
      <c r="E249" s="19"/>
    </row>
    <row r="250" spans="1:5" x14ac:dyDescent="0.25">
      <c r="A250" s="25" t="s">
        <v>388</v>
      </c>
      <c r="B250" s="45" t="s">
        <v>284</v>
      </c>
      <c r="C250" s="215">
        <v>3406539</v>
      </c>
      <c r="D250" s="19"/>
      <c r="E250" s="19"/>
    </row>
    <row r="251" spans="1:5" x14ac:dyDescent="0.25">
      <c r="A251" s="25" t="s">
        <v>389</v>
      </c>
      <c r="B251" s="45" t="s">
        <v>284</v>
      </c>
      <c r="C251" s="215">
        <v>5038549</v>
      </c>
      <c r="D251" s="19"/>
      <c r="E251" s="19"/>
    </row>
    <row r="252" spans="1:5" x14ac:dyDescent="0.25">
      <c r="A252" s="19"/>
      <c r="B252" s="19"/>
      <c r="C252" s="26"/>
      <c r="D252" s="19"/>
      <c r="E252" s="19"/>
    </row>
    <row r="253" spans="1:5" x14ac:dyDescent="0.25">
      <c r="A253" s="25" t="s">
        <v>390</v>
      </c>
      <c r="B253" s="19"/>
      <c r="C253" s="26"/>
      <c r="D253" s="31">
        <f>SUM(C250:C252)</f>
        <v>8445088</v>
      </c>
      <c r="E253" s="19"/>
    </row>
    <row r="254" spans="1:5" x14ac:dyDescent="0.25">
      <c r="A254" s="44" t="s">
        <v>391</v>
      </c>
      <c r="B254" s="44"/>
      <c r="C254" s="44"/>
      <c r="D254" s="44"/>
      <c r="E254" s="44"/>
    </row>
    <row r="255" spans="1:5" x14ac:dyDescent="0.25">
      <c r="A255" s="19" t="s">
        <v>392</v>
      </c>
      <c r="B255" s="45" t="s">
        <v>284</v>
      </c>
      <c r="C255" s="46">
        <v>4732488</v>
      </c>
      <c r="D255" s="19"/>
      <c r="E255" s="19"/>
    </row>
    <row r="256" spans="1:5" x14ac:dyDescent="0.25">
      <c r="A256" s="19" t="s">
        <v>391</v>
      </c>
      <c r="B256" s="45" t="s">
        <v>284</v>
      </c>
      <c r="C256" s="46"/>
      <c r="D256" s="19"/>
      <c r="E256" s="19"/>
    </row>
    <row r="257" spans="1:5" x14ac:dyDescent="0.25">
      <c r="A257" s="19" t="s">
        <v>393</v>
      </c>
      <c r="B257" s="19"/>
      <c r="C257" s="26"/>
      <c r="D257" s="31">
        <f>SUM(C255:C256)</f>
        <v>4732488</v>
      </c>
      <c r="E257" s="19"/>
    </row>
    <row r="258" spans="1:5" x14ac:dyDescent="0.25">
      <c r="A258" s="19"/>
      <c r="B258" s="19"/>
      <c r="C258" s="26"/>
      <c r="D258" s="19"/>
      <c r="E258" s="19"/>
    </row>
    <row r="259" spans="1:5" x14ac:dyDescent="0.25">
      <c r="A259" s="19" t="s">
        <v>394</v>
      </c>
      <c r="B259" s="19"/>
      <c r="C259" s="26"/>
      <c r="D259" s="31">
        <f>D238+D246+D253+D257</f>
        <v>1332477263</v>
      </c>
      <c r="E259" s="19"/>
    </row>
    <row r="260" spans="1:5" x14ac:dyDescent="0.25">
      <c r="A260" s="19"/>
      <c r="B260" s="19"/>
      <c r="C260" s="26"/>
      <c r="D260" s="19"/>
      <c r="E260" s="19"/>
    </row>
    <row r="261" spans="1:5" x14ac:dyDescent="0.25">
      <c r="A261" s="19"/>
      <c r="B261" s="19"/>
      <c r="C261" s="26"/>
      <c r="D261" s="19"/>
      <c r="E261" s="19"/>
    </row>
    <row r="262" spans="1:5" x14ac:dyDescent="0.25">
      <c r="A262" s="19"/>
      <c r="B262" s="19"/>
      <c r="C262" s="26"/>
      <c r="D262" s="19"/>
      <c r="E262" s="19"/>
    </row>
    <row r="263" spans="1:5" x14ac:dyDescent="0.25">
      <c r="A263" s="19"/>
      <c r="B263" s="19"/>
      <c r="C263" s="26"/>
      <c r="D263" s="19"/>
      <c r="E263" s="19"/>
    </row>
    <row r="264" spans="1:5" x14ac:dyDescent="0.25">
      <c r="A264" s="19"/>
      <c r="B264" s="19"/>
      <c r="C264" s="26"/>
      <c r="D264" s="19"/>
      <c r="E264" s="19"/>
    </row>
    <row r="265" spans="1:5" x14ac:dyDescent="0.25">
      <c r="A265" s="37" t="s">
        <v>395</v>
      </c>
      <c r="B265" s="37"/>
      <c r="C265" s="37"/>
      <c r="D265" s="37"/>
      <c r="E265" s="37"/>
    </row>
    <row r="266" spans="1:5" x14ac:dyDescent="0.25">
      <c r="A266" s="44" t="s">
        <v>396</v>
      </c>
      <c r="B266" s="44"/>
      <c r="C266" s="44"/>
      <c r="D266" s="44"/>
      <c r="E266" s="44"/>
    </row>
    <row r="267" spans="1:5" x14ac:dyDescent="0.25">
      <c r="A267" s="19" t="s">
        <v>397</v>
      </c>
      <c r="B267" s="45" t="s">
        <v>284</v>
      </c>
      <c r="C267" s="215">
        <v>121853533</v>
      </c>
      <c r="D267" s="19"/>
      <c r="E267" s="19"/>
    </row>
    <row r="268" spans="1:5" x14ac:dyDescent="0.25">
      <c r="A268" s="19" t="s">
        <v>398</v>
      </c>
      <c r="B268" s="45" t="s">
        <v>284</v>
      </c>
      <c r="C268" s="215"/>
      <c r="D268" s="19"/>
      <c r="E268" s="19"/>
    </row>
    <row r="269" spans="1:5" x14ac:dyDescent="0.25">
      <c r="A269" s="19" t="s">
        <v>399</v>
      </c>
      <c r="B269" s="45" t="s">
        <v>284</v>
      </c>
      <c r="C269" s="215">
        <v>344927595</v>
      </c>
      <c r="D269" s="19"/>
      <c r="E269" s="19"/>
    </row>
    <row r="270" spans="1:5" x14ac:dyDescent="0.25">
      <c r="A270" s="19" t="s">
        <v>400</v>
      </c>
      <c r="B270" s="45" t="s">
        <v>284</v>
      </c>
      <c r="C270" s="215">
        <v>230910979</v>
      </c>
      <c r="D270" s="19"/>
      <c r="E270" s="19"/>
    </row>
    <row r="271" spans="1:5" x14ac:dyDescent="0.25">
      <c r="A271" s="19" t="s">
        <v>401</v>
      </c>
      <c r="B271" s="45" t="s">
        <v>284</v>
      </c>
      <c r="C271" s="215">
        <v>4893510</v>
      </c>
      <c r="D271" s="19"/>
      <c r="E271" s="19"/>
    </row>
    <row r="272" spans="1:5" x14ac:dyDescent="0.25">
      <c r="A272" s="19" t="s">
        <v>402</v>
      </c>
      <c r="B272" s="45" t="s">
        <v>284</v>
      </c>
      <c r="C272" s="215">
        <v>15858030</v>
      </c>
      <c r="D272" s="19"/>
      <c r="E272" s="19"/>
    </row>
    <row r="273" spans="1:5" x14ac:dyDescent="0.25">
      <c r="A273" s="19" t="s">
        <v>403</v>
      </c>
      <c r="B273" s="45" t="s">
        <v>284</v>
      </c>
      <c r="C273" s="215">
        <v>3797293</v>
      </c>
      <c r="D273" s="19"/>
      <c r="E273" s="19"/>
    </row>
    <row r="274" spans="1:5" x14ac:dyDescent="0.25">
      <c r="A274" s="19" t="s">
        <v>404</v>
      </c>
      <c r="B274" s="45" t="s">
        <v>284</v>
      </c>
      <c r="C274" s="215">
        <v>8096346</v>
      </c>
      <c r="D274" s="19"/>
      <c r="E274" s="19"/>
    </row>
    <row r="275" spans="1:5" x14ac:dyDescent="0.25">
      <c r="A275" s="19" t="s">
        <v>405</v>
      </c>
      <c r="B275" s="45" t="s">
        <v>284</v>
      </c>
      <c r="C275" s="215">
        <v>8710734</v>
      </c>
      <c r="D275" s="19"/>
      <c r="E275" s="19"/>
    </row>
    <row r="276" spans="1:5" x14ac:dyDescent="0.25">
      <c r="A276" s="19" t="s">
        <v>406</v>
      </c>
      <c r="B276" s="45" t="s">
        <v>284</v>
      </c>
      <c r="C276" s="215"/>
      <c r="D276" s="19"/>
      <c r="E276" s="19"/>
    </row>
    <row r="277" spans="1:5" x14ac:dyDescent="0.25">
      <c r="A277" s="19" t="s">
        <v>407</v>
      </c>
      <c r="B277" s="19"/>
      <c r="C277" s="26"/>
      <c r="D277" s="31">
        <f>SUM(C267:C269)-C270+SUM(C271:C276)</f>
        <v>277226062</v>
      </c>
      <c r="E277" s="19"/>
    </row>
    <row r="278" spans="1:5" x14ac:dyDescent="0.25">
      <c r="A278" s="44" t="s">
        <v>408</v>
      </c>
      <c r="B278" s="44"/>
      <c r="C278" s="44"/>
      <c r="D278" s="44"/>
      <c r="E278" s="44"/>
    </row>
    <row r="279" spans="1:5" x14ac:dyDescent="0.25">
      <c r="A279" s="19" t="s">
        <v>397</v>
      </c>
      <c r="B279" s="45" t="s">
        <v>284</v>
      </c>
      <c r="C279" s="46">
        <v>249874806</v>
      </c>
      <c r="D279" s="19"/>
      <c r="E279" s="19"/>
    </row>
    <row r="280" spans="1:5" x14ac:dyDescent="0.25">
      <c r="A280" s="19" t="s">
        <v>398</v>
      </c>
      <c r="B280" s="45" t="s">
        <v>284</v>
      </c>
      <c r="C280" s="46"/>
      <c r="D280" s="19"/>
      <c r="E280" s="19"/>
    </row>
    <row r="281" spans="1:5" x14ac:dyDescent="0.25">
      <c r="A281" s="19" t="s">
        <v>409</v>
      </c>
      <c r="B281" s="45" t="s">
        <v>284</v>
      </c>
      <c r="C281" s="46"/>
      <c r="D281" s="19"/>
      <c r="E281" s="19"/>
    </row>
    <row r="282" spans="1:5" x14ac:dyDescent="0.25">
      <c r="A282" s="19" t="s">
        <v>410</v>
      </c>
      <c r="B282" s="19"/>
      <c r="C282" s="26"/>
      <c r="D282" s="31">
        <f>SUM(C279:C281)</f>
        <v>249874806</v>
      </c>
      <c r="E282" s="19"/>
    </row>
    <row r="283" spans="1:5" x14ac:dyDescent="0.25">
      <c r="A283" s="44" t="s">
        <v>411</v>
      </c>
      <c r="B283" s="44"/>
      <c r="C283" s="44"/>
      <c r="D283" s="44"/>
      <c r="E283" s="44"/>
    </row>
    <row r="284" spans="1:5" x14ac:dyDescent="0.25">
      <c r="A284" s="19" t="s">
        <v>366</v>
      </c>
      <c r="B284" s="45" t="s">
        <v>284</v>
      </c>
      <c r="C284" s="215">
        <v>4913660</v>
      </c>
      <c r="D284" s="19"/>
      <c r="E284" s="19"/>
    </row>
    <row r="285" spans="1:5" x14ac:dyDescent="0.25">
      <c r="A285" s="19" t="s">
        <v>367</v>
      </c>
      <c r="B285" s="45" t="s">
        <v>284</v>
      </c>
      <c r="C285" s="215">
        <v>13121106</v>
      </c>
      <c r="D285" s="19"/>
      <c r="E285" s="19"/>
    </row>
    <row r="286" spans="1:5" x14ac:dyDescent="0.25">
      <c r="A286" s="19" t="s">
        <v>368</v>
      </c>
      <c r="B286" s="45" t="s">
        <v>284</v>
      </c>
      <c r="C286" s="215">
        <v>358326296</v>
      </c>
      <c r="D286" s="19"/>
      <c r="E286" s="19"/>
    </row>
    <row r="287" spans="1:5" x14ac:dyDescent="0.25">
      <c r="A287" s="19" t="s">
        <v>412</v>
      </c>
      <c r="B287" s="45" t="s">
        <v>284</v>
      </c>
      <c r="C287" s="215">
        <v>133768500</v>
      </c>
      <c r="D287" s="19"/>
      <c r="E287" s="19"/>
    </row>
    <row r="288" spans="1:5" x14ac:dyDescent="0.25">
      <c r="A288" s="19" t="s">
        <v>413</v>
      </c>
      <c r="B288" s="45" t="s">
        <v>284</v>
      </c>
      <c r="C288" s="215">
        <v>10601</v>
      </c>
      <c r="D288" s="19"/>
      <c r="E288" s="19"/>
    </row>
    <row r="289" spans="1:5" x14ac:dyDescent="0.25">
      <c r="A289" s="19" t="s">
        <v>414</v>
      </c>
      <c r="B289" s="45" t="s">
        <v>284</v>
      </c>
      <c r="C289" s="215">
        <v>293035773</v>
      </c>
      <c r="D289" s="19"/>
      <c r="E289" s="19"/>
    </row>
    <row r="290" spans="1:5" x14ac:dyDescent="0.25">
      <c r="A290" s="19" t="s">
        <v>373</v>
      </c>
      <c r="B290" s="45" t="s">
        <v>284</v>
      </c>
      <c r="C290" s="215">
        <v>39855644</v>
      </c>
      <c r="D290" s="19"/>
      <c r="E290" s="19"/>
    </row>
    <row r="291" spans="1:5" x14ac:dyDescent="0.25">
      <c r="A291" s="19" t="s">
        <v>374</v>
      </c>
      <c r="B291" s="45" t="s">
        <v>284</v>
      </c>
      <c r="C291" s="215">
        <v>33286255</v>
      </c>
      <c r="D291" s="19"/>
      <c r="E291" s="19"/>
    </row>
    <row r="292" spans="1:5" x14ac:dyDescent="0.25">
      <c r="A292" s="19" t="s">
        <v>415</v>
      </c>
      <c r="B292" s="19"/>
      <c r="C292" s="26"/>
      <c r="D292" s="31">
        <f>SUM(C284:C291)</f>
        <v>876317835</v>
      </c>
      <c r="E292" s="19"/>
    </row>
    <row r="293" spans="1:5" x14ac:dyDescent="0.25">
      <c r="A293" s="19" t="s">
        <v>416</v>
      </c>
      <c r="B293" s="45" t="s">
        <v>284</v>
      </c>
      <c r="C293" s="46">
        <v>549998043</v>
      </c>
      <c r="D293" s="19"/>
      <c r="E293" s="19"/>
    </row>
    <row r="294" spans="1:5" x14ac:dyDescent="0.25">
      <c r="A294" s="19" t="s">
        <v>417</v>
      </c>
      <c r="B294" s="19"/>
      <c r="C294" s="26"/>
      <c r="D294" s="31">
        <f>D292-C293</f>
        <v>326319792</v>
      </c>
      <c r="E294" s="19"/>
    </row>
    <row r="295" spans="1:5" x14ac:dyDescent="0.25">
      <c r="A295" s="44" t="s">
        <v>418</v>
      </c>
      <c r="B295" s="44"/>
      <c r="C295" s="44"/>
      <c r="D295" s="44"/>
      <c r="E295" s="44"/>
    </row>
    <row r="296" spans="1:5" x14ac:dyDescent="0.25">
      <c r="A296" s="19" t="s">
        <v>419</v>
      </c>
      <c r="B296" s="45" t="s">
        <v>284</v>
      </c>
      <c r="C296" s="215">
        <v>0</v>
      </c>
      <c r="D296" s="19"/>
      <c r="E296" s="19"/>
    </row>
    <row r="297" spans="1:5" x14ac:dyDescent="0.25">
      <c r="A297" s="19" t="s">
        <v>420</v>
      </c>
      <c r="B297" s="45" t="s">
        <v>284</v>
      </c>
      <c r="C297" s="215">
        <v>0</v>
      </c>
      <c r="D297" s="19"/>
      <c r="E297" s="19"/>
    </row>
    <row r="298" spans="1:5" x14ac:dyDescent="0.25">
      <c r="A298" s="19" t="s">
        <v>421</v>
      </c>
      <c r="B298" s="45" t="s">
        <v>284</v>
      </c>
      <c r="C298" s="215">
        <v>7885852</v>
      </c>
      <c r="D298" s="19"/>
      <c r="E298" s="19"/>
    </row>
    <row r="299" spans="1:5" x14ac:dyDescent="0.25">
      <c r="A299" s="19" t="s">
        <v>409</v>
      </c>
      <c r="B299" s="45" t="s">
        <v>284</v>
      </c>
      <c r="C299" s="215">
        <v>3417138</v>
      </c>
      <c r="D299" s="19"/>
      <c r="E299" s="19"/>
    </row>
    <row r="300" spans="1:5" x14ac:dyDescent="0.25">
      <c r="A300" s="19" t="s">
        <v>422</v>
      </c>
      <c r="B300" s="19"/>
      <c r="C300" s="26"/>
      <c r="D300" s="31">
        <f>C296-C297+C298+C299</f>
        <v>11302990</v>
      </c>
      <c r="E300" s="19"/>
    </row>
    <row r="301" spans="1:5" x14ac:dyDescent="0.25">
      <c r="A301" s="19"/>
      <c r="B301" s="19"/>
      <c r="C301" s="26"/>
      <c r="D301" s="19"/>
      <c r="E301" s="19"/>
    </row>
    <row r="302" spans="1:5" x14ac:dyDescent="0.25">
      <c r="A302" s="44" t="s">
        <v>423</v>
      </c>
      <c r="B302" s="44"/>
      <c r="C302" s="44"/>
      <c r="D302" s="44"/>
      <c r="E302" s="44"/>
    </row>
    <row r="303" spans="1:5" x14ac:dyDescent="0.25">
      <c r="A303" s="19" t="s">
        <v>424</v>
      </c>
      <c r="B303" s="45" t="s">
        <v>284</v>
      </c>
      <c r="C303" s="215">
        <v>24914365</v>
      </c>
      <c r="D303" s="19"/>
      <c r="E303" s="19"/>
    </row>
    <row r="304" spans="1:5" x14ac:dyDescent="0.25">
      <c r="A304" s="19" t="s">
        <v>425</v>
      </c>
      <c r="B304" s="45" t="s">
        <v>284</v>
      </c>
      <c r="C304" s="215">
        <v>0</v>
      </c>
      <c r="D304" s="19"/>
      <c r="E304" s="19"/>
    </row>
    <row r="305" spans="1:5" x14ac:dyDescent="0.25">
      <c r="A305" s="19" t="s">
        <v>426</v>
      </c>
      <c r="B305" s="45" t="s">
        <v>284</v>
      </c>
      <c r="C305" s="215">
        <v>0</v>
      </c>
      <c r="D305" s="19"/>
      <c r="E305" s="19"/>
    </row>
    <row r="306" spans="1:5" x14ac:dyDescent="0.25">
      <c r="A306" s="19" t="s">
        <v>427</v>
      </c>
      <c r="B306" s="45" t="s">
        <v>284</v>
      </c>
      <c r="C306" s="215">
        <v>0</v>
      </c>
      <c r="D306" s="19"/>
      <c r="E306" s="19"/>
    </row>
    <row r="307" spans="1:5" x14ac:dyDescent="0.25">
      <c r="A307" s="19" t="s">
        <v>428</v>
      </c>
      <c r="B307" s="19"/>
      <c r="C307" s="26"/>
      <c r="D307" s="31">
        <f>SUM(C303:C306)</f>
        <v>24914365</v>
      </c>
      <c r="E307" s="19"/>
    </row>
    <row r="308" spans="1:5" x14ac:dyDescent="0.25">
      <c r="A308" s="19"/>
      <c r="B308" s="19"/>
      <c r="C308" s="26"/>
      <c r="D308" s="19"/>
      <c r="E308" s="19"/>
    </row>
    <row r="309" spans="1:5" x14ac:dyDescent="0.25">
      <c r="A309" s="19" t="s">
        <v>429</v>
      </c>
      <c r="B309" s="19"/>
      <c r="C309" s="26"/>
      <c r="D309" s="31">
        <f>D277+D282+D294+D300+D307</f>
        <v>889638015</v>
      </c>
      <c r="E309" s="19"/>
    </row>
    <row r="310" spans="1:5" x14ac:dyDescent="0.25">
      <c r="A310" s="19"/>
      <c r="B310" s="19"/>
      <c r="C310" s="26"/>
      <c r="D310" s="19"/>
      <c r="E310" s="19"/>
    </row>
    <row r="311" spans="1:5" x14ac:dyDescent="0.25">
      <c r="A311" s="19"/>
      <c r="B311" s="19"/>
      <c r="C311" s="26"/>
      <c r="D311" s="19"/>
      <c r="E311" s="19"/>
    </row>
    <row r="312" spans="1:5" x14ac:dyDescent="0.25">
      <c r="A312" s="19"/>
      <c r="B312" s="19"/>
      <c r="C312" s="26"/>
      <c r="D312" s="19"/>
      <c r="E312" s="19"/>
    </row>
    <row r="313" spans="1:5" x14ac:dyDescent="0.25">
      <c r="A313" s="37" t="s">
        <v>430</v>
      </c>
      <c r="B313" s="37"/>
      <c r="C313" s="37"/>
      <c r="D313" s="37"/>
      <c r="E313" s="37"/>
    </row>
    <row r="314" spans="1:5" x14ac:dyDescent="0.25">
      <c r="A314" s="44" t="s">
        <v>431</v>
      </c>
      <c r="B314" s="44"/>
      <c r="C314" s="44"/>
      <c r="D314" s="44"/>
      <c r="E314" s="44"/>
    </row>
    <row r="315" spans="1:5" x14ac:dyDescent="0.25">
      <c r="A315" s="19" t="s">
        <v>432</v>
      </c>
      <c r="B315" s="45" t="s">
        <v>284</v>
      </c>
      <c r="C315" s="215">
        <v>0</v>
      </c>
      <c r="D315" s="19"/>
      <c r="E315" s="19"/>
    </row>
    <row r="316" spans="1:5" x14ac:dyDescent="0.25">
      <c r="A316" s="19" t="s">
        <v>433</v>
      </c>
      <c r="B316" s="45" t="s">
        <v>284</v>
      </c>
      <c r="C316" s="215">
        <v>34543779</v>
      </c>
      <c r="D316" s="19"/>
      <c r="E316" s="19"/>
    </row>
    <row r="317" spans="1:5" x14ac:dyDescent="0.25">
      <c r="A317" s="19" t="s">
        <v>434</v>
      </c>
      <c r="B317" s="45" t="s">
        <v>284</v>
      </c>
      <c r="C317" s="215">
        <v>53469901</v>
      </c>
      <c r="D317" s="19"/>
      <c r="E317" s="19"/>
    </row>
    <row r="318" spans="1:5" x14ac:dyDescent="0.25">
      <c r="A318" s="19" t="s">
        <v>435</v>
      </c>
      <c r="B318" s="45" t="s">
        <v>284</v>
      </c>
      <c r="C318" s="215">
        <v>731431</v>
      </c>
      <c r="D318" s="19"/>
      <c r="E318" s="19"/>
    </row>
    <row r="319" spans="1:5" x14ac:dyDescent="0.25">
      <c r="A319" s="19" t="s">
        <v>436</v>
      </c>
      <c r="B319" s="45" t="s">
        <v>284</v>
      </c>
      <c r="C319" s="215">
        <v>0</v>
      </c>
      <c r="D319" s="19"/>
      <c r="E319" s="19"/>
    </row>
    <row r="320" spans="1:5" x14ac:dyDescent="0.25">
      <c r="A320" s="19" t="s">
        <v>437</v>
      </c>
      <c r="B320" s="45" t="s">
        <v>284</v>
      </c>
      <c r="C320" s="215">
        <v>7327761</v>
      </c>
      <c r="D320" s="19"/>
      <c r="E320" s="19"/>
    </row>
    <row r="321" spans="1:5" x14ac:dyDescent="0.25">
      <c r="A321" s="19" t="s">
        <v>438</v>
      </c>
      <c r="B321" s="45" t="s">
        <v>284</v>
      </c>
      <c r="C321" s="215">
        <v>0</v>
      </c>
      <c r="D321" s="19"/>
      <c r="E321" s="19"/>
    </row>
    <row r="322" spans="1:5" x14ac:dyDescent="0.25">
      <c r="A322" s="19" t="s">
        <v>439</v>
      </c>
      <c r="B322" s="45" t="s">
        <v>284</v>
      </c>
      <c r="C322" s="215">
        <v>0</v>
      </c>
      <c r="D322" s="19"/>
      <c r="E322" s="19"/>
    </row>
    <row r="323" spans="1:5" x14ac:dyDescent="0.25">
      <c r="A323" s="19" t="s">
        <v>440</v>
      </c>
      <c r="B323" s="45" t="s">
        <v>284</v>
      </c>
      <c r="C323" s="215">
        <v>1429161</v>
      </c>
      <c r="D323" s="19"/>
      <c r="E323" s="19"/>
    </row>
    <row r="324" spans="1:5" x14ac:dyDescent="0.25">
      <c r="A324" s="19" t="s">
        <v>441</v>
      </c>
      <c r="B324" s="45" t="s">
        <v>284</v>
      </c>
      <c r="C324" s="215">
        <v>15389095</v>
      </c>
      <c r="D324" s="19"/>
      <c r="E324" s="19"/>
    </row>
    <row r="325" spans="1:5" x14ac:dyDescent="0.25">
      <c r="A325" s="19" t="s">
        <v>442</v>
      </c>
      <c r="B325" s="19"/>
      <c r="C325" s="26"/>
      <c r="D325" s="31">
        <f>SUM(C315:C324)</f>
        <v>112891128</v>
      </c>
      <c r="E325" s="19"/>
    </row>
    <row r="326" spans="1:5" x14ac:dyDescent="0.25">
      <c r="A326" s="44" t="s">
        <v>443</v>
      </c>
      <c r="B326" s="44"/>
      <c r="C326" s="44"/>
      <c r="D326" s="44"/>
      <c r="E326" s="44"/>
    </row>
    <row r="327" spans="1:5" x14ac:dyDescent="0.25">
      <c r="A327" s="19" t="s">
        <v>444</v>
      </c>
      <c r="B327" s="45" t="s">
        <v>284</v>
      </c>
      <c r="C327" s="215">
        <v>0</v>
      </c>
      <c r="D327" s="19"/>
      <c r="E327" s="19"/>
    </row>
    <row r="328" spans="1:5" x14ac:dyDescent="0.25">
      <c r="A328" s="19" t="s">
        <v>445</v>
      </c>
      <c r="B328" s="45" t="s">
        <v>284</v>
      </c>
      <c r="C328" s="215">
        <v>31738822</v>
      </c>
      <c r="D328" s="19"/>
      <c r="E328" s="19"/>
    </row>
    <row r="329" spans="1:5" x14ac:dyDescent="0.25">
      <c r="A329" s="19" t="s">
        <v>446</v>
      </c>
      <c r="B329" s="45" t="s">
        <v>284</v>
      </c>
      <c r="C329" s="215">
        <v>1006585</v>
      </c>
      <c r="D329" s="19"/>
      <c r="E329" s="19"/>
    </row>
    <row r="330" spans="1:5" x14ac:dyDescent="0.25">
      <c r="A330" s="19" t="s">
        <v>447</v>
      </c>
      <c r="B330" s="19"/>
      <c r="C330" s="26"/>
      <c r="D330" s="31">
        <f>SUM(C327:C329)</f>
        <v>32745407</v>
      </c>
      <c r="E330" s="19"/>
    </row>
    <row r="331" spans="1:5" x14ac:dyDescent="0.25">
      <c r="A331" s="44" t="s">
        <v>448</v>
      </c>
      <c r="B331" s="44"/>
      <c r="C331" s="44"/>
      <c r="D331" s="44"/>
      <c r="E331" s="44"/>
    </row>
    <row r="332" spans="1:5" x14ac:dyDescent="0.25">
      <c r="A332" s="19" t="s">
        <v>449</v>
      </c>
      <c r="B332" s="45" t="s">
        <v>284</v>
      </c>
      <c r="C332" s="215">
        <v>0</v>
      </c>
      <c r="D332" s="19"/>
      <c r="E332" s="19"/>
    </row>
    <row r="333" spans="1:5" x14ac:dyDescent="0.25">
      <c r="A333" s="19" t="s">
        <v>450</v>
      </c>
      <c r="B333" s="45" t="s">
        <v>284</v>
      </c>
      <c r="C333" s="215">
        <v>0</v>
      </c>
      <c r="D333" s="19"/>
      <c r="E333" s="19"/>
    </row>
    <row r="334" spans="1:5" x14ac:dyDescent="0.25">
      <c r="A334" s="19" t="s">
        <v>451</v>
      </c>
      <c r="B334" s="45" t="s">
        <v>284</v>
      </c>
      <c r="C334" s="215">
        <v>0</v>
      </c>
      <c r="D334" s="19"/>
      <c r="E334" s="19"/>
    </row>
    <row r="335" spans="1:5" x14ac:dyDescent="0.25">
      <c r="A335" s="25" t="s">
        <v>452</v>
      </c>
      <c r="B335" s="45" t="s">
        <v>284</v>
      </c>
      <c r="C335" s="215">
        <v>6048982</v>
      </c>
      <c r="D335" s="19"/>
      <c r="E335" s="19"/>
    </row>
    <row r="336" spans="1:5" x14ac:dyDescent="0.25">
      <c r="A336" s="19" t="s">
        <v>453</v>
      </c>
      <c r="B336" s="45" t="s">
        <v>284</v>
      </c>
      <c r="C336" s="215">
        <v>278870835</v>
      </c>
      <c r="D336" s="19"/>
      <c r="E336" s="19"/>
    </row>
    <row r="337" spans="1:5" x14ac:dyDescent="0.25">
      <c r="A337" s="25" t="s">
        <v>454</v>
      </c>
      <c r="B337" s="45" t="s">
        <v>284</v>
      </c>
      <c r="C337" s="215">
        <v>0</v>
      </c>
      <c r="D337" s="19"/>
      <c r="E337" s="19"/>
    </row>
    <row r="338" spans="1:5" x14ac:dyDescent="0.25">
      <c r="A338" s="25" t="s">
        <v>455</v>
      </c>
      <c r="B338" s="45" t="s">
        <v>284</v>
      </c>
      <c r="C338" s="270"/>
      <c r="D338" s="19"/>
      <c r="E338" s="19"/>
    </row>
    <row r="339" spans="1:5" x14ac:dyDescent="0.25">
      <c r="A339" s="19" t="s">
        <v>456</v>
      </c>
      <c r="B339" s="45" t="s">
        <v>284</v>
      </c>
      <c r="C339" s="215">
        <v>18752134</v>
      </c>
      <c r="D339" s="19"/>
      <c r="E339" s="19"/>
    </row>
    <row r="340" spans="1:5" x14ac:dyDescent="0.25">
      <c r="A340" s="19" t="s">
        <v>215</v>
      </c>
      <c r="B340" s="19"/>
      <c r="C340" s="26"/>
      <c r="D340" s="31">
        <f>SUM(C332:C339)</f>
        <v>303671951</v>
      </c>
      <c r="E340" s="19"/>
    </row>
    <row r="341" spans="1:5" x14ac:dyDescent="0.25">
      <c r="A341" s="19" t="s">
        <v>457</v>
      </c>
      <c r="B341" s="19"/>
      <c r="C341" s="26"/>
      <c r="D341" s="31">
        <f>C324</f>
        <v>15389095</v>
      </c>
      <c r="E341" s="19"/>
    </row>
    <row r="342" spans="1:5" x14ac:dyDescent="0.25">
      <c r="A342" s="19" t="s">
        <v>458</v>
      </c>
      <c r="B342" s="19"/>
      <c r="C342" s="26"/>
      <c r="D342" s="31">
        <f>D340-D341</f>
        <v>288282856</v>
      </c>
      <c r="E342" s="19"/>
    </row>
    <row r="343" spans="1:5" x14ac:dyDescent="0.25">
      <c r="A343" s="19"/>
      <c r="B343" s="19"/>
      <c r="C343" s="26"/>
      <c r="D343" s="19"/>
      <c r="E343" s="19"/>
    </row>
    <row r="344" spans="1:5" x14ac:dyDescent="0.25">
      <c r="A344" s="19" t="s">
        <v>459</v>
      </c>
      <c r="B344" s="45" t="s">
        <v>284</v>
      </c>
      <c r="C344" s="220">
        <v>455718624</v>
      </c>
      <c r="D344" s="19"/>
      <c r="E344" s="19"/>
    </row>
    <row r="345" spans="1:5" x14ac:dyDescent="0.25">
      <c r="A345" s="19"/>
      <c r="B345" s="45"/>
      <c r="C345" s="56"/>
      <c r="D345" s="19"/>
      <c r="E345" s="19"/>
    </row>
    <row r="346" spans="1:5" x14ac:dyDescent="0.25">
      <c r="A346" s="19" t="s">
        <v>460</v>
      </c>
      <c r="B346" s="45" t="s">
        <v>284</v>
      </c>
      <c r="C346" s="233">
        <v>0</v>
      </c>
      <c r="D346" s="19"/>
      <c r="E346" s="19"/>
    </row>
    <row r="347" spans="1:5" x14ac:dyDescent="0.25">
      <c r="A347" s="19" t="s">
        <v>461</v>
      </c>
      <c r="B347" s="45" t="s">
        <v>284</v>
      </c>
      <c r="C347" s="233">
        <v>0</v>
      </c>
      <c r="D347" s="19"/>
      <c r="E347" s="19"/>
    </row>
    <row r="348" spans="1:5" x14ac:dyDescent="0.25">
      <c r="A348" s="19" t="s">
        <v>462</v>
      </c>
      <c r="B348" s="45" t="s">
        <v>284</v>
      </c>
      <c r="C348" s="233">
        <v>0</v>
      </c>
      <c r="D348" s="19"/>
      <c r="E348" s="19"/>
    </row>
    <row r="349" spans="1:5" x14ac:dyDescent="0.25">
      <c r="A349" s="19" t="s">
        <v>463</v>
      </c>
      <c r="B349" s="45" t="s">
        <v>284</v>
      </c>
      <c r="C349" s="233">
        <v>0</v>
      </c>
      <c r="D349" s="19"/>
      <c r="E349" s="19"/>
    </row>
    <row r="350" spans="1:5" x14ac:dyDescent="0.25">
      <c r="A350" s="19" t="s">
        <v>464</v>
      </c>
      <c r="B350" s="45" t="s">
        <v>284</v>
      </c>
      <c r="C350" s="233">
        <v>0</v>
      </c>
      <c r="D350" s="19"/>
      <c r="E350" s="19"/>
    </row>
    <row r="351" spans="1:5" x14ac:dyDescent="0.25">
      <c r="A351" s="19" t="s">
        <v>465</v>
      </c>
      <c r="B351" s="19"/>
      <c r="C351" s="26"/>
      <c r="D351" s="31">
        <f>D325+D330+D342+C344+C348+C349</f>
        <v>889638015</v>
      </c>
      <c r="E351" s="19"/>
    </row>
    <row r="352" spans="1:5" x14ac:dyDescent="0.25">
      <c r="A352" s="19"/>
      <c r="B352" s="19"/>
      <c r="C352" s="26"/>
      <c r="D352" s="19"/>
      <c r="E352" s="19"/>
    </row>
    <row r="353" spans="1:5" x14ac:dyDescent="0.25">
      <c r="A353" s="19" t="s">
        <v>466</v>
      </c>
      <c r="B353" s="19"/>
      <c r="C353" s="26"/>
      <c r="D353" s="31">
        <f>D309</f>
        <v>889638015</v>
      </c>
      <c r="E353" s="19"/>
    </row>
    <row r="354" spans="1:5" x14ac:dyDescent="0.25">
      <c r="A354" s="19"/>
      <c r="B354" s="19"/>
      <c r="C354" s="26"/>
      <c r="D354" s="19"/>
      <c r="E354" s="19"/>
    </row>
    <row r="355" spans="1:5" x14ac:dyDescent="0.25">
      <c r="A355" s="19"/>
      <c r="B355" s="19"/>
      <c r="C355" s="26"/>
      <c r="D355" s="19"/>
      <c r="E355" s="19"/>
    </row>
    <row r="356" spans="1:5" x14ac:dyDescent="0.25">
      <c r="A356" s="19"/>
      <c r="B356" s="19"/>
      <c r="C356" s="26"/>
      <c r="D356" s="19"/>
      <c r="E356" s="19"/>
    </row>
    <row r="357" spans="1:5" x14ac:dyDescent="0.25">
      <c r="A357" s="37" t="s">
        <v>467</v>
      </c>
      <c r="B357" s="37"/>
      <c r="C357" s="37"/>
      <c r="D357" s="37"/>
      <c r="E357" s="37"/>
    </row>
    <row r="358" spans="1:5" x14ac:dyDescent="0.25">
      <c r="A358" s="44" t="s">
        <v>468</v>
      </c>
      <c r="B358" s="44"/>
      <c r="C358" s="44"/>
      <c r="D358" s="44"/>
      <c r="E358" s="44"/>
    </row>
    <row r="359" spans="1:5" x14ac:dyDescent="0.25">
      <c r="A359" s="19" t="s">
        <v>469</v>
      </c>
      <c r="B359" s="45" t="s">
        <v>284</v>
      </c>
      <c r="C359" s="234">
        <v>847495317</v>
      </c>
      <c r="D359" s="19"/>
      <c r="E359" s="19"/>
    </row>
    <row r="360" spans="1:5" x14ac:dyDescent="0.25">
      <c r="A360" s="19" t="s">
        <v>470</v>
      </c>
      <c r="B360" s="45" t="s">
        <v>284</v>
      </c>
      <c r="C360" s="234">
        <v>1253514560</v>
      </c>
      <c r="D360" s="19"/>
      <c r="E360" s="19"/>
    </row>
    <row r="361" spans="1:5" x14ac:dyDescent="0.25">
      <c r="A361" s="19" t="s">
        <v>471</v>
      </c>
      <c r="B361" s="19"/>
      <c r="C361" s="26"/>
      <c r="D361" s="31">
        <f>SUM(C359:C360)</f>
        <v>2101009877</v>
      </c>
      <c r="E361" s="19"/>
    </row>
    <row r="362" spans="1:5" x14ac:dyDescent="0.25">
      <c r="A362" s="44" t="s">
        <v>472</v>
      </c>
      <c r="B362" s="44"/>
      <c r="C362" s="44"/>
      <c r="D362" s="44"/>
      <c r="E362" s="44"/>
    </row>
    <row r="363" spans="1:5" x14ac:dyDescent="0.25">
      <c r="A363" s="19" t="s">
        <v>377</v>
      </c>
      <c r="B363" s="44"/>
      <c r="C363" s="215">
        <v>16930347</v>
      </c>
      <c r="D363" s="19"/>
      <c r="E363" s="44"/>
    </row>
    <row r="364" spans="1:5" x14ac:dyDescent="0.25">
      <c r="A364" s="19" t="s">
        <v>473</v>
      </c>
      <c r="B364" s="45" t="s">
        <v>284</v>
      </c>
      <c r="C364" s="215">
        <v>1302369341</v>
      </c>
      <c r="D364" s="19"/>
      <c r="E364" s="19"/>
    </row>
    <row r="365" spans="1:5" x14ac:dyDescent="0.25">
      <c r="A365" s="19" t="s">
        <v>474</v>
      </c>
      <c r="B365" s="45" t="s">
        <v>284</v>
      </c>
      <c r="C365" s="215">
        <v>8445088</v>
      </c>
      <c r="D365" s="19"/>
      <c r="E365" s="19"/>
    </row>
    <row r="366" spans="1:5" x14ac:dyDescent="0.25">
      <c r="A366" s="19" t="s">
        <v>475</v>
      </c>
      <c r="B366" s="45" t="s">
        <v>284</v>
      </c>
      <c r="C366" s="215">
        <v>4732488</v>
      </c>
      <c r="D366" s="19"/>
      <c r="E366" s="19"/>
    </row>
    <row r="367" spans="1:5" x14ac:dyDescent="0.25">
      <c r="A367" s="19" t="s">
        <v>394</v>
      </c>
      <c r="B367" s="19"/>
      <c r="C367" s="26"/>
      <c r="D367" s="31">
        <f>SUM(C363:C366)</f>
        <v>1332477264</v>
      </c>
      <c r="E367" s="19"/>
    </row>
    <row r="368" spans="1:5" x14ac:dyDescent="0.25">
      <c r="A368" s="19" t="s">
        <v>476</v>
      </c>
      <c r="B368" s="19"/>
      <c r="C368" s="26"/>
      <c r="D368" s="31">
        <f>D361-D367</f>
        <v>768532613</v>
      </c>
      <c r="E368" s="19"/>
    </row>
    <row r="369" spans="1:6" x14ac:dyDescent="0.25">
      <c r="A369" s="57" t="s">
        <v>477</v>
      </c>
      <c r="B369" s="44"/>
      <c r="C369" s="44"/>
      <c r="D369" s="44"/>
      <c r="E369" s="44"/>
    </row>
    <row r="370" spans="1:6" x14ac:dyDescent="0.25">
      <c r="A370" s="31" t="s">
        <v>478</v>
      </c>
      <c r="B370" s="19"/>
      <c r="C370" s="19"/>
      <c r="D370" s="19"/>
      <c r="E370" s="19"/>
    </row>
    <row r="371" spans="1:6" x14ac:dyDescent="0.25">
      <c r="A371" s="58" t="s">
        <v>479</v>
      </c>
      <c r="B371" s="39" t="s">
        <v>284</v>
      </c>
      <c r="C371" s="271"/>
      <c r="D371" s="31"/>
      <c r="E371" s="31"/>
    </row>
    <row r="372" spans="1:6" x14ac:dyDescent="0.25">
      <c r="A372" s="58" t="s">
        <v>480</v>
      </c>
      <c r="B372" s="39" t="s">
        <v>284</v>
      </c>
      <c r="C372" s="271"/>
      <c r="D372" s="31"/>
      <c r="E372" s="31"/>
    </row>
    <row r="373" spans="1:6" x14ac:dyDescent="0.25">
      <c r="A373" s="58" t="s">
        <v>481</v>
      </c>
      <c r="B373" s="39" t="s">
        <v>284</v>
      </c>
      <c r="C373" s="271"/>
      <c r="D373" s="31"/>
      <c r="E373" s="31"/>
    </row>
    <row r="374" spans="1:6" x14ac:dyDescent="0.25">
      <c r="A374" s="58" t="s">
        <v>482</v>
      </c>
      <c r="B374" s="39" t="s">
        <v>284</v>
      </c>
      <c r="C374" s="271"/>
      <c r="D374" s="31"/>
      <c r="E374" s="31"/>
    </row>
    <row r="375" spans="1:6" x14ac:dyDescent="0.25">
      <c r="A375" s="58" t="s">
        <v>483</v>
      </c>
      <c r="B375" s="39" t="s">
        <v>284</v>
      </c>
      <c r="C375" s="271"/>
      <c r="D375" s="31"/>
      <c r="E375" s="31"/>
    </row>
    <row r="376" spans="1:6" x14ac:dyDescent="0.25">
      <c r="A376" s="58" t="s">
        <v>484</v>
      </c>
      <c r="B376" s="39" t="s">
        <v>284</v>
      </c>
      <c r="C376" s="271"/>
      <c r="D376" s="31"/>
      <c r="E376" s="31"/>
    </row>
    <row r="377" spans="1:6" x14ac:dyDescent="0.25">
      <c r="A377" s="58" t="s">
        <v>485</v>
      </c>
      <c r="B377" s="39" t="s">
        <v>284</v>
      </c>
      <c r="C377" s="271"/>
      <c r="D377" s="31"/>
      <c r="E377" s="31"/>
    </row>
    <row r="378" spans="1:6" x14ac:dyDescent="0.25">
      <c r="A378" s="58" t="s">
        <v>486</v>
      </c>
      <c r="B378" s="39" t="s">
        <v>284</v>
      </c>
      <c r="C378" s="271"/>
      <c r="D378" s="31"/>
      <c r="E378" s="31"/>
    </row>
    <row r="379" spans="1:6" x14ac:dyDescent="0.25">
      <c r="A379" s="58" t="s">
        <v>487</v>
      </c>
      <c r="B379" s="39" t="s">
        <v>284</v>
      </c>
      <c r="C379" s="271"/>
      <c r="D379" s="31"/>
      <c r="E379" s="31"/>
    </row>
    <row r="380" spans="1:6" x14ac:dyDescent="0.25">
      <c r="A380" s="58" t="s">
        <v>488</v>
      </c>
      <c r="B380" s="39" t="s">
        <v>284</v>
      </c>
      <c r="C380" s="271"/>
      <c r="D380" s="31"/>
      <c r="E380" s="31"/>
    </row>
    <row r="381" spans="1:6" x14ac:dyDescent="0.25">
      <c r="A381" s="58" t="s">
        <v>489</v>
      </c>
      <c r="B381" s="39" t="s">
        <v>284</v>
      </c>
      <c r="C381" s="235">
        <v>52999500</v>
      </c>
      <c r="D381" s="31"/>
      <c r="E381" s="236" t="str">
        <f>IF(OR(C381&gt;999999,C381/(D361+D384)&gt;0.01),"Additional Classification Necessary - See Responses-2 Tab","")</f>
        <v>Additional Classification Necessary - See Responses-2 Tab</v>
      </c>
      <c r="F381" s="59"/>
    </row>
    <row r="382" spans="1:6" x14ac:dyDescent="0.25">
      <c r="A382" s="60" t="s">
        <v>490</v>
      </c>
      <c r="B382" s="45"/>
      <c r="C382" s="45"/>
      <c r="D382" s="31">
        <f>SUM(C371:C381)</f>
        <v>52999500</v>
      </c>
      <c r="E382" s="31"/>
      <c r="F382" s="59"/>
    </row>
    <row r="383" spans="1:6" x14ac:dyDescent="0.25">
      <c r="A383" s="55" t="s">
        <v>491</v>
      </c>
      <c r="B383" s="45" t="s">
        <v>284</v>
      </c>
      <c r="C383" s="46">
        <v>27967605</v>
      </c>
      <c r="D383" s="31"/>
      <c r="E383" s="19"/>
    </row>
    <row r="384" spans="1:6" x14ac:dyDescent="0.25">
      <c r="A384" s="19" t="s">
        <v>492</v>
      </c>
      <c r="B384" s="19"/>
      <c r="C384" s="26"/>
      <c r="D384" s="31">
        <f>D382+C383</f>
        <v>80967105</v>
      </c>
      <c r="E384" s="19"/>
    </row>
    <row r="385" spans="1:5" x14ac:dyDescent="0.25">
      <c r="A385" s="19" t="s">
        <v>493</v>
      </c>
      <c r="B385" s="19"/>
      <c r="C385" s="26"/>
      <c r="D385" s="31">
        <f>D368+D384</f>
        <v>849499718</v>
      </c>
      <c r="E385" s="19"/>
    </row>
    <row r="386" spans="1:5" x14ac:dyDescent="0.25">
      <c r="A386" s="19"/>
      <c r="B386" s="19"/>
      <c r="C386" s="26"/>
      <c r="D386" s="19"/>
      <c r="E386" s="19"/>
    </row>
    <row r="387" spans="1:5" x14ac:dyDescent="0.25">
      <c r="A387" s="19"/>
      <c r="B387" s="19"/>
      <c r="C387" s="26"/>
      <c r="D387" s="19"/>
      <c r="E387" s="19"/>
    </row>
    <row r="388" spans="1:5" x14ac:dyDescent="0.25">
      <c r="A388" s="19"/>
      <c r="B388" s="19"/>
      <c r="C388" s="26"/>
      <c r="D388" s="19"/>
      <c r="E388" s="19"/>
    </row>
    <row r="389" spans="1:5" x14ac:dyDescent="0.25">
      <c r="A389" s="44" t="s">
        <v>494</v>
      </c>
      <c r="B389" s="44"/>
      <c r="C389" s="44"/>
      <c r="D389" s="44"/>
      <c r="E389" s="44"/>
    </row>
    <row r="390" spans="1:5" x14ac:dyDescent="0.25">
      <c r="A390" s="19" t="s">
        <v>495</v>
      </c>
      <c r="B390" s="45" t="s">
        <v>284</v>
      </c>
      <c r="C390" s="215">
        <v>454782941</v>
      </c>
      <c r="D390" s="19"/>
      <c r="E390" s="19"/>
    </row>
    <row r="391" spans="1:5" x14ac:dyDescent="0.25">
      <c r="A391" s="19" t="s">
        <v>9</v>
      </c>
      <c r="B391" s="45" t="s">
        <v>284</v>
      </c>
      <c r="C391" s="215">
        <v>102427735</v>
      </c>
      <c r="D391" s="19"/>
      <c r="E391" s="19"/>
    </row>
    <row r="392" spans="1:5" x14ac:dyDescent="0.25">
      <c r="A392" s="19" t="s">
        <v>249</v>
      </c>
      <c r="B392" s="45" t="s">
        <v>284</v>
      </c>
      <c r="C392" s="215">
        <v>19523451</v>
      </c>
      <c r="D392" s="19"/>
      <c r="E392" s="19"/>
    </row>
    <row r="393" spans="1:5" x14ac:dyDescent="0.25">
      <c r="A393" s="19" t="s">
        <v>496</v>
      </c>
      <c r="B393" s="45" t="s">
        <v>284</v>
      </c>
      <c r="C393" s="215">
        <v>109418061</v>
      </c>
      <c r="D393" s="19"/>
      <c r="E393" s="19"/>
    </row>
    <row r="394" spans="1:5" x14ac:dyDescent="0.25">
      <c r="A394" s="19" t="s">
        <v>497</v>
      </c>
      <c r="B394" s="45" t="s">
        <v>284</v>
      </c>
      <c r="C394" s="215">
        <v>6832969</v>
      </c>
      <c r="D394" s="19"/>
      <c r="E394" s="19"/>
    </row>
    <row r="395" spans="1:5" x14ac:dyDescent="0.25">
      <c r="A395" s="19" t="s">
        <v>498</v>
      </c>
      <c r="B395" s="45" t="s">
        <v>284</v>
      </c>
      <c r="C395" s="215">
        <v>64778714</v>
      </c>
      <c r="D395" s="19"/>
      <c r="E395" s="19"/>
    </row>
    <row r="396" spans="1:5" x14ac:dyDescent="0.25">
      <c r="A396" s="19" t="s">
        <v>11</v>
      </c>
      <c r="B396" s="45" t="s">
        <v>284</v>
      </c>
      <c r="C396" s="215">
        <v>37830757</v>
      </c>
      <c r="D396" s="19"/>
      <c r="E396" s="19"/>
    </row>
    <row r="397" spans="1:5" x14ac:dyDescent="0.25">
      <c r="A397" s="19" t="s">
        <v>499</v>
      </c>
      <c r="B397" s="45" t="s">
        <v>284</v>
      </c>
      <c r="C397" s="215">
        <v>16779791</v>
      </c>
      <c r="D397" s="19"/>
      <c r="E397" s="19"/>
    </row>
    <row r="398" spans="1:5" x14ac:dyDescent="0.25">
      <c r="A398" s="19" t="s">
        <v>500</v>
      </c>
      <c r="B398" s="45" t="s">
        <v>284</v>
      </c>
      <c r="C398" s="215">
        <v>3244996</v>
      </c>
      <c r="D398" s="19"/>
      <c r="E398" s="19"/>
    </row>
    <row r="399" spans="1:5" x14ac:dyDescent="0.25">
      <c r="A399" s="19" t="s">
        <v>501</v>
      </c>
      <c r="B399" s="45" t="s">
        <v>284</v>
      </c>
      <c r="C399" s="215">
        <v>7272608</v>
      </c>
      <c r="D399" s="19"/>
      <c r="E399" s="19"/>
    </row>
    <row r="400" spans="1:5" x14ac:dyDescent="0.25">
      <c r="A400" s="19" t="s">
        <v>502</v>
      </c>
      <c r="B400" s="45" t="s">
        <v>284</v>
      </c>
      <c r="C400" s="215">
        <v>9081161</v>
      </c>
      <c r="D400" s="19"/>
      <c r="E400" s="19"/>
    </row>
    <row r="401" spans="1:9" x14ac:dyDescent="0.25">
      <c r="A401" s="31" t="s">
        <v>503</v>
      </c>
      <c r="B401" s="19"/>
      <c r="C401" s="19"/>
      <c r="D401" s="19"/>
      <c r="E401" s="19"/>
    </row>
    <row r="402" spans="1:9" x14ac:dyDescent="0.25">
      <c r="A402" s="32" t="s">
        <v>255</v>
      </c>
      <c r="B402" s="39" t="s">
        <v>284</v>
      </c>
      <c r="C402" s="271"/>
      <c r="D402" s="31"/>
      <c r="E402" s="31"/>
    </row>
    <row r="403" spans="1:9" x14ac:dyDescent="0.25">
      <c r="A403" s="32" t="s">
        <v>256</v>
      </c>
      <c r="B403" s="39" t="s">
        <v>284</v>
      </c>
      <c r="C403" s="271"/>
      <c r="D403" s="31"/>
      <c r="E403" s="31"/>
    </row>
    <row r="404" spans="1:9" x14ac:dyDescent="0.25">
      <c r="A404" s="32" t="s">
        <v>504</v>
      </c>
      <c r="B404" s="39" t="s">
        <v>284</v>
      </c>
      <c r="C404" s="271"/>
      <c r="D404" s="31"/>
      <c r="E404" s="31"/>
    </row>
    <row r="405" spans="1:9" x14ac:dyDescent="0.25">
      <c r="A405" s="32" t="s">
        <v>258</v>
      </c>
      <c r="B405" s="39" t="s">
        <v>284</v>
      </c>
      <c r="C405" s="271"/>
      <c r="D405" s="31"/>
      <c r="E405" s="31"/>
    </row>
    <row r="406" spans="1:9" x14ac:dyDescent="0.25">
      <c r="A406" s="32" t="s">
        <v>259</v>
      </c>
      <c r="B406" s="39" t="s">
        <v>284</v>
      </c>
      <c r="C406" s="271"/>
      <c r="D406" s="31"/>
      <c r="E406" s="31"/>
    </row>
    <row r="407" spans="1:9" x14ac:dyDescent="0.25">
      <c r="A407" s="32" t="s">
        <v>260</v>
      </c>
      <c r="B407" s="39" t="s">
        <v>284</v>
      </c>
      <c r="C407" s="271"/>
      <c r="D407" s="31"/>
      <c r="E407" s="31"/>
    </row>
    <row r="408" spans="1:9" x14ac:dyDescent="0.25">
      <c r="A408" s="32" t="s">
        <v>261</v>
      </c>
      <c r="B408" s="39" t="s">
        <v>284</v>
      </c>
      <c r="C408" s="271"/>
      <c r="D408" s="31"/>
      <c r="E408" s="31"/>
    </row>
    <row r="409" spans="1:9" x14ac:dyDescent="0.25">
      <c r="A409" s="32" t="s">
        <v>262</v>
      </c>
      <c r="B409" s="39" t="s">
        <v>284</v>
      </c>
      <c r="C409" s="271"/>
      <c r="D409" s="31"/>
      <c r="E409" s="31"/>
    </row>
    <row r="410" spans="1:9" x14ac:dyDescent="0.25">
      <c r="A410" s="32" t="s">
        <v>263</v>
      </c>
      <c r="B410" s="39" t="s">
        <v>284</v>
      </c>
      <c r="C410" s="271"/>
      <c r="D410" s="31"/>
      <c r="E410" s="31"/>
    </row>
    <row r="411" spans="1:9" x14ac:dyDescent="0.25">
      <c r="A411" s="32" t="s">
        <v>264</v>
      </c>
      <c r="B411" s="39" t="s">
        <v>284</v>
      </c>
      <c r="C411" s="271"/>
      <c r="D411" s="31"/>
      <c r="E411" s="31"/>
    </row>
    <row r="412" spans="1:9" x14ac:dyDescent="0.25">
      <c r="A412" s="32" t="s">
        <v>265</v>
      </c>
      <c r="B412" s="39" t="s">
        <v>284</v>
      </c>
      <c r="C412" s="271"/>
      <c r="D412" s="31"/>
      <c r="E412" s="31"/>
    </row>
    <row r="413" spans="1:9" x14ac:dyDescent="0.25">
      <c r="A413" s="32" t="s">
        <v>266</v>
      </c>
      <c r="B413" s="39" t="s">
        <v>284</v>
      </c>
      <c r="C413" s="271"/>
      <c r="D413" s="31"/>
      <c r="E413" s="31"/>
    </row>
    <row r="414" spans="1:9" x14ac:dyDescent="0.25">
      <c r="A414" s="32" t="s">
        <v>267</v>
      </c>
      <c r="B414" s="39" t="s">
        <v>284</v>
      </c>
      <c r="C414" s="271"/>
      <c r="D414" s="31"/>
      <c r="E414" s="31"/>
    </row>
    <row r="415" spans="1:9" x14ac:dyDescent="0.25">
      <c r="A415" s="32" t="s">
        <v>268</v>
      </c>
      <c r="B415" s="39" t="s">
        <v>284</v>
      </c>
      <c r="C415" s="235">
        <v>11183462</v>
      </c>
      <c r="D415" s="31"/>
      <c r="E415" s="236" t="str">
        <f>IF(OR(C415&gt;999999,C415/(D417)&gt;0.01),"Additional Classification Necessary - See Responses-2 Tab","")</f>
        <v>Additional Classification Necessary - See Responses-2 Tab</v>
      </c>
      <c r="F415" s="59"/>
      <c r="G415" s="59"/>
      <c r="H415" s="59"/>
      <c r="I415" s="59"/>
    </row>
    <row r="416" spans="1:9" x14ac:dyDescent="0.25">
      <c r="A416" s="61" t="s">
        <v>505</v>
      </c>
      <c r="B416" s="45"/>
      <c r="C416" s="45"/>
      <c r="D416" s="31">
        <f>SUM(C402:C415)</f>
        <v>11183462</v>
      </c>
      <c r="E416" s="31"/>
      <c r="F416" s="59"/>
      <c r="G416" s="59"/>
      <c r="H416" s="59"/>
      <c r="I416" s="59"/>
    </row>
    <row r="417" spans="1:13" x14ac:dyDescent="0.25">
      <c r="A417" s="31" t="s">
        <v>506</v>
      </c>
      <c r="B417" s="19"/>
      <c r="C417" s="26"/>
      <c r="D417" s="31">
        <f>SUM(C390:C400,D416)</f>
        <v>843156646</v>
      </c>
      <c r="E417" s="31"/>
    </row>
    <row r="418" spans="1:13" x14ac:dyDescent="0.25">
      <c r="A418" s="31" t="s">
        <v>507</v>
      </c>
      <c r="B418" s="19"/>
      <c r="C418" s="26"/>
      <c r="D418" s="31">
        <f>D385-D417</f>
        <v>6343072</v>
      </c>
      <c r="E418" s="31"/>
    </row>
    <row r="419" spans="1:13" x14ac:dyDescent="0.25">
      <c r="A419" s="31" t="s">
        <v>508</v>
      </c>
      <c r="B419" s="19"/>
      <c r="C419" s="235">
        <v>5307505</v>
      </c>
      <c r="D419" s="31"/>
      <c r="E419" s="31"/>
    </row>
    <row r="420" spans="1:13" x14ac:dyDescent="0.25">
      <c r="A420" s="58" t="s">
        <v>509</v>
      </c>
      <c r="B420" s="45" t="s">
        <v>284</v>
      </c>
      <c r="C420" s="271"/>
      <c r="D420" s="31"/>
      <c r="E420" s="31"/>
    </row>
    <row r="421" spans="1:13" x14ac:dyDescent="0.25">
      <c r="A421" s="60" t="s">
        <v>510</v>
      </c>
      <c r="B421" s="19"/>
      <c r="C421" s="19"/>
      <c r="D421" s="31">
        <f>SUM(C419:C420)</f>
        <v>5307505</v>
      </c>
      <c r="E421" s="31"/>
    </row>
    <row r="422" spans="1:13" x14ac:dyDescent="0.25">
      <c r="A422" s="31" t="s">
        <v>511</v>
      </c>
      <c r="B422" s="19"/>
      <c r="C422" s="26"/>
      <c r="D422" s="31">
        <f>D418+D421</f>
        <v>11650577</v>
      </c>
      <c r="E422" s="31"/>
      <c r="F422" s="62"/>
    </row>
    <row r="423" spans="1:13" x14ac:dyDescent="0.25">
      <c r="A423" s="31" t="s">
        <v>512</v>
      </c>
      <c r="B423" s="45" t="s">
        <v>284</v>
      </c>
      <c r="C423" s="46">
        <v>0</v>
      </c>
      <c r="D423" s="31"/>
      <c r="E423" s="19"/>
    </row>
    <row r="424" spans="1:13" x14ac:dyDescent="0.25">
      <c r="A424" s="19" t="s">
        <v>513</v>
      </c>
      <c r="B424" s="45" t="s">
        <v>284</v>
      </c>
      <c r="C424" s="46">
        <v>0</v>
      </c>
      <c r="D424" s="31"/>
      <c r="E424" s="19"/>
    </row>
    <row r="425" spans="1:13" x14ac:dyDescent="0.25">
      <c r="A425" s="19" t="s">
        <v>514</v>
      </c>
      <c r="B425" s="19"/>
      <c r="C425" s="26"/>
      <c r="D425" s="31">
        <f>D422+C423-C424</f>
        <v>11650577</v>
      </c>
      <c r="E425" s="19"/>
    </row>
    <row r="428" spans="1:13" x14ac:dyDescent="0.25">
      <c r="M428" s="63"/>
    </row>
    <row r="429" spans="1:13" x14ac:dyDescent="0.25">
      <c r="M429" s="63"/>
    </row>
    <row r="430" spans="1:13" x14ac:dyDescent="0.25">
      <c r="M430" s="63"/>
    </row>
    <row r="434" spans="2:7" x14ac:dyDescent="0.25">
      <c r="B434" s="64"/>
      <c r="C434" s="64"/>
      <c r="D434" s="64"/>
      <c r="E434" s="64"/>
      <c r="F434" s="64"/>
      <c r="G434" s="64"/>
    </row>
    <row r="575" spans="2:83" x14ac:dyDescent="0.25">
      <c r="B575" s="65"/>
      <c r="C575" s="65"/>
      <c r="D575" s="65"/>
      <c r="E575" s="65"/>
      <c r="F575" s="65"/>
      <c r="G575" s="65"/>
      <c r="H575" s="65"/>
      <c r="I575" s="65"/>
      <c r="J575" s="65"/>
      <c r="K575" s="65"/>
      <c r="L575" s="65"/>
      <c r="M575" s="65"/>
      <c r="N575" s="65"/>
      <c r="O575" s="65"/>
      <c r="P575" s="65"/>
      <c r="Q575" s="65"/>
      <c r="R575" s="65"/>
      <c r="S575" s="65"/>
      <c r="T575" s="65"/>
      <c r="U575" s="65"/>
      <c r="V575" s="65"/>
      <c r="W575" s="65"/>
      <c r="X575" s="65"/>
      <c r="Y575" s="65"/>
      <c r="Z575" s="65"/>
      <c r="AA575" s="65"/>
      <c r="AB575" s="65"/>
      <c r="AC575" s="65"/>
      <c r="AD575" s="65"/>
      <c r="AE575" s="65"/>
      <c r="AF575" s="65"/>
      <c r="AG575" s="65"/>
      <c r="AH575" s="65"/>
      <c r="AI575" s="65"/>
      <c r="AJ575" s="65"/>
      <c r="AK575" s="65"/>
      <c r="AL575" s="65"/>
      <c r="AM575" s="65"/>
      <c r="AN575" s="65"/>
      <c r="AO575" s="65"/>
      <c r="AP575" s="65"/>
      <c r="AQ575" s="65"/>
      <c r="AR575" s="65"/>
      <c r="AS575" s="65"/>
      <c r="AT575" s="65"/>
      <c r="AU575" s="65"/>
      <c r="AV575" s="65"/>
      <c r="AW575" s="65"/>
      <c r="AX575" s="65"/>
      <c r="AY575" s="65"/>
      <c r="AZ575" s="65"/>
      <c r="BA575" s="65"/>
      <c r="BB575" s="65"/>
      <c r="BC575" s="65"/>
      <c r="BD575" s="65"/>
      <c r="BE575" s="65"/>
      <c r="BF575" s="65"/>
      <c r="BG575" s="65"/>
      <c r="BH575" s="65"/>
      <c r="BI575" s="65"/>
      <c r="BJ575" s="65"/>
      <c r="BK575" s="65"/>
      <c r="BL575" s="65"/>
      <c r="BM575" s="65"/>
      <c r="BN575" s="65"/>
      <c r="BO575" s="65"/>
      <c r="BP575" s="65"/>
      <c r="BQ575" s="65"/>
      <c r="BR575" s="65"/>
      <c r="BS575" s="65"/>
      <c r="BT575" s="65"/>
      <c r="BU575" s="65"/>
      <c r="BV575" s="65"/>
      <c r="BW575" s="65"/>
      <c r="BX575" s="65"/>
      <c r="BY575" s="65"/>
      <c r="BZ575" s="65"/>
      <c r="CA575" s="65"/>
      <c r="CB575" s="65"/>
      <c r="CC575" s="65"/>
      <c r="CD575" s="65"/>
      <c r="CE575" s="65"/>
    </row>
    <row r="579" spans="2:83" x14ac:dyDescent="0.25">
      <c r="B579" s="65"/>
      <c r="C579" s="65"/>
      <c r="D579" s="65"/>
      <c r="E579" s="65"/>
      <c r="F579" s="65"/>
      <c r="G579" s="65"/>
      <c r="H579" s="65"/>
      <c r="I579" s="65"/>
      <c r="J579" s="65"/>
      <c r="K579" s="65"/>
      <c r="L579" s="65"/>
      <c r="M579" s="65"/>
      <c r="N579" s="65"/>
      <c r="O579" s="65"/>
      <c r="P579" s="65"/>
      <c r="Q579" s="65"/>
      <c r="R579" s="65"/>
      <c r="S579" s="65"/>
      <c r="T579" s="65"/>
      <c r="U579" s="65"/>
      <c r="V579" s="65"/>
      <c r="W579" s="65"/>
      <c r="X579" s="65"/>
      <c r="Y579" s="65"/>
      <c r="Z579" s="65"/>
      <c r="AA579" s="65"/>
      <c r="AB579" s="65"/>
      <c r="AC579" s="65"/>
      <c r="AD579" s="65"/>
      <c r="AE579" s="65"/>
      <c r="AF579" s="65"/>
      <c r="AG579" s="65"/>
      <c r="AH579" s="65"/>
      <c r="AI579" s="65"/>
      <c r="AJ579" s="65"/>
      <c r="AK579" s="65"/>
      <c r="AL579" s="65"/>
      <c r="AM579" s="65"/>
      <c r="AN579" s="65"/>
      <c r="AO579" s="65"/>
      <c r="AP579" s="65"/>
      <c r="AQ579" s="65"/>
      <c r="AR579" s="65"/>
      <c r="AS579" s="65"/>
      <c r="AT579" s="65"/>
      <c r="AU579" s="65"/>
      <c r="AV579" s="65"/>
      <c r="AW579" s="65"/>
      <c r="AX579" s="65"/>
      <c r="AY579" s="65"/>
      <c r="AZ579" s="65"/>
      <c r="BA579" s="65"/>
      <c r="BB579" s="65"/>
      <c r="BC579" s="65"/>
      <c r="BD579" s="65"/>
      <c r="BE579" s="65"/>
      <c r="BF579" s="65"/>
      <c r="BG579" s="65"/>
      <c r="BH579" s="65"/>
      <c r="BI579" s="65"/>
      <c r="BJ579" s="65"/>
      <c r="BK579" s="65"/>
      <c r="BL579" s="65"/>
      <c r="BM579" s="65"/>
      <c r="BN579" s="65"/>
      <c r="BO579" s="65"/>
      <c r="BP579" s="65"/>
      <c r="BQ579" s="65"/>
      <c r="BR579" s="65"/>
      <c r="BS579" s="65"/>
      <c r="BT579" s="65"/>
      <c r="BU579" s="65"/>
      <c r="BV579" s="65"/>
      <c r="BW579" s="65"/>
      <c r="BX579" s="65"/>
      <c r="BY579" s="65"/>
      <c r="BZ579" s="65"/>
      <c r="CA579" s="65"/>
      <c r="CB579" s="65"/>
      <c r="CC579" s="65"/>
      <c r="CD579" s="65"/>
      <c r="CE579" s="65"/>
    </row>
    <row r="583" spans="2:83" x14ac:dyDescent="0.25">
      <c r="B583" s="65"/>
      <c r="C583" s="65"/>
      <c r="D583" s="65"/>
      <c r="E583" s="65"/>
      <c r="F583" s="65"/>
      <c r="G583" s="65"/>
      <c r="H583" s="65"/>
      <c r="I583" s="65"/>
      <c r="J583" s="65"/>
      <c r="K583" s="65"/>
      <c r="L583" s="65"/>
      <c r="M583" s="65"/>
      <c r="N583" s="65"/>
      <c r="O583" s="65"/>
      <c r="P583" s="65"/>
      <c r="Q583" s="65"/>
      <c r="R583" s="65"/>
      <c r="S583" s="65"/>
      <c r="T583" s="65"/>
      <c r="U583" s="65"/>
      <c r="V583" s="65"/>
      <c r="W583" s="65"/>
      <c r="X583" s="65"/>
      <c r="Y583" s="65"/>
      <c r="Z583" s="65"/>
      <c r="AA583" s="65"/>
      <c r="AB583" s="65"/>
      <c r="AC583" s="65"/>
      <c r="AD583" s="65"/>
      <c r="AE583" s="65"/>
      <c r="AF583" s="65"/>
      <c r="AG583" s="65"/>
      <c r="AH583" s="65"/>
      <c r="AI583" s="65"/>
      <c r="AJ583" s="65"/>
      <c r="AK583" s="65"/>
      <c r="AL583" s="65"/>
      <c r="AM583" s="65"/>
      <c r="AN583" s="65"/>
      <c r="AO583" s="65"/>
      <c r="AP583" s="65"/>
      <c r="AQ583" s="65"/>
      <c r="AR583" s="65"/>
      <c r="AS583" s="65"/>
      <c r="AT583" s="65"/>
      <c r="AU583" s="65"/>
      <c r="AV583" s="65"/>
      <c r="AW583" s="65"/>
      <c r="AX583" s="65"/>
      <c r="AY583" s="65"/>
      <c r="AZ583" s="65"/>
      <c r="BA583" s="65"/>
      <c r="BB583" s="65"/>
      <c r="BC583" s="65"/>
      <c r="BD583" s="65"/>
      <c r="BE583" s="65"/>
      <c r="BF583" s="65"/>
      <c r="BG583" s="65"/>
      <c r="BH583" s="65"/>
      <c r="BI583" s="65"/>
      <c r="BJ583" s="65"/>
      <c r="BK583" s="65"/>
      <c r="BL583" s="65"/>
      <c r="BM583" s="65"/>
      <c r="BN583" s="65"/>
      <c r="BO583" s="65"/>
      <c r="BP583" s="65"/>
      <c r="BQ583" s="65"/>
      <c r="BR583" s="65"/>
      <c r="BS583" s="65"/>
      <c r="BT583" s="65"/>
      <c r="BU583" s="65"/>
      <c r="BV583" s="65"/>
      <c r="BW583" s="65"/>
      <c r="BX583" s="65"/>
      <c r="BY583" s="65"/>
      <c r="BZ583" s="65"/>
      <c r="CA583" s="65"/>
      <c r="CB583" s="65"/>
      <c r="CC583" s="65"/>
      <c r="CD583" s="65"/>
      <c r="CE583" s="65"/>
    </row>
    <row r="613" spans="1:14" s="230" customFormat="1" ht="12.6" customHeight="1" x14ac:dyDescent="0.2">
      <c r="A613" s="249"/>
      <c r="C613" s="247" t="s">
        <v>515</v>
      </c>
      <c r="D613" s="254">
        <f>CE91-(BE91+CD91)</f>
        <v>926109</v>
      </c>
      <c r="E613" s="256">
        <f>SUM(C625:D648)+SUM(C669:D714)</f>
        <v>736851134.87638223</v>
      </c>
      <c r="F613" s="256">
        <f>CE65-(AX65+BD65+BE65+BG65+BJ65+BN65+BP65+BQ65+CB65+CC65+CD65)</f>
        <v>109593433.79000007</v>
      </c>
      <c r="G613" s="254">
        <f>CE92-(AX92+AY92+BD92+BE92+BG92+BJ92+BN92+BP92+BQ92+CB92+CC92+CD92)</f>
        <v>213376</v>
      </c>
      <c r="H613" s="259">
        <f>CE61-(AX61+AY61+AZ61+BD61+BE61+BG61+BJ61+BN61+BO61+BP61+BQ61+BR61+CB61+CC61+CD61)</f>
        <v>3614.109692307693</v>
      </c>
      <c r="I613" s="254">
        <f>CE93-(AX93+AY93+AZ93+BD93+BE93+BF93+BG93+BJ93+BN93+BO93+BP93+BQ93+BR93+CB93+CC93+CD93)</f>
        <v>106874</v>
      </c>
      <c r="J613" s="254">
        <f>CE94-(AX94+AY94+AZ94+BA94+BD94+BE94+BF94+BG94+BJ94+BN94+BO94+BP94+BQ94+BR94+CB94+CC94+CD94)</f>
        <v>2452817.1000000006</v>
      </c>
      <c r="K613" s="254">
        <f>CE90-(AW90+AX90+AY90+AZ90+BA90+BB90+BC90+BD90+BE90+BF90+BG90+BH90+BI90+BJ90+BK90+BL90+BM90+BN90+BO90+BP90+BQ90+BR90+BS90+BT90+BU90+BV90+BW90+BX90+CB90+CC90+CD90)</f>
        <v>2101009876.5799999</v>
      </c>
      <c r="L613" s="260">
        <f>CE95-(AW95+AX95+AY95+AZ95+BA95+BB95+BC95+BD95+BE95+BF95+BG95+BH95+BI95+BJ95+BK95+BL95+BM95+BN95+BO95+BP95+BQ95+BR95+BS95+BT95+BU95+BV95+BW95+BX95+BY95+BZ95+CA95+CB95+CC95+CD95)</f>
        <v>991.11932211538465</v>
      </c>
    </row>
    <row r="614" spans="1:14" s="230" customFormat="1" ht="12.6" customHeight="1" x14ac:dyDescent="0.2">
      <c r="A614" s="249"/>
      <c r="C614" s="247" t="s">
        <v>516</v>
      </c>
      <c r="D614" s="255" t="s">
        <v>517</v>
      </c>
      <c r="E614" s="257" t="s">
        <v>518</v>
      </c>
      <c r="F614" s="258" t="s">
        <v>519</v>
      </c>
      <c r="G614" s="255" t="s">
        <v>520</v>
      </c>
      <c r="H614" s="258" t="s">
        <v>521</v>
      </c>
      <c r="I614" s="255" t="s">
        <v>522</v>
      </c>
      <c r="J614" s="255" t="s">
        <v>523</v>
      </c>
      <c r="K614" s="247" t="s">
        <v>524</v>
      </c>
      <c r="L614" s="248" t="s">
        <v>525</v>
      </c>
    </row>
    <row r="615" spans="1:14" s="230" customFormat="1" ht="12.6" customHeight="1" x14ac:dyDescent="0.2">
      <c r="A615" s="249">
        <v>8430</v>
      </c>
      <c r="B615" s="248" t="s">
        <v>152</v>
      </c>
      <c r="C615" s="254">
        <f>BE86</f>
        <v>9730138.7699999996</v>
      </c>
      <c r="D615" s="254"/>
      <c r="E615" s="256"/>
      <c r="F615" s="256"/>
      <c r="G615" s="254"/>
      <c r="H615" s="256"/>
      <c r="I615" s="254"/>
      <c r="J615" s="254"/>
      <c r="N615" s="250" t="s">
        <v>526</v>
      </c>
    </row>
    <row r="616" spans="1:14" s="230" customFormat="1" ht="12.6" customHeight="1" x14ac:dyDescent="0.2">
      <c r="A616" s="249"/>
      <c r="B616" s="248" t="s">
        <v>527</v>
      </c>
      <c r="C616" s="254">
        <f>CD70-CD85</f>
        <v>9138508.1300000008</v>
      </c>
      <c r="D616" s="254">
        <f>SUM(C615:C616)</f>
        <v>18868646.899999999</v>
      </c>
      <c r="E616" s="256"/>
      <c r="F616" s="256"/>
      <c r="G616" s="254"/>
      <c r="H616" s="256"/>
      <c r="I616" s="254"/>
      <c r="J616" s="254"/>
      <c r="N616" s="250" t="s">
        <v>528</v>
      </c>
    </row>
    <row r="617" spans="1:14" s="230" customFormat="1" ht="12.6" customHeight="1" x14ac:dyDescent="0.2">
      <c r="A617" s="249">
        <v>8310</v>
      </c>
      <c r="B617" s="253" t="s">
        <v>529</v>
      </c>
      <c r="C617" s="254">
        <f>AX86</f>
        <v>4731566.4300000006</v>
      </c>
      <c r="D617" s="254">
        <f>(D616/D613)*AX91</f>
        <v>0</v>
      </c>
      <c r="E617" s="256"/>
      <c r="F617" s="256"/>
      <c r="G617" s="254"/>
      <c r="H617" s="256"/>
      <c r="I617" s="254"/>
      <c r="J617" s="254"/>
      <c r="N617" s="250" t="s">
        <v>530</v>
      </c>
    </row>
    <row r="618" spans="1:14" s="230" customFormat="1" ht="12.6" customHeight="1" x14ac:dyDescent="0.2">
      <c r="A618" s="249">
        <v>8510</v>
      </c>
      <c r="B618" s="253" t="s">
        <v>157</v>
      </c>
      <c r="C618" s="254">
        <f>BJ86</f>
        <v>2356091.35</v>
      </c>
      <c r="D618" s="254">
        <f>(D616/D613)*BJ91</f>
        <v>92804.072338677186</v>
      </c>
      <c r="E618" s="256"/>
      <c r="F618" s="256"/>
      <c r="G618" s="254"/>
      <c r="H618" s="256"/>
      <c r="I618" s="254"/>
      <c r="J618" s="254"/>
      <c r="N618" s="250" t="s">
        <v>531</v>
      </c>
    </row>
    <row r="619" spans="1:14" s="230" customFormat="1" ht="12.6" customHeight="1" x14ac:dyDescent="0.2">
      <c r="A619" s="249">
        <v>8470</v>
      </c>
      <c r="B619" s="253" t="s">
        <v>532</v>
      </c>
      <c r="C619" s="254">
        <f>BG86</f>
        <v>2696893.66</v>
      </c>
      <c r="D619" s="254">
        <f>(D616/D613)*BG91</f>
        <v>103439.35790635874</v>
      </c>
      <c r="E619" s="256"/>
      <c r="F619" s="256"/>
      <c r="G619" s="254"/>
      <c r="H619" s="256"/>
      <c r="I619" s="254"/>
      <c r="J619" s="254"/>
      <c r="N619" s="250" t="s">
        <v>533</v>
      </c>
    </row>
    <row r="620" spans="1:14" s="230" customFormat="1" ht="12.6" customHeight="1" x14ac:dyDescent="0.2">
      <c r="A620" s="249">
        <v>8610</v>
      </c>
      <c r="B620" s="253" t="s">
        <v>534</v>
      </c>
      <c r="C620" s="254">
        <f>BN86</f>
        <v>12954862.439999999</v>
      </c>
      <c r="D620" s="254">
        <f>(D616/D613)*BN91</f>
        <v>290494.06441380008</v>
      </c>
      <c r="E620" s="256"/>
      <c r="F620" s="256"/>
      <c r="G620" s="254"/>
      <c r="H620" s="256"/>
      <c r="I620" s="254"/>
      <c r="J620" s="254"/>
      <c r="N620" s="250" t="s">
        <v>535</v>
      </c>
    </row>
    <row r="621" spans="1:14" s="230" customFormat="1" ht="12.6" customHeight="1" x14ac:dyDescent="0.2">
      <c r="A621" s="249">
        <v>8790</v>
      </c>
      <c r="B621" s="253" t="s">
        <v>536</v>
      </c>
      <c r="C621" s="254">
        <f>CC86</f>
        <v>6284358.8300000001</v>
      </c>
      <c r="D621" s="254">
        <f>(D616/D613)*CC91</f>
        <v>160466.49258823742</v>
      </c>
      <c r="E621" s="256"/>
      <c r="F621" s="256"/>
      <c r="G621" s="254"/>
      <c r="H621" s="256"/>
      <c r="I621" s="254"/>
      <c r="J621" s="254"/>
      <c r="N621" s="250" t="s">
        <v>537</v>
      </c>
    </row>
    <row r="622" spans="1:14" s="230" customFormat="1" ht="12.6" customHeight="1" x14ac:dyDescent="0.2">
      <c r="A622" s="249">
        <v>8630</v>
      </c>
      <c r="B622" s="253" t="s">
        <v>538</v>
      </c>
      <c r="C622" s="254">
        <f>BP86</f>
        <v>7161145.7800000003</v>
      </c>
      <c r="D622" s="254">
        <f>(D616/D613)*BP91</f>
        <v>38588.564875840741</v>
      </c>
      <c r="E622" s="256"/>
      <c r="F622" s="256"/>
      <c r="G622" s="254"/>
      <c r="H622" s="256"/>
      <c r="I622" s="254"/>
      <c r="J622" s="254"/>
      <c r="N622" s="250" t="s">
        <v>539</v>
      </c>
    </row>
    <row r="623" spans="1:14" s="230" customFormat="1" ht="12.6" customHeight="1" x14ac:dyDescent="0.2">
      <c r="A623" s="249">
        <v>8770</v>
      </c>
      <c r="B623" s="248" t="s">
        <v>540</v>
      </c>
      <c r="C623" s="254">
        <f>CB86</f>
        <v>6559272.1799999997</v>
      </c>
      <c r="D623" s="254">
        <f>(D616/D613)*CB91</f>
        <v>82128.038550429803</v>
      </c>
      <c r="E623" s="256"/>
      <c r="F623" s="256"/>
      <c r="G623" s="254"/>
      <c r="H623" s="256"/>
      <c r="I623" s="254"/>
      <c r="J623" s="254"/>
      <c r="N623" s="250" t="s">
        <v>541</v>
      </c>
    </row>
    <row r="624" spans="1:14" s="230" customFormat="1" ht="12.6" customHeight="1" x14ac:dyDescent="0.2">
      <c r="A624" s="249">
        <v>8640</v>
      </c>
      <c r="B624" s="253" t="s">
        <v>542</v>
      </c>
      <c r="C624" s="254">
        <f>BQ86</f>
        <v>678573.21</v>
      </c>
      <c r="D624" s="254">
        <f>(D616/D613)*BQ91</f>
        <v>34167.382944448218</v>
      </c>
      <c r="E624" s="256">
        <f>SUM(C617:D624)</f>
        <v>44224851.853617795</v>
      </c>
      <c r="F624" s="256"/>
      <c r="G624" s="254"/>
      <c r="H624" s="256"/>
      <c r="I624" s="254"/>
      <c r="J624" s="254"/>
      <c r="N624" s="250" t="s">
        <v>543</v>
      </c>
    </row>
    <row r="625" spans="1:14" s="230" customFormat="1" ht="12.6" customHeight="1" x14ac:dyDescent="0.2">
      <c r="A625" s="249">
        <v>8420</v>
      </c>
      <c r="B625" s="253" t="s">
        <v>151</v>
      </c>
      <c r="C625" s="254">
        <f>BD86</f>
        <v>9480990.5800000001</v>
      </c>
      <c r="D625" s="254">
        <f>(D616/D613)*BD91</f>
        <v>184935.79903801819</v>
      </c>
      <c r="E625" s="256">
        <f>(E624/E613)*SUM(C625:D625)</f>
        <v>580136.39649567462</v>
      </c>
      <c r="F625" s="256">
        <f>SUM(C625:E625)</f>
        <v>10246062.775533693</v>
      </c>
      <c r="G625" s="254"/>
      <c r="H625" s="256"/>
      <c r="I625" s="254"/>
      <c r="J625" s="254"/>
      <c r="N625" s="250" t="s">
        <v>544</v>
      </c>
    </row>
    <row r="626" spans="1:14" s="230" customFormat="1" ht="12.6" customHeight="1" x14ac:dyDescent="0.2">
      <c r="A626" s="249">
        <v>8320</v>
      </c>
      <c r="B626" s="253" t="s">
        <v>147</v>
      </c>
      <c r="C626" s="254">
        <f>AY86</f>
        <v>0</v>
      </c>
      <c r="D626" s="254">
        <f>(D616/D613)*AY91</f>
        <v>0</v>
      </c>
      <c r="E626" s="256">
        <f>(E624/E613)*SUM(C626:D626)</f>
        <v>0</v>
      </c>
      <c r="F626" s="256">
        <f>(F625/F613)*AY65</f>
        <v>0</v>
      </c>
      <c r="G626" s="254">
        <f>SUM(C626:F626)</f>
        <v>0</v>
      </c>
      <c r="H626" s="256"/>
      <c r="I626" s="254"/>
      <c r="J626" s="254"/>
      <c r="N626" s="250" t="s">
        <v>545</v>
      </c>
    </row>
    <row r="627" spans="1:14" s="230" customFormat="1" ht="12.6" customHeight="1" x14ac:dyDescent="0.2">
      <c r="A627" s="249">
        <v>8650</v>
      </c>
      <c r="B627" s="253" t="s">
        <v>164</v>
      </c>
      <c r="C627" s="254">
        <f>BR86</f>
        <v>12626886.880000001</v>
      </c>
      <c r="D627" s="254">
        <f>(D616/D613)*BR91</f>
        <v>69271.974961910528</v>
      </c>
      <c r="E627" s="256">
        <f>(E624/E613)*SUM(C627:D627)</f>
        <v>762007.02949977259</v>
      </c>
      <c r="F627" s="256">
        <f>(F625/F613)*BR65</f>
        <v>5070.4912825302199</v>
      </c>
      <c r="G627" s="254">
        <f>(G626/G613)*BR92</f>
        <v>0</v>
      </c>
      <c r="H627" s="256"/>
      <c r="I627" s="254"/>
      <c r="J627" s="254"/>
      <c r="N627" s="250" t="s">
        <v>546</v>
      </c>
    </row>
    <row r="628" spans="1:14" s="230" customFormat="1" ht="12.6" customHeight="1" x14ac:dyDescent="0.2">
      <c r="A628" s="249">
        <v>8620</v>
      </c>
      <c r="B628" s="248" t="s">
        <v>547</v>
      </c>
      <c r="C628" s="254">
        <f>BO86</f>
        <v>1579781.26</v>
      </c>
      <c r="D628" s="254">
        <f>(D616/D613)*BO91</f>
        <v>42418.89760902874</v>
      </c>
      <c r="E628" s="256">
        <f>(E624/E613)*SUM(C628:D628)</f>
        <v>97362.354825185219</v>
      </c>
      <c r="F628" s="256">
        <f>(F625/F613)*BO65</f>
        <v>13533.174790939222</v>
      </c>
      <c r="G628" s="254">
        <f>(G626/G613)*BO92</f>
        <v>0</v>
      </c>
      <c r="H628" s="256"/>
      <c r="I628" s="254"/>
      <c r="J628" s="254"/>
      <c r="N628" s="250" t="s">
        <v>548</v>
      </c>
    </row>
    <row r="629" spans="1:14" s="230" customFormat="1" ht="12.6" customHeight="1" x14ac:dyDescent="0.2">
      <c r="A629" s="249">
        <v>8330</v>
      </c>
      <c r="B629" s="253" t="s">
        <v>148</v>
      </c>
      <c r="C629" s="254">
        <f>AZ86</f>
        <v>4125014.4799999995</v>
      </c>
      <c r="D629" s="254">
        <f>(D616/D613)*AZ91</f>
        <v>480401.1463608495</v>
      </c>
      <c r="E629" s="256">
        <f>(E624/E613)*SUM(C629:D629)</f>
        <v>276411.08788454841</v>
      </c>
      <c r="F629" s="256">
        <f>(F625/F613)*AZ65</f>
        <v>170055.61565900189</v>
      </c>
      <c r="G629" s="254">
        <f>(G626/G613)*AZ92</f>
        <v>0</v>
      </c>
      <c r="H629" s="256">
        <f>SUM(C627:G629)</f>
        <v>20248214.392873768</v>
      </c>
      <c r="I629" s="254"/>
      <c r="J629" s="254"/>
      <c r="N629" s="250" t="s">
        <v>549</v>
      </c>
    </row>
    <row r="630" spans="1:14" s="230" customFormat="1" ht="12.6" customHeight="1" x14ac:dyDescent="0.2">
      <c r="A630" s="249">
        <v>8460</v>
      </c>
      <c r="B630" s="253" t="s">
        <v>153</v>
      </c>
      <c r="C630" s="254">
        <f>BF86</f>
        <v>6375912.0799999991</v>
      </c>
      <c r="D630" s="254">
        <f>(D616/D613)*BF91</f>
        <v>196182.30791418717</v>
      </c>
      <c r="E630" s="256">
        <f>(E624/E613)*SUM(C630:D630)</f>
        <v>394448.60286774026</v>
      </c>
      <c r="F630" s="256">
        <f>(F625/F613)*BF65</f>
        <v>34307.792842570925</v>
      </c>
      <c r="G630" s="254">
        <f>(G626/G613)*BF92</f>
        <v>0</v>
      </c>
      <c r="H630" s="256">
        <f>(H629/H613)*BF61</f>
        <v>550612.93022348604</v>
      </c>
      <c r="I630" s="254">
        <f>SUM(C630:H630)</f>
        <v>7551463.7138479836</v>
      </c>
      <c r="J630" s="254"/>
      <c r="N630" s="250" t="s">
        <v>550</v>
      </c>
    </row>
    <row r="631" spans="1:14" s="230" customFormat="1" ht="12.6" customHeight="1" x14ac:dyDescent="0.2">
      <c r="A631" s="249">
        <v>8350</v>
      </c>
      <c r="B631" s="253" t="s">
        <v>551</v>
      </c>
      <c r="C631" s="254">
        <f>BA86</f>
        <v>1241680.3500000001</v>
      </c>
      <c r="D631" s="254">
        <f>(D616/D613)*BA91</f>
        <v>73122.681805381435</v>
      </c>
      <c r="E631" s="256">
        <f>(E624/E613)*SUM(C631:D631)</f>
        <v>78912.777013006227</v>
      </c>
      <c r="F631" s="256">
        <f>(F625/F613)*BA65</f>
        <v>1487.359342436212</v>
      </c>
      <c r="G631" s="254">
        <f>(G626/G613)*BA92</f>
        <v>0</v>
      </c>
      <c r="H631" s="256">
        <f>(H629/H613)*BA61</f>
        <v>30861.05685437873</v>
      </c>
      <c r="I631" s="254">
        <f>(I630/I613)*BA93</f>
        <v>32290.537616525333</v>
      </c>
      <c r="J631" s="254">
        <f>SUM(C631:I631)</f>
        <v>1458354.7626317281</v>
      </c>
      <c r="N631" s="250" t="s">
        <v>552</v>
      </c>
    </row>
    <row r="632" spans="1:14" s="230" customFormat="1" ht="12.6" customHeight="1" x14ac:dyDescent="0.2">
      <c r="A632" s="249">
        <v>8200</v>
      </c>
      <c r="B632" s="253" t="s">
        <v>553</v>
      </c>
      <c r="C632" s="254">
        <f>AW86</f>
        <v>-1592350.4900000002</v>
      </c>
      <c r="D632" s="254">
        <f>(D616/D613)*AW91</f>
        <v>79683.145316480019</v>
      </c>
      <c r="E632" s="256">
        <f>(E624/E613)*SUM(C632:D632)</f>
        <v>-90788.337095602285</v>
      </c>
      <c r="F632" s="256">
        <f>(F625/F613)*AW65</f>
        <v>4642.3774653306928</v>
      </c>
      <c r="G632" s="254">
        <f>(G626/G613)*AW92</f>
        <v>0</v>
      </c>
      <c r="H632" s="256">
        <f>(H629/H613)*AW61</f>
        <v>107813.09822861904</v>
      </c>
      <c r="I632" s="254">
        <f>(I630/I613)*AW93</f>
        <v>35187.500509911632</v>
      </c>
      <c r="J632" s="254">
        <f>(J631/J613)*AW94</f>
        <v>0</v>
      </c>
      <c r="N632" s="250" t="s">
        <v>554</v>
      </c>
    </row>
    <row r="633" spans="1:14" s="230" customFormat="1" ht="12.6" customHeight="1" x14ac:dyDescent="0.2">
      <c r="A633" s="249">
        <v>8360</v>
      </c>
      <c r="B633" s="253" t="s">
        <v>555</v>
      </c>
      <c r="C633" s="254">
        <f>BB86</f>
        <v>376507.22</v>
      </c>
      <c r="D633" s="254">
        <f>(D616/D613)*BB91</f>
        <v>0</v>
      </c>
      <c r="E633" s="256">
        <f>(E624/E613)*SUM(C633:D633)</f>
        <v>22597.476258363818</v>
      </c>
      <c r="F633" s="256">
        <f>(F625/F613)*BB65</f>
        <v>0</v>
      </c>
      <c r="G633" s="254">
        <f>(G626/G613)*BB92</f>
        <v>0</v>
      </c>
      <c r="H633" s="256">
        <f>(H629/H613)*BB61</f>
        <v>567.09613118087134</v>
      </c>
      <c r="I633" s="254">
        <f>(I630/I613)*BB93</f>
        <v>0</v>
      </c>
      <c r="J633" s="254">
        <f>(J631/J613)*BB94</f>
        <v>0</v>
      </c>
      <c r="N633" s="250" t="s">
        <v>556</v>
      </c>
    </row>
    <row r="634" spans="1:14" s="230" customFormat="1" ht="12.6" customHeight="1" x14ac:dyDescent="0.2">
      <c r="A634" s="249">
        <v>8370</v>
      </c>
      <c r="B634" s="253" t="s">
        <v>557</v>
      </c>
      <c r="C634" s="254">
        <f>BC86</f>
        <v>490955.84</v>
      </c>
      <c r="D634" s="254">
        <f>(D616/D613)*BC91</f>
        <v>0</v>
      </c>
      <c r="E634" s="256">
        <f>(E624/E613)*SUM(C634:D634)</f>
        <v>29466.53436899581</v>
      </c>
      <c r="F634" s="256">
        <f>(F625/F613)*BC65</f>
        <v>217.32210186965631</v>
      </c>
      <c r="G634" s="254">
        <f>(G626/G613)*BC92</f>
        <v>0</v>
      </c>
      <c r="H634" s="256">
        <f>(H629/H613)*BC61</f>
        <v>39853.923683543086</v>
      </c>
      <c r="I634" s="254">
        <f>(I630/I613)*BC93</f>
        <v>0</v>
      </c>
      <c r="J634" s="254">
        <f>(J631/J613)*BC94</f>
        <v>0</v>
      </c>
      <c r="N634" s="250" t="s">
        <v>558</v>
      </c>
    </row>
    <row r="635" spans="1:14" s="230" customFormat="1" ht="12.6" customHeight="1" x14ac:dyDescent="0.2">
      <c r="A635" s="249">
        <v>8490</v>
      </c>
      <c r="B635" s="253" t="s">
        <v>559</v>
      </c>
      <c r="C635" s="254">
        <f>BI86</f>
        <v>6604985.7800000012</v>
      </c>
      <c r="D635" s="254">
        <f>(D616/D613)*BI91</f>
        <v>534005.4305151985</v>
      </c>
      <c r="E635" s="256">
        <f>(E624/E613)*SUM(C635:D635)</f>
        <v>428473.01676787285</v>
      </c>
      <c r="F635" s="256">
        <f>(F625/F613)*BI65</f>
        <v>57727.630675578701</v>
      </c>
      <c r="G635" s="254">
        <f>(G626/G613)*BI92</f>
        <v>0</v>
      </c>
      <c r="H635" s="256">
        <f>(H629/H613)*BI61</f>
        <v>390258.97071143048</v>
      </c>
      <c r="I635" s="254">
        <f>(I630/I613)*BI93</f>
        <v>235855.17410057236</v>
      </c>
      <c r="J635" s="254">
        <f>(J631/J613)*BI94</f>
        <v>29385.096603227317</v>
      </c>
      <c r="N635" s="250" t="s">
        <v>560</v>
      </c>
    </row>
    <row r="636" spans="1:14" s="230" customFormat="1" ht="12.6" customHeight="1" x14ac:dyDescent="0.2">
      <c r="A636" s="249">
        <v>8530</v>
      </c>
      <c r="B636" s="253" t="s">
        <v>561</v>
      </c>
      <c r="C636" s="254">
        <f>BK86</f>
        <v>10305075.460000001</v>
      </c>
      <c r="D636" s="254">
        <f>(D616/D613)*BK91</f>
        <v>224400.45065602427</v>
      </c>
      <c r="E636" s="256">
        <f>(E624/E613)*SUM(C636:D636)</f>
        <v>631965.5222124646</v>
      </c>
      <c r="F636" s="256">
        <f>(F625/F613)*BK65</f>
        <v>4951.455004018404</v>
      </c>
      <c r="G636" s="254">
        <f>(G626/G613)*BK92</f>
        <v>0</v>
      </c>
      <c r="H636" s="256">
        <f>(H629/H613)*BK61</f>
        <v>502817.02104249818</v>
      </c>
      <c r="I636" s="254">
        <f>(I630/I613)*BK93</f>
        <v>99061.999427502233</v>
      </c>
      <c r="J636" s="254">
        <f>(J631/J613)*BK94</f>
        <v>0</v>
      </c>
      <c r="N636" s="250" t="s">
        <v>562</v>
      </c>
    </row>
    <row r="637" spans="1:14" s="230" customFormat="1" ht="12.6" customHeight="1" x14ac:dyDescent="0.2">
      <c r="A637" s="249">
        <v>8480</v>
      </c>
      <c r="B637" s="253" t="s">
        <v>563</v>
      </c>
      <c r="C637" s="254">
        <f>BH86</f>
        <v>39890939.25</v>
      </c>
      <c r="D637" s="254">
        <f>(D616/D613)*BH91</f>
        <v>505970.65476590762</v>
      </c>
      <c r="E637" s="256">
        <f>(E624/E613)*SUM(C637:D637)</f>
        <v>2424570.2711470174</v>
      </c>
      <c r="F637" s="256">
        <f>(F625/F613)*BH65</f>
        <v>102859.20030088241</v>
      </c>
      <c r="G637" s="254">
        <f>(G626/G613)*BH92</f>
        <v>0</v>
      </c>
      <c r="H637" s="256">
        <f>(H629/H613)*BH61</f>
        <v>716586.0544357677</v>
      </c>
      <c r="I637" s="254">
        <f>(I630/I613)*BH93</f>
        <v>223419.43094847506</v>
      </c>
      <c r="J637" s="254">
        <f>(J631/J613)*BH94</f>
        <v>0</v>
      </c>
      <c r="N637" s="250" t="s">
        <v>564</v>
      </c>
    </row>
    <row r="638" spans="1:14" s="230" customFormat="1" ht="12.6" customHeight="1" x14ac:dyDescent="0.2">
      <c r="A638" s="249">
        <v>8560</v>
      </c>
      <c r="B638" s="253" t="s">
        <v>159</v>
      </c>
      <c r="C638" s="254">
        <f>BL86</f>
        <v>5925287.3799999999</v>
      </c>
      <c r="D638" s="254">
        <f>(D616/D613)*BL91</f>
        <v>102074.29251740345</v>
      </c>
      <c r="E638" s="256">
        <f>(E624/E613)*SUM(C638:D638)</f>
        <v>361754.45000837982</v>
      </c>
      <c r="F638" s="256">
        <f>(F625/F613)*BL65</f>
        <v>5522.1771306284736</v>
      </c>
      <c r="G638" s="254">
        <f>(G626/G613)*BL92</f>
        <v>0</v>
      </c>
      <c r="H638" s="256">
        <f>(H629/H613)*BL61</f>
        <v>445234.05725672754</v>
      </c>
      <c r="I638" s="254">
        <f>(I630/I613)*BL93</f>
        <v>45079.568926352651</v>
      </c>
      <c r="J638" s="254">
        <f>(J631/J613)*BL94</f>
        <v>0</v>
      </c>
      <c r="N638" s="250" t="s">
        <v>565</v>
      </c>
    </row>
    <row r="639" spans="1:14" s="230" customFormat="1" ht="12.6" customHeight="1" x14ac:dyDescent="0.2">
      <c r="A639" s="249">
        <v>8590</v>
      </c>
      <c r="B639" s="253" t="s">
        <v>566</v>
      </c>
      <c r="C639" s="254">
        <f>BM86</f>
        <v>5345751.5200000005</v>
      </c>
      <c r="D639" s="254">
        <f>(D616/D613)*BM91</f>
        <v>95310.087903475709</v>
      </c>
      <c r="E639" s="256">
        <f>(E624/E613)*SUM(C639:D639)</f>
        <v>326565.47862453648</v>
      </c>
      <c r="F639" s="256">
        <f>(F625/F613)*BM65</f>
        <v>925.12064137546349</v>
      </c>
      <c r="G639" s="254">
        <f>(G626/G613)*BM92</f>
        <v>0</v>
      </c>
      <c r="H639" s="256">
        <f>(H629/H613)*BM61</f>
        <v>245305.62795877302</v>
      </c>
      <c r="I639" s="254">
        <f>(I630/I613)*BM93</f>
        <v>42111.948401420348</v>
      </c>
      <c r="J639" s="254">
        <f>(J631/J613)*BM94</f>
        <v>0</v>
      </c>
      <c r="N639" s="250" t="s">
        <v>567</v>
      </c>
    </row>
    <row r="640" spans="1:14" s="230" customFormat="1" ht="12.6" customHeight="1" x14ac:dyDescent="0.2">
      <c r="A640" s="249">
        <v>8660</v>
      </c>
      <c r="B640" s="253" t="s">
        <v>568</v>
      </c>
      <c r="C640" s="254">
        <f>BS86</f>
        <v>202765.82999999996</v>
      </c>
      <c r="D640" s="254">
        <f>(D616/D613)*BS91</f>
        <v>104091.32943541202</v>
      </c>
      <c r="E640" s="256">
        <f>(E624/E613)*SUM(C640:D640)</f>
        <v>18417.169729310059</v>
      </c>
      <c r="F640" s="256">
        <f>(F625/F613)*BS65</f>
        <v>24038.476261827858</v>
      </c>
      <c r="G640" s="254">
        <f>(G626/G613)*BS92</f>
        <v>0</v>
      </c>
      <c r="H640" s="256">
        <f>(H629/H613)*BS61</f>
        <v>22055.471273438023</v>
      </c>
      <c r="I640" s="254">
        <f>(I630/I613)*BS93</f>
        <v>45998.11813645075</v>
      </c>
      <c r="J640" s="254">
        <f>(J631/J613)*BS94</f>
        <v>0</v>
      </c>
      <c r="N640" s="250" t="s">
        <v>569</v>
      </c>
    </row>
    <row r="641" spans="1:14" s="230" customFormat="1" ht="12.6" customHeight="1" x14ac:dyDescent="0.2">
      <c r="A641" s="249">
        <v>8670</v>
      </c>
      <c r="B641" s="253" t="s">
        <v>570</v>
      </c>
      <c r="C641" s="254">
        <f>BT86</f>
        <v>195343.11000000004</v>
      </c>
      <c r="D641" s="254">
        <f>(D616/D613)*BT91</f>
        <v>19294.28243792037</v>
      </c>
      <c r="E641" s="256">
        <f>(E624/E613)*SUM(C641:D641)</f>
        <v>12882.258618501457</v>
      </c>
      <c r="F641" s="256">
        <f>(F625/F613)*BT65</f>
        <v>59.507387724740362</v>
      </c>
      <c r="G641" s="254">
        <f>(G626/G613)*BT92</f>
        <v>0</v>
      </c>
      <c r="H641" s="256">
        <f>(H629/H613)*BT61</f>
        <v>8885.1255674220047</v>
      </c>
      <c r="I641" s="254">
        <f>(I630/I613)*BT93</f>
        <v>8549.573417066882</v>
      </c>
      <c r="J641" s="254">
        <f>(J631/J613)*BT94</f>
        <v>0</v>
      </c>
      <c r="N641" s="250" t="s">
        <v>571</v>
      </c>
    </row>
    <row r="642" spans="1:14" s="230" customFormat="1" ht="12.6" customHeight="1" x14ac:dyDescent="0.2">
      <c r="A642" s="249">
        <v>8680</v>
      </c>
      <c r="B642" s="253" t="s">
        <v>572</v>
      </c>
      <c r="C642" s="254">
        <f>BU86</f>
        <v>231032.7</v>
      </c>
      <c r="D642" s="254">
        <f>(D616/D613)*BU91</f>
        <v>0</v>
      </c>
      <c r="E642" s="256">
        <f>(E624/E613)*SUM(C642:D642)</f>
        <v>13866.283767827057</v>
      </c>
      <c r="F642" s="256">
        <f>(F625/F613)*BU65</f>
        <v>0</v>
      </c>
      <c r="G642" s="254">
        <f>(G626/G613)*BU92</f>
        <v>0</v>
      </c>
      <c r="H642" s="256">
        <f>(H629/H613)*BU61</f>
        <v>0</v>
      </c>
      <c r="I642" s="254">
        <f>(I630/I613)*BU93</f>
        <v>0</v>
      </c>
      <c r="J642" s="254">
        <f>(J631/J613)*BU94</f>
        <v>0</v>
      </c>
      <c r="N642" s="250" t="s">
        <v>573</v>
      </c>
    </row>
    <row r="643" spans="1:14" s="230" customFormat="1" ht="12.6" customHeight="1" x14ac:dyDescent="0.2">
      <c r="A643" s="249">
        <v>8690</v>
      </c>
      <c r="B643" s="253" t="s">
        <v>574</v>
      </c>
      <c r="C643" s="254">
        <f>BV86</f>
        <v>6502105.3199999994</v>
      </c>
      <c r="D643" s="254">
        <f>(D616/D613)*BV91</f>
        <v>350312.4522044381</v>
      </c>
      <c r="E643" s="256">
        <f>(E624/E613)*SUM(C643:D643)</f>
        <v>411273.24973948725</v>
      </c>
      <c r="F643" s="256">
        <f>(F625/F613)*BV65</f>
        <v>1812.5436097291363</v>
      </c>
      <c r="G643" s="254">
        <f>(G626/G613)*BV92</f>
        <v>0</v>
      </c>
      <c r="H643" s="256">
        <f>(H629/H613)*BV61</f>
        <v>299243.11228286027</v>
      </c>
      <c r="I643" s="254">
        <f>(I630/I613)*BV93</f>
        <v>154740.21308575597</v>
      </c>
      <c r="J643" s="254">
        <f>(J631/J613)*BV94</f>
        <v>0</v>
      </c>
      <c r="N643" s="250" t="s">
        <v>575</v>
      </c>
    </row>
    <row r="644" spans="1:14" s="230" customFormat="1" ht="12.6" customHeight="1" x14ac:dyDescent="0.2">
      <c r="A644" s="249">
        <v>8700</v>
      </c>
      <c r="B644" s="253" t="s">
        <v>576</v>
      </c>
      <c r="C644" s="254">
        <f>BW86</f>
        <v>3662539.5999999996</v>
      </c>
      <c r="D644" s="254">
        <f>(D616/D613)*BW91</f>
        <v>70209.184034924605</v>
      </c>
      <c r="E644" s="256">
        <f>(E624/E613)*SUM(C644:D644)</f>
        <v>224034.75297410128</v>
      </c>
      <c r="F644" s="256">
        <f>(F625/F613)*BW65</f>
        <v>472.45406665155053</v>
      </c>
      <c r="G644" s="254">
        <f>(G626/G613)*BW92</f>
        <v>0</v>
      </c>
      <c r="H644" s="256">
        <f>(H629/H613)*BW61</f>
        <v>43772.150149327215</v>
      </c>
      <c r="I644" s="254">
        <f>(I630/I613)*BW93</f>
        <v>31018.700248697201</v>
      </c>
      <c r="J644" s="254">
        <f>(J631/J613)*BW94</f>
        <v>0</v>
      </c>
      <c r="N644" s="250" t="s">
        <v>577</v>
      </c>
    </row>
    <row r="645" spans="1:14" s="230" customFormat="1" ht="12.6" customHeight="1" x14ac:dyDescent="0.2">
      <c r="A645" s="249">
        <v>8710</v>
      </c>
      <c r="B645" s="253" t="s">
        <v>578</v>
      </c>
      <c r="C645" s="254">
        <f>BX86</f>
        <v>7372396.1600000011</v>
      </c>
      <c r="D645" s="254">
        <f>(D616/D613)*BX91</f>
        <v>72307.717394064835</v>
      </c>
      <c r="E645" s="256">
        <f>(E624/E613)*SUM(C645:D645)</f>
        <v>446821.49553456501</v>
      </c>
      <c r="F645" s="256">
        <f>(F625/F613)*BX65</f>
        <v>3059.9306463301418</v>
      </c>
      <c r="G645" s="254">
        <f>(G626/G613)*BX92</f>
        <v>0</v>
      </c>
      <c r="H645" s="256">
        <f>(H629/H613)*BX61</f>
        <v>296934.89042660757</v>
      </c>
      <c r="I645" s="254">
        <f>(I630/I613)*BX93</f>
        <v>31937.249458795297</v>
      </c>
      <c r="J645" s="254">
        <f>(J631/J613)*BX94</f>
        <v>0</v>
      </c>
      <c r="K645" s="256">
        <f>SUM(C632:J645)</f>
        <v>97240852.697541416</v>
      </c>
      <c r="L645" s="256"/>
      <c r="N645" s="250" t="s">
        <v>579</v>
      </c>
    </row>
    <row r="646" spans="1:14" s="230" customFormat="1" ht="12.6" customHeight="1" x14ac:dyDescent="0.2">
      <c r="A646" s="249">
        <v>8720</v>
      </c>
      <c r="B646" s="253" t="s">
        <v>580</v>
      </c>
      <c r="C646" s="254">
        <f>BY86</f>
        <v>2070945.9000000001</v>
      </c>
      <c r="D646" s="254">
        <f>(D616/D613)*BY91</f>
        <v>26873.4514631647</v>
      </c>
      <c r="E646" s="256">
        <f>(E624/E613)*SUM(C646:D646)</f>
        <v>125908.40353347022</v>
      </c>
      <c r="F646" s="256">
        <f>(F625/F613)*BY65</f>
        <v>413.14020648783179</v>
      </c>
      <c r="G646" s="254">
        <f>(G626/G613)*BY92</f>
        <v>0</v>
      </c>
      <c r="H646" s="256">
        <f>(H629/H613)*BY61</f>
        <v>71386.585692992769</v>
      </c>
      <c r="I646" s="254">
        <f>(I630/I613)*BY93</f>
        <v>11870.482099729226</v>
      </c>
      <c r="J646" s="254">
        <f>(J631/J613)*BY94</f>
        <v>0</v>
      </c>
      <c r="K646" s="256">
        <v>0</v>
      </c>
      <c r="L646" s="256"/>
      <c r="N646" s="250" t="s">
        <v>581</v>
      </c>
    </row>
    <row r="647" spans="1:14" s="230" customFormat="1" ht="12.6" customHeight="1" x14ac:dyDescent="0.2">
      <c r="A647" s="249">
        <v>8730</v>
      </c>
      <c r="B647" s="253" t="s">
        <v>582</v>
      </c>
      <c r="C647" s="254">
        <f>BZ86</f>
        <v>4963605.21</v>
      </c>
      <c r="D647" s="254">
        <f>(D616/D613)*BZ91</f>
        <v>0</v>
      </c>
      <c r="E647" s="256">
        <f>(E624/E613)*SUM(C647:D647)</f>
        <v>297909.16330599441</v>
      </c>
      <c r="F647" s="256">
        <f>(F625/F613)*BZ65</f>
        <v>160.06505636413746</v>
      </c>
      <c r="G647" s="254">
        <f>(G626/G613)*BZ92</f>
        <v>0</v>
      </c>
      <c r="H647" s="256">
        <f>(H629/H613)*BZ61</f>
        <v>249798.38470279818</v>
      </c>
      <c r="I647" s="254">
        <f>(I630/I613)*BZ93</f>
        <v>0</v>
      </c>
      <c r="J647" s="254">
        <f>(J631/J613)*BZ94</f>
        <v>0</v>
      </c>
      <c r="K647" s="256">
        <v>0</v>
      </c>
      <c r="L647" s="256"/>
      <c r="N647" s="250" t="s">
        <v>583</v>
      </c>
    </row>
    <row r="648" spans="1:14" s="230" customFormat="1" ht="12.6" customHeight="1" x14ac:dyDescent="0.2">
      <c r="A648" s="249">
        <v>8740</v>
      </c>
      <c r="B648" s="253" t="s">
        <v>584</v>
      </c>
      <c r="C648" s="254">
        <f>CA86</f>
        <v>2915201.06</v>
      </c>
      <c r="D648" s="254">
        <f>(D616/D613)*CA91</f>
        <v>113504.16838611868</v>
      </c>
      <c r="E648" s="256">
        <f>(E624/E613)*SUM(C648:D648)</f>
        <v>181778.96958267543</v>
      </c>
      <c r="F648" s="256">
        <f>(F625/F613)*CA65</f>
        <v>24896.088506458182</v>
      </c>
      <c r="G648" s="254">
        <f>(G626/G613)*CA92</f>
        <v>0</v>
      </c>
      <c r="H648" s="256">
        <f>(H629/H613)*CA61</f>
        <v>85913.151466506097</v>
      </c>
      <c r="I648" s="254">
        <f>(I630/I613)*CA93</f>
        <v>50096.260766119172</v>
      </c>
      <c r="J648" s="254">
        <f>(J631/J613)*CA94</f>
        <v>0</v>
      </c>
      <c r="K648" s="256">
        <v>0</v>
      </c>
      <c r="L648" s="256">
        <f>SUM(C646:K648)</f>
        <v>11190260.484768877</v>
      </c>
      <c r="N648" s="250" t="s">
        <v>585</v>
      </c>
    </row>
    <row r="649" spans="1:14" s="230" customFormat="1" ht="12.6" customHeight="1" x14ac:dyDescent="0.2">
      <c r="A649" s="249"/>
      <c r="B649" s="249"/>
      <c r="C649" s="230">
        <f>SUM(C615:C648)</f>
        <v>193184763.26000002</v>
      </c>
      <c r="L649" s="252"/>
    </row>
    <row r="667" spans="1:14" s="230" customFormat="1" ht="12.6" customHeight="1" x14ac:dyDescent="0.2">
      <c r="C667" s="247" t="s">
        <v>586</v>
      </c>
      <c r="M667" s="247" t="s">
        <v>587</v>
      </c>
    </row>
    <row r="668" spans="1:14" s="230" customFormat="1" ht="12.6" customHeight="1" x14ac:dyDescent="0.2">
      <c r="C668" s="247" t="s">
        <v>516</v>
      </c>
      <c r="D668" s="247" t="s">
        <v>517</v>
      </c>
      <c r="E668" s="248" t="s">
        <v>518</v>
      </c>
      <c r="F668" s="247" t="s">
        <v>519</v>
      </c>
      <c r="G668" s="247" t="s">
        <v>520</v>
      </c>
      <c r="H668" s="247" t="s">
        <v>521</v>
      </c>
      <c r="I668" s="247" t="s">
        <v>522</v>
      </c>
      <c r="J668" s="247" t="s">
        <v>523</v>
      </c>
      <c r="K668" s="247" t="s">
        <v>524</v>
      </c>
      <c r="L668" s="248" t="s">
        <v>525</v>
      </c>
      <c r="M668" s="247" t="s">
        <v>588</v>
      </c>
    </row>
    <row r="669" spans="1:14" s="230" customFormat="1" ht="12.6" customHeight="1" x14ac:dyDescent="0.2">
      <c r="A669" s="249">
        <v>6010</v>
      </c>
      <c r="B669" s="248" t="s">
        <v>315</v>
      </c>
      <c r="C669" s="254">
        <f>C86</f>
        <v>23799689.959999993</v>
      </c>
      <c r="D669" s="254">
        <f>(D616/D613)*C91</f>
        <v>651625.16917846596</v>
      </c>
      <c r="E669" s="256">
        <f>(E624/E613)*SUM(C669:D669)</f>
        <v>1467536.3014748623</v>
      </c>
      <c r="F669" s="256">
        <f>(F625/F613)*C65</f>
        <v>171252.53126863795</v>
      </c>
      <c r="G669" s="254">
        <f>(G626/G613)*C92</f>
        <v>0</v>
      </c>
      <c r="H669" s="256">
        <f>(H629/H613)*C61</f>
        <v>726432.66302297881</v>
      </c>
      <c r="I669" s="254">
        <f>(I630/I613)*C93</f>
        <v>287788.53328688769</v>
      </c>
      <c r="J669" s="254">
        <f>(J631/J613)*C94</f>
        <v>107136.29160618313</v>
      </c>
      <c r="K669" s="254">
        <f>(K645/K613)*C90</f>
        <v>3788549.5915253079</v>
      </c>
      <c r="L669" s="254">
        <f>(L648/L613)*C95</f>
        <v>1107117.1523426643</v>
      </c>
      <c r="M669" s="230">
        <f t="shared" ref="M669:M714" si="18">ROUND(SUM(D669:L669),0)</f>
        <v>8307438</v>
      </c>
      <c r="N669" s="248" t="s">
        <v>589</v>
      </c>
    </row>
    <row r="670" spans="1:14" s="230" customFormat="1" ht="12.6" customHeight="1" x14ac:dyDescent="0.2">
      <c r="A670" s="249">
        <v>6030</v>
      </c>
      <c r="B670" s="248" t="s">
        <v>316</v>
      </c>
      <c r="C670" s="254">
        <f>D86</f>
        <v>11995408.549999999</v>
      </c>
      <c r="D670" s="254">
        <f>(D616/D613)*D91</f>
        <v>496476.31937406928</v>
      </c>
      <c r="E670" s="256">
        <f>(E624/E613)*SUM(C670:D670)</f>
        <v>749746.76915331057</v>
      </c>
      <c r="F670" s="256">
        <f>(F625/F613)*D65</f>
        <v>66440.977251466786</v>
      </c>
      <c r="G670" s="254">
        <f>(G626/G613)*D92</f>
        <v>0</v>
      </c>
      <c r="H670" s="256">
        <f>(H629/H613)*D61</f>
        <v>393974.56279919262</v>
      </c>
      <c r="I670" s="254">
        <f>(I630/I613)*D93</f>
        <v>219250.63068726062</v>
      </c>
      <c r="J670" s="254">
        <f>(J631/J613)*D94</f>
        <v>124867.69399791388</v>
      </c>
      <c r="K670" s="254">
        <f>(K645/K613)*D90</f>
        <v>2262556.1807736126</v>
      </c>
      <c r="L670" s="254">
        <f>(L648/L613)*D95</f>
        <v>513004.68222010136</v>
      </c>
      <c r="M670" s="230">
        <f t="shared" si="18"/>
        <v>4826318</v>
      </c>
      <c r="N670" s="248" t="s">
        <v>590</v>
      </c>
    </row>
    <row r="671" spans="1:14" s="230" customFormat="1" ht="12.6" customHeight="1" x14ac:dyDescent="0.2">
      <c r="A671" s="249">
        <v>6070</v>
      </c>
      <c r="B671" s="248" t="s">
        <v>591</v>
      </c>
      <c r="C671" s="254">
        <f>E86</f>
        <v>41762422.419999979</v>
      </c>
      <c r="D671" s="254">
        <f>(D616/D613)*E91</f>
        <v>2291720.672842829</v>
      </c>
      <c r="E671" s="256">
        <f>(E624/E613)*SUM(C671:D671)</f>
        <v>2644072.6757459734</v>
      </c>
      <c r="F671" s="256">
        <f>(F625/F613)*E65</f>
        <v>197871.27030018868</v>
      </c>
      <c r="G671" s="254">
        <f>(G626/G613)*E92</f>
        <v>0</v>
      </c>
      <c r="H671" s="256">
        <f>(H629/H613)*E61</f>
        <v>1671051.1316584079</v>
      </c>
      <c r="I671" s="254">
        <f>(I630/I613)*E93</f>
        <v>1012029.2566334625</v>
      </c>
      <c r="J671" s="254">
        <f>(J631/J613)*E94</f>
        <v>320793.45435050683</v>
      </c>
      <c r="K671" s="254">
        <f>(K645/K613)*E90</f>
        <v>6714428.745794069</v>
      </c>
      <c r="L671" s="254">
        <f>(L648/L613)*E95</f>
        <v>2086265.3430496014</v>
      </c>
      <c r="M671" s="230">
        <f t="shared" si="18"/>
        <v>16938233</v>
      </c>
      <c r="N671" s="248" t="s">
        <v>592</v>
      </c>
    </row>
    <row r="672" spans="1:14" s="230" customFormat="1" ht="12.6" customHeight="1" x14ac:dyDescent="0.2">
      <c r="A672" s="249">
        <v>6100</v>
      </c>
      <c r="B672" s="248" t="s">
        <v>593</v>
      </c>
      <c r="C672" s="254">
        <f>F86</f>
        <v>1412464.8700000003</v>
      </c>
      <c r="D672" s="254">
        <f>(D616/D613)*F91</f>
        <v>0</v>
      </c>
      <c r="E672" s="256">
        <f>(E624/E613)*SUM(C672:D672)</f>
        <v>84774.314196678475</v>
      </c>
      <c r="F672" s="256">
        <f>(F625/F613)*F65</f>
        <v>617.61002149099932</v>
      </c>
      <c r="G672" s="254">
        <f>(G626/G613)*F92</f>
        <v>0</v>
      </c>
      <c r="H672" s="256">
        <f>(H629/H613)*F61</f>
        <v>42599.278773999969</v>
      </c>
      <c r="I672" s="254">
        <f>(I630/I613)*F93</f>
        <v>0</v>
      </c>
      <c r="J672" s="254">
        <f>(J631/J613)*F94</f>
        <v>0</v>
      </c>
      <c r="K672" s="254">
        <f>(K645/K613)*F90</f>
        <v>0</v>
      </c>
      <c r="L672" s="254">
        <f>(L648/L613)*F95</f>
        <v>4715.3153301818429</v>
      </c>
      <c r="M672" s="230">
        <f t="shared" si="18"/>
        <v>132707</v>
      </c>
      <c r="N672" s="248" t="s">
        <v>594</v>
      </c>
    </row>
    <row r="673" spans="1:14" s="230" customFormat="1" ht="12.6" customHeight="1" x14ac:dyDescent="0.2">
      <c r="A673" s="249">
        <v>6120</v>
      </c>
      <c r="B673" s="248" t="s">
        <v>595</v>
      </c>
      <c r="C673" s="254">
        <f>G86</f>
        <v>2750175.3599999994</v>
      </c>
      <c r="D673" s="254">
        <f>(D616/D613)*G91</f>
        <v>185302.53302311065</v>
      </c>
      <c r="E673" s="256">
        <f>(E624/E613)*SUM(C673:D673)</f>
        <v>176183.58552205606</v>
      </c>
      <c r="F673" s="256">
        <f>(F625/F613)*G65</f>
        <v>7033.7694894012966</v>
      </c>
      <c r="G673" s="254">
        <f>(G626/G613)*G92</f>
        <v>0</v>
      </c>
      <c r="H673" s="256">
        <f>(H629/H613)*G61</f>
        <v>100568.84514221761</v>
      </c>
      <c r="I673" s="254">
        <f>(I630/I613)*G93</f>
        <v>81821.537330276449</v>
      </c>
      <c r="J673" s="254">
        <f>(J631/J613)*G94</f>
        <v>18973.385442020728</v>
      </c>
      <c r="K673" s="254">
        <f>(K645/K613)*G90</f>
        <v>640415.67907946242</v>
      </c>
      <c r="L673" s="254">
        <f>(L648/L613)*G95</f>
        <v>125578.24660732524</v>
      </c>
      <c r="M673" s="230">
        <f t="shared" si="18"/>
        <v>1335878</v>
      </c>
      <c r="N673" s="248" t="s">
        <v>596</v>
      </c>
    </row>
    <row r="674" spans="1:14" s="230" customFormat="1" ht="12.6" customHeight="1" x14ac:dyDescent="0.2">
      <c r="A674" s="249">
        <v>6140</v>
      </c>
      <c r="B674" s="248" t="s">
        <v>597</v>
      </c>
      <c r="C674" s="254">
        <f>H86</f>
        <v>0</v>
      </c>
      <c r="D674" s="254">
        <f>(D616/D613)*H91</f>
        <v>0</v>
      </c>
      <c r="E674" s="256">
        <f>(E624/E613)*SUM(C674:D674)</f>
        <v>0</v>
      </c>
      <c r="F674" s="256">
        <f>(F625/F613)*H65</f>
        <v>0</v>
      </c>
      <c r="G674" s="254">
        <f>(G626/G613)*H92</f>
        <v>0</v>
      </c>
      <c r="H674" s="256">
        <f>(H629/H613)*H61</f>
        <v>0</v>
      </c>
      <c r="I674" s="254">
        <f>(I630/I613)*H93</f>
        <v>0</v>
      </c>
      <c r="J674" s="254">
        <f>(J631/J613)*H94</f>
        <v>0</v>
      </c>
      <c r="K674" s="254">
        <f>(K645/K613)*H90</f>
        <v>0</v>
      </c>
      <c r="L674" s="254">
        <f>(L648/L613)*H95</f>
        <v>0</v>
      </c>
      <c r="M674" s="230">
        <f t="shared" si="18"/>
        <v>0</v>
      </c>
      <c r="N674" s="248" t="s">
        <v>598</v>
      </c>
    </row>
    <row r="675" spans="1:14" s="230" customFormat="1" ht="12.6" customHeight="1" x14ac:dyDescent="0.2">
      <c r="A675" s="249">
        <v>6150</v>
      </c>
      <c r="B675" s="248" t="s">
        <v>599</v>
      </c>
      <c r="C675" s="254">
        <f>I86</f>
        <v>0</v>
      </c>
      <c r="D675" s="254">
        <f>(D616/D613)*I91</f>
        <v>0</v>
      </c>
      <c r="E675" s="256">
        <f>(E624/E613)*SUM(C675:D675)</f>
        <v>0</v>
      </c>
      <c r="F675" s="256">
        <f>(F625/F613)*I65</f>
        <v>0</v>
      </c>
      <c r="G675" s="254">
        <f>(G626/G613)*I92</f>
        <v>0</v>
      </c>
      <c r="H675" s="256">
        <f>(H629/H613)*I61</f>
        <v>0</v>
      </c>
      <c r="I675" s="254">
        <f>(I630/I613)*I93</f>
        <v>0</v>
      </c>
      <c r="J675" s="254">
        <f>(J631/J613)*I94</f>
        <v>0</v>
      </c>
      <c r="K675" s="254">
        <f>(K645/K613)*I90</f>
        <v>0</v>
      </c>
      <c r="L675" s="254">
        <f>(L648/L613)*I95</f>
        <v>0</v>
      </c>
      <c r="M675" s="230">
        <f t="shared" si="18"/>
        <v>0</v>
      </c>
      <c r="N675" s="248" t="s">
        <v>600</v>
      </c>
    </row>
    <row r="676" spans="1:14" s="230" customFormat="1" ht="12.6" customHeight="1" x14ac:dyDescent="0.2">
      <c r="A676" s="249">
        <v>6170</v>
      </c>
      <c r="B676" s="248" t="s">
        <v>110</v>
      </c>
      <c r="C676" s="254">
        <f>J86</f>
        <v>0</v>
      </c>
      <c r="D676" s="254">
        <f>(D616/D613)*J91</f>
        <v>0</v>
      </c>
      <c r="E676" s="256">
        <f>(E624/E613)*SUM(C676:D676)</f>
        <v>0</v>
      </c>
      <c r="F676" s="256">
        <f>(F625/F613)*J65</f>
        <v>0</v>
      </c>
      <c r="G676" s="254">
        <f>(G626/G613)*J92</f>
        <v>0</v>
      </c>
      <c r="H676" s="256">
        <f>(H629/H613)*J61</f>
        <v>0</v>
      </c>
      <c r="I676" s="254">
        <f>(I630/I613)*J93</f>
        <v>0</v>
      </c>
      <c r="J676" s="254">
        <f>(J631/J613)*J94</f>
        <v>0</v>
      </c>
      <c r="K676" s="254">
        <f>(K645/K613)*J90</f>
        <v>0</v>
      </c>
      <c r="L676" s="254">
        <f>(L648/L613)*J95</f>
        <v>0</v>
      </c>
      <c r="M676" s="230">
        <f t="shared" si="18"/>
        <v>0</v>
      </c>
      <c r="N676" s="248" t="s">
        <v>601</v>
      </c>
    </row>
    <row r="677" spans="1:14" s="230" customFormat="1" ht="12.6" customHeight="1" x14ac:dyDescent="0.2">
      <c r="A677" s="249">
        <v>6200</v>
      </c>
      <c r="B677" s="248" t="s">
        <v>321</v>
      </c>
      <c r="C677" s="254">
        <f>K86</f>
        <v>0</v>
      </c>
      <c r="D677" s="254">
        <f>(D616/D613)*K91</f>
        <v>0</v>
      </c>
      <c r="E677" s="256">
        <f>(E624/E613)*SUM(C677:D677)</f>
        <v>0</v>
      </c>
      <c r="F677" s="256">
        <f>(F625/F613)*K65</f>
        <v>0</v>
      </c>
      <c r="G677" s="254">
        <f>(G626/G613)*K92</f>
        <v>0</v>
      </c>
      <c r="H677" s="256">
        <f>(H629/H613)*K61</f>
        <v>0</v>
      </c>
      <c r="I677" s="254">
        <f>(I630/I613)*K93</f>
        <v>0</v>
      </c>
      <c r="J677" s="254">
        <f>(J631/J613)*K94</f>
        <v>0</v>
      </c>
      <c r="K677" s="254">
        <f>(K645/K613)*K90</f>
        <v>0</v>
      </c>
      <c r="L677" s="254">
        <f>(L648/L613)*K95</f>
        <v>0</v>
      </c>
      <c r="M677" s="230">
        <f t="shared" si="18"/>
        <v>0</v>
      </c>
      <c r="N677" s="248" t="s">
        <v>602</v>
      </c>
    </row>
    <row r="678" spans="1:14" s="230" customFormat="1" ht="12.6" customHeight="1" x14ac:dyDescent="0.2">
      <c r="A678" s="249">
        <v>6210</v>
      </c>
      <c r="B678" s="248" t="s">
        <v>322</v>
      </c>
      <c r="C678" s="254">
        <f>L86</f>
        <v>0</v>
      </c>
      <c r="D678" s="254">
        <f>(D616/D613)*L91</f>
        <v>0</v>
      </c>
      <c r="E678" s="256">
        <f>(E624/E613)*SUM(C678:D678)</f>
        <v>0</v>
      </c>
      <c r="F678" s="256">
        <f>(F625/F613)*L65</f>
        <v>0</v>
      </c>
      <c r="G678" s="254">
        <f>(G626/G613)*L92</f>
        <v>0</v>
      </c>
      <c r="H678" s="256">
        <f>(H629/H613)*L61</f>
        <v>0</v>
      </c>
      <c r="I678" s="254">
        <f>(I630/I613)*L93</f>
        <v>0</v>
      </c>
      <c r="J678" s="254">
        <f>(J631/J613)*L94</f>
        <v>0</v>
      </c>
      <c r="K678" s="254">
        <f>(K645/K613)*L90</f>
        <v>0</v>
      </c>
      <c r="L678" s="254">
        <f>(L648/L613)*L95</f>
        <v>0</v>
      </c>
      <c r="M678" s="230">
        <f t="shared" si="18"/>
        <v>0</v>
      </c>
      <c r="N678" s="248" t="s">
        <v>603</v>
      </c>
    </row>
    <row r="679" spans="1:14" s="230" customFormat="1" ht="12.6" customHeight="1" x14ac:dyDescent="0.2">
      <c r="A679" s="249">
        <v>6330</v>
      </c>
      <c r="B679" s="248" t="s">
        <v>604</v>
      </c>
      <c r="C679" s="254">
        <f>M86</f>
        <v>6123052.6299999999</v>
      </c>
      <c r="D679" s="254">
        <f>(D616/D613)*M91</f>
        <v>418076.74300541292</v>
      </c>
      <c r="E679" s="256">
        <f>(E624/E613)*SUM(C679:D679)</f>
        <v>392590.12273224408</v>
      </c>
      <c r="F679" s="256">
        <f>(F625/F613)*M65</f>
        <v>13272.497840821972</v>
      </c>
      <c r="G679" s="254">
        <f>(G626/G613)*M92</f>
        <v>0</v>
      </c>
      <c r="H679" s="256">
        <f>(H629/H613)*M61</f>
        <v>265057.96815057541</v>
      </c>
      <c r="I679" s="254">
        <f>(I630/I613)*M93</f>
        <v>184628.39122971706</v>
      </c>
      <c r="J679" s="254">
        <f>(J631/J613)*M94</f>
        <v>16484.621216487045</v>
      </c>
      <c r="K679" s="254">
        <f>(K645/K613)*M90</f>
        <v>276387.39597146405</v>
      </c>
      <c r="L679" s="254">
        <f>(L648/L613)*M95</f>
        <v>199217.89303355728</v>
      </c>
      <c r="M679" s="230">
        <f t="shared" si="18"/>
        <v>1765716</v>
      </c>
      <c r="N679" s="248" t="s">
        <v>605</v>
      </c>
    </row>
    <row r="680" spans="1:14" s="230" customFormat="1" ht="12.6" customHeight="1" x14ac:dyDescent="0.2">
      <c r="A680" s="249">
        <v>6400</v>
      </c>
      <c r="B680" s="248" t="s">
        <v>606</v>
      </c>
      <c r="C680" s="254">
        <f>N86</f>
        <v>20356249.569999993</v>
      </c>
      <c r="D680" s="254">
        <f>(D616/D613)*N91</f>
        <v>102991.12748013462</v>
      </c>
      <c r="E680" s="256">
        <f>(E624/E613)*SUM(C680:D680)</f>
        <v>1227937.1586166609</v>
      </c>
      <c r="F680" s="256">
        <f>(F625/F613)*N65</f>
        <v>967.42744906312976</v>
      </c>
      <c r="G680" s="254">
        <f>(G626/G613)*N92</f>
        <v>0</v>
      </c>
      <c r="H680" s="256">
        <f>(H629/H613)*N61</f>
        <v>285272.57222588378</v>
      </c>
      <c r="I680" s="254">
        <f>(I630/I613)*N93</f>
        <v>45503.514715628698</v>
      </c>
      <c r="J680" s="254">
        <f>(J631/J613)*N94</f>
        <v>0</v>
      </c>
      <c r="K680" s="254">
        <f>(K645/K613)*N90</f>
        <v>971029.44638473704</v>
      </c>
      <c r="L680" s="254">
        <f>(L648/L613)*N95</f>
        <v>0</v>
      </c>
      <c r="M680" s="230">
        <f t="shared" si="18"/>
        <v>2633701</v>
      </c>
      <c r="N680" s="248" t="s">
        <v>607</v>
      </c>
    </row>
    <row r="681" spans="1:14" s="230" customFormat="1" ht="12.6" customHeight="1" x14ac:dyDescent="0.2">
      <c r="A681" s="249">
        <v>7010</v>
      </c>
      <c r="B681" s="248" t="s">
        <v>608</v>
      </c>
      <c r="C681" s="254">
        <f>O86</f>
        <v>29547383.460000001</v>
      </c>
      <c r="D681" s="254">
        <f>(D616/D613)*O91</f>
        <v>1108290.4770597196</v>
      </c>
      <c r="E681" s="256">
        <f>(E624/E613)*SUM(C681:D681)</f>
        <v>1839913.8905672233</v>
      </c>
      <c r="F681" s="256">
        <f>(F625/F613)*O65</f>
        <v>177946.66175827794</v>
      </c>
      <c r="G681" s="254">
        <f>(G626/G613)*O92</f>
        <v>0</v>
      </c>
      <c r="H681" s="256">
        <f>(H629/H613)*O61</f>
        <v>991593.200854733</v>
      </c>
      <c r="I681" s="254">
        <f>(I630/I613)*O93</f>
        <v>489445.41371919255</v>
      </c>
      <c r="J681" s="254">
        <f>(J631/J613)*O94</f>
        <v>218941.99712644226</v>
      </c>
      <c r="K681" s="254">
        <f>(K645/K613)*O90</f>
        <v>5125215.1962815048</v>
      </c>
      <c r="L681" s="254">
        <f>(L648/L613)*O95</f>
        <v>1490495.3365624114</v>
      </c>
      <c r="M681" s="230">
        <f t="shared" si="18"/>
        <v>11441842</v>
      </c>
      <c r="N681" s="248" t="s">
        <v>609</v>
      </c>
    </row>
    <row r="682" spans="1:14" s="230" customFormat="1" ht="12.6" customHeight="1" x14ac:dyDescent="0.2">
      <c r="A682" s="249">
        <v>7020</v>
      </c>
      <c r="B682" s="248" t="s">
        <v>610</v>
      </c>
      <c r="C682" s="254">
        <f>P86</f>
        <v>56825268.649999999</v>
      </c>
      <c r="D682" s="254">
        <f>(D616/D613)*P91</f>
        <v>1466243.2206202508</v>
      </c>
      <c r="E682" s="256">
        <f>(E624/E613)*SUM(C682:D682)</f>
        <v>3498581.1309554004</v>
      </c>
      <c r="F682" s="256">
        <f>(F625/F613)*P65</f>
        <v>3549791.1773613053</v>
      </c>
      <c r="G682" s="254">
        <f>(G626/G613)*P92</f>
        <v>0</v>
      </c>
      <c r="H682" s="256">
        <f>(H629/H613)*P61</f>
        <v>630277.33092677477</v>
      </c>
      <c r="I682" s="254">
        <f>(I630/I613)*P93</f>
        <v>647718.50838224893</v>
      </c>
      <c r="J682" s="254">
        <f>(J631/J613)*P94</f>
        <v>114418.5253556559</v>
      </c>
      <c r="K682" s="254">
        <f>(K645/K613)*P90</f>
        <v>12945825.74682026</v>
      </c>
      <c r="L682" s="254">
        <f>(L648/L613)*P95</f>
        <v>585719.86238271138</v>
      </c>
      <c r="M682" s="230">
        <f t="shared" si="18"/>
        <v>23438576</v>
      </c>
      <c r="N682" s="248" t="s">
        <v>611</v>
      </c>
    </row>
    <row r="683" spans="1:14" s="230" customFormat="1" ht="12.6" customHeight="1" x14ac:dyDescent="0.2">
      <c r="A683" s="249">
        <v>7030</v>
      </c>
      <c r="B683" s="248" t="s">
        <v>612</v>
      </c>
      <c r="C683" s="254">
        <f>Q86</f>
        <v>8410713.4199999999</v>
      </c>
      <c r="D683" s="254">
        <f>(D616/D613)*Q91</f>
        <v>104295.07053824117</v>
      </c>
      <c r="E683" s="256">
        <f>(E624/E613)*SUM(C683:D683)</f>
        <v>511059.79376625037</v>
      </c>
      <c r="F683" s="256">
        <f>(F625/F613)*Q65</f>
        <v>42295.929942871546</v>
      </c>
      <c r="G683" s="254">
        <f>(G626/G613)*Q92</f>
        <v>0</v>
      </c>
      <c r="H683" s="256">
        <f>(H629/H613)*Q61</f>
        <v>288349.52798466821</v>
      </c>
      <c r="I683" s="254">
        <f>(I630/I613)*Q93</f>
        <v>46068.775767996754</v>
      </c>
      <c r="J683" s="254">
        <f>(J631/J613)*Q94</f>
        <v>0</v>
      </c>
      <c r="K683" s="254">
        <f>(K645/K613)*Q90</f>
        <v>1239073.5451396969</v>
      </c>
      <c r="L683" s="254">
        <f>(L648/L613)*Q95</f>
        <v>459452.62215879548</v>
      </c>
      <c r="M683" s="230">
        <f t="shared" si="18"/>
        <v>2690595</v>
      </c>
      <c r="N683" s="248" t="s">
        <v>613</v>
      </c>
    </row>
    <row r="684" spans="1:14" s="230" customFormat="1" ht="12.6" customHeight="1" x14ac:dyDescent="0.2">
      <c r="A684" s="249">
        <v>7040</v>
      </c>
      <c r="B684" s="248" t="s">
        <v>118</v>
      </c>
      <c r="C684" s="254">
        <f>R86</f>
        <v>1352621.2000000002</v>
      </c>
      <c r="D684" s="254">
        <f>(D616/D613)*R91</f>
        <v>13263.545794177573</v>
      </c>
      <c r="E684" s="256">
        <f>(E624/E613)*SUM(C684:D684)</f>
        <v>81978.635402384141</v>
      </c>
      <c r="F684" s="256">
        <f>(F625/F613)*R65</f>
        <v>47558.048102695968</v>
      </c>
      <c r="G684" s="254">
        <f>(G626/G613)*R92</f>
        <v>0</v>
      </c>
      <c r="H684" s="256">
        <f>(H629/H613)*R61</f>
        <v>39850.718381006256</v>
      </c>
      <c r="I684" s="254">
        <f>(I630/I613)*R93</f>
        <v>5864.5834183186053</v>
      </c>
      <c r="J684" s="254">
        <f>(J631/J613)*R94</f>
        <v>0</v>
      </c>
      <c r="K684" s="254">
        <f>(K645/K613)*R90</f>
        <v>2003871.9407904951</v>
      </c>
      <c r="L684" s="254">
        <f>(L648/L613)*R95</f>
        <v>0</v>
      </c>
      <c r="M684" s="230">
        <f t="shared" si="18"/>
        <v>2192387</v>
      </c>
      <c r="N684" s="248" t="s">
        <v>614</v>
      </c>
    </row>
    <row r="685" spans="1:14" s="230" customFormat="1" ht="12.6" customHeight="1" x14ac:dyDescent="0.2">
      <c r="A685" s="249">
        <v>7050</v>
      </c>
      <c r="B685" s="248" t="s">
        <v>615</v>
      </c>
      <c r="C685" s="254">
        <f>S86</f>
        <v>2895057.5500000003</v>
      </c>
      <c r="D685" s="254">
        <f>(D616/D613)*S91</f>
        <v>209242.1126055356</v>
      </c>
      <c r="E685" s="256">
        <f>(E624/E613)*SUM(C685:D685)</f>
        <v>186316.0497282772</v>
      </c>
      <c r="F685" s="256">
        <f>(F625/F613)*S65</f>
        <v>56961.339131940942</v>
      </c>
      <c r="G685" s="254">
        <f>(G626/G613)*S92</f>
        <v>0</v>
      </c>
      <c r="H685" s="256">
        <f>(H629/H613)*S61</f>
        <v>111903.84538976809</v>
      </c>
      <c r="I685" s="254">
        <f>(I630/I613)*S93</f>
        <v>92420.182062177541</v>
      </c>
      <c r="J685" s="254">
        <f>(J631/J613)*S94</f>
        <v>10552.682093861937</v>
      </c>
      <c r="K685" s="254">
        <f>(K645/K613)*S90</f>
        <v>0</v>
      </c>
      <c r="L685" s="254">
        <f>(L648/L613)*S95</f>
        <v>103.13463101885047</v>
      </c>
      <c r="M685" s="230">
        <f t="shared" si="18"/>
        <v>667499</v>
      </c>
      <c r="N685" s="248" t="s">
        <v>616</v>
      </c>
    </row>
    <row r="686" spans="1:14" s="230" customFormat="1" ht="12.6" customHeight="1" x14ac:dyDescent="0.2">
      <c r="A686" s="249">
        <v>7060</v>
      </c>
      <c r="B686" s="248" t="s">
        <v>617</v>
      </c>
      <c r="C686" s="254">
        <f>T86</f>
        <v>0</v>
      </c>
      <c r="D686" s="254">
        <f>(D616/D613)*T91</f>
        <v>0</v>
      </c>
      <c r="E686" s="256">
        <f>(E624/E613)*SUM(C686:D686)</f>
        <v>0</v>
      </c>
      <c r="F686" s="256">
        <f>(F625/F613)*T65</f>
        <v>0</v>
      </c>
      <c r="G686" s="254">
        <f>(G626/G613)*T92</f>
        <v>0</v>
      </c>
      <c r="H686" s="256">
        <f>(H629/H613)*T61</f>
        <v>0</v>
      </c>
      <c r="I686" s="254">
        <f>(I630/I613)*T93</f>
        <v>0</v>
      </c>
      <c r="J686" s="254">
        <f>(J631/J613)*T94</f>
        <v>0</v>
      </c>
      <c r="K686" s="254">
        <f>(K645/K613)*T90</f>
        <v>0</v>
      </c>
      <c r="L686" s="254">
        <f>(L648/L613)*T95</f>
        <v>0</v>
      </c>
      <c r="M686" s="230">
        <f t="shared" si="18"/>
        <v>0</v>
      </c>
      <c r="N686" s="248" t="s">
        <v>618</v>
      </c>
    </row>
    <row r="687" spans="1:14" s="230" customFormat="1" ht="12.6" customHeight="1" x14ac:dyDescent="0.2">
      <c r="A687" s="249">
        <v>7070</v>
      </c>
      <c r="B687" s="248" t="s">
        <v>121</v>
      </c>
      <c r="C687" s="254">
        <f>U86</f>
        <v>21083474.649999999</v>
      </c>
      <c r="D687" s="254">
        <f>(D616/D613)*U91</f>
        <v>315187.48607669288</v>
      </c>
      <c r="E687" s="256">
        <f>(E624/E613)*SUM(C687:D687)</f>
        <v>1284320.0180350908</v>
      </c>
      <c r="F687" s="256">
        <f>(F625/F613)*U65</f>
        <v>646199.72934641107</v>
      </c>
      <c r="G687" s="254">
        <f>(G626/G613)*U92</f>
        <v>0</v>
      </c>
      <c r="H687" s="256">
        <f>(H629/H613)*U61</f>
        <v>425684.97095520177</v>
      </c>
      <c r="I687" s="254">
        <f>(I630/I613)*U93</f>
        <v>139195.53414563436</v>
      </c>
      <c r="J687" s="254">
        <f>(J631/J613)*U94</f>
        <v>1144.6827840350322</v>
      </c>
      <c r="K687" s="254">
        <f>(K645/K613)*U90</f>
        <v>6627969.8695854088</v>
      </c>
      <c r="L687" s="254">
        <f>(L648/L613)*U95</f>
        <v>7784.4933865333378</v>
      </c>
      <c r="M687" s="230">
        <f t="shared" si="18"/>
        <v>9447487</v>
      </c>
      <c r="N687" s="248" t="s">
        <v>619</v>
      </c>
    </row>
    <row r="688" spans="1:14" s="230" customFormat="1" ht="12.6" customHeight="1" x14ac:dyDescent="0.2">
      <c r="A688" s="249">
        <v>7110</v>
      </c>
      <c r="B688" s="248" t="s">
        <v>620</v>
      </c>
      <c r="C688" s="254">
        <f>V86</f>
        <v>243226.63</v>
      </c>
      <c r="D688" s="254">
        <f>(D616/D613)*V91</f>
        <v>6071.4848643086279</v>
      </c>
      <c r="E688" s="256">
        <f>(E624/E613)*SUM(C688:D688)</f>
        <v>14962.550338081353</v>
      </c>
      <c r="F688" s="256">
        <f>(F625/F613)*V65</f>
        <v>3626.9785540280623</v>
      </c>
      <c r="G688" s="254">
        <f>(G626/G613)*V92</f>
        <v>0</v>
      </c>
      <c r="H688" s="256">
        <f>(H629/H613)*V61</f>
        <v>13220.903293088615</v>
      </c>
      <c r="I688" s="254">
        <f>(I630/I613)*V93</f>
        <v>2684.9899987482772</v>
      </c>
      <c r="J688" s="254">
        <f>(J631/J613)*V94</f>
        <v>0</v>
      </c>
      <c r="K688" s="254">
        <f>(K645/K613)*V90</f>
        <v>133081.69656881347</v>
      </c>
      <c r="L688" s="254">
        <f>(L648/L613)*V95</f>
        <v>0</v>
      </c>
      <c r="M688" s="230">
        <f t="shared" si="18"/>
        <v>173649</v>
      </c>
      <c r="N688" s="248" t="s">
        <v>621</v>
      </c>
    </row>
    <row r="689" spans="1:14" s="230" customFormat="1" ht="12.6" customHeight="1" x14ac:dyDescent="0.2">
      <c r="A689" s="249">
        <v>7120</v>
      </c>
      <c r="B689" s="248" t="s">
        <v>622</v>
      </c>
      <c r="C689" s="254">
        <f>W86</f>
        <v>1458195.6599999997</v>
      </c>
      <c r="D689" s="254">
        <f>(D616/D613)*W91</f>
        <v>63241.238318167721</v>
      </c>
      <c r="E689" s="256">
        <f>(E624/E613)*SUM(C689:D689)</f>
        <v>91314.674359613797</v>
      </c>
      <c r="F689" s="256">
        <f>(F625/F613)*W65</f>
        <v>17368.306728040137</v>
      </c>
      <c r="G689" s="254">
        <f>(G626/G613)*W92</f>
        <v>0</v>
      </c>
      <c r="H689" s="256">
        <f>(H629/H613)*W61</f>
        <v>32241.141611351955</v>
      </c>
      <c r="I689" s="254">
        <f>(I630/I613)*W93</f>
        <v>27909.764460672883</v>
      </c>
      <c r="J689" s="254">
        <f>(J631/J613)*W94</f>
        <v>12571.753289538719</v>
      </c>
      <c r="K689" s="254">
        <f>(K645/K613)*W90</f>
        <v>746515.21111646795</v>
      </c>
      <c r="L689" s="254">
        <f>(L648/L613)*W95</f>
        <v>18.99848466136719</v>
      </c>
      <c r="M689" s="230">
        <f t="shared" si="18"/>
        <v>991181</v>
      </c>
      <c r="N689" s="248" t="s">
        <v>623</v>
      </c>
    </row>
    <row r="690" spans="1:14" s="230" customFormat="1" ht="12.6" customHeight="1" x14ac:dyDescent="0.2">
      <c r="A690" s="249">
        <v>7130</v>
      </c>
      <c r="B690" s="248" t="s">
        <v>624</v>
      </c>
      <c r="C690" s="254">
        <f>X86</f>
        <v>2800255.38</v>
      </c>
      <c r="D690" s="254">
        <f>(D616/D613)*X91</f>
        <v>64504.433155708444</v>
      </c>
      <c r="E690" s="256">
        <f>(E624/E613)*SUM(C690:D690)</f>
        <v>171939.17785614016</v>
      </c>
      <c r="F690" s="256">
        <f>(F625/F613)*X65</f>
        <v>41156.14329528276</v>
      </c>
      <c r="G690" s="254">
        <f>(G626/G613)*X92</f>
        <v>0</v>
      </c>
      <c r="H690" s="256">
        <f>(H629/H613)*X61</f>
        <v>73027.889139060324</v>
      </c>
      <c r="I690" s="254">
        <f>(I630/I613)*X93</f>
        <v>28475.025513040939</v>
      </c>
      <c r="J690" s="254">
        <f>(J631/J613)*X94</f>
        <v>0</v>
      </c>
      <c r="K690" s="254">
        <f>(K645/K613)*X90</f>
        <v>3403901.8523348854</v>
      </c>
      <c r="L690" s="254">
        <f>(L648/L613)*X95</f>
        <v>0</v>
      </c>
      <c r="M690" s="230">
        <f t="shared" si="18"/>
        <v>3783005</v>
      </c>
      <c r="N690" s="248" t="s">
        <v>625</v>
      </c>
    </row>
    <row r="691" spans="1:14" s="230" customFormat="1" ht="12.6" customHeight="1" x14ac:dyDescent="0.2">
      <c r="A691" s="249">
        <v>7140</v>
      </c>
      <c r="B691" s="248" t="s">
        <v>626</v>
      </c>
      <c r="C691" s="254">
        <f>Y86</f>
        <v>35213275.070000008</v>
      </c>
      <c r="D691" s="254">
        <f>(D616/D613)*Y91</f>
        <v>1031500.4554034135</v>
      </c>
      <c r="E691" s="256">
        <f>(E624/E613)*SUM(C691:D691)</f>
        <v>2175364.5372989918</v>
      </c>
      <c r="F691" s="256">
        <f>(F625/F613)*Y65</f>
        <v>653594.95409468713</v>
      </c>
      <c r="G691" s="254">
        <f>(G626/G613)*Y92</f>
        <v>0</v>
      </c>
      <c r="H691" s="256">
        <f>(H629/H613)*Y61</f>
        <v>843940.48159506707</v>
      </c>
      <c r="I691" s="254">
        <f>(I630/I613)*Y93</f>
        <v>455529.75057710905</v>
      </c>
      <c r="J691" s="254">
        <f>(J631/J613)*Y94</f>
        <v>166548.67251555232</v>
      </c>
      <c r="K691" s="254">
        <f>(K645/K613)*Y90</f>
        <v>8670112.0014962498</v>
      </c>
      <c r="L691" s="254">
        <f>(L648/L613)*Y95</f>
        <v>344798.44995037169</v>
      </c>
      <c r="M691" s="230">
        <f t="shared" si="18"/>
        <v>14341389</v>
      </c>
      <c r="N691" s="248" t="s">
        <v>627</v>
      </c>
    </row>
    <row r="692" spans="1:14" s="230" customFormat="1" ht="12.6" customHeight="1" x14ac:dyDescent="0.2">
      <c r="A692" s="249">
        <v>7150</v>
      </c>
      <c r="B692" s="248" t="s">
        <v>628</v>
      </c>
      <c r="C692" s="254">
        <f>Z86</f>
        <v>7987001.5799999991</v>
      </c>
      <c r="D692" s="254">
        <f>(D616/D613)*Z91</f>
        <v>336030.20089611475</v>
      </c>
      <c r="E692" s="256">
        <f>(E624/E613)*SUM(C692:D692)</f>
        <v>499537.60001310857</v>
      </c>
      <c r="F692" s="256">
        <f>(F625/F613)*Z65</f>
        <v>45425.655789880431</v>
      </c>
      <c r="G692" s="254">
        <f>(G626/G613)*Z92</f>
        <v>0</v>
      </c>
      <c r="H692" s="256">
        <f>(H629/H613)*Z61</f>
        <v>120098.69962852228</v>
      </c>
      <c r="I692" s="254">
        <f>(I630/I613)*Z93</f>
        <v>148381.02624661531</v>
      </c>
      <c r="J692" s="254">
        <f>(J631/J613)*Z94</f>
        <v>26865.040516935936</v>
      </c>
      <c r="K692" s="254">
        <f>(K645/K613)*Z90</f>
        <v>1829388.5606135165</v>
      </c>
      <c r="L692" s="254">
        <f>(L648/L613)*Z95</f>
        <v>48243.883446919899</v>
      </c>
      <c r="M692" s="230">
        <f t="shared" si="18"/>
        <v>3053971</v>
      </c>
      <c r="N692" s="248" t="s">
        <v>629</v>
      </c>
    </row>
    <row r="693" spans="1:14" s="230" customFormat="1" ht="12.6" customHeight="1" x14ac:dyDescent="0.2">
      <c r="A693" s="249">
        <v>7160</v>
      </c>
      <c r="B693" s="248" t="s">
        <v>630</v>
      </c>
      <c r="C693" s="254">
        <f>AA86</f>
        <v>1027008.3300000002</v>
      </c>
      <c r="D693" s="254">
        <f>(D616/D613)*AA91</f>
        <v>23206.111612240024</v>
      </c>
      <c r="E693" s="256">
        <f>(E624/E613)*SUM(C693:D693)</f>
        <v>63032.512126921261</v>
      </c>
      <c r="F693" s="256">
        <f>(F625/F613)*AA65</f>
        <v>28325.158484242744</v>
      </c>
      <c r="G693" s="254">
        <f>(G626/G613)*AA92</f>
        <v>0</v>
      </c>
      <c r="H693" s="256">
        <f>(H629/H613)*AA61</f>
        <v>16861.588268624444</v>
      </c>
      <c r="I693" s="254">
        <f>(I630/I613)*AA93</f>
        <v>10245.356574171057</v>
      </c>
      <c r="J693" s="254">
        <f>(J631/J613)*AA94</f>
        <v>0</v>
      </c>
      <c r="K693" s="254">
        <f>(K645/K613)*AA90</f>
        <v>230208.28247183844</v>
      </c>
      <c r="L693" s="254">
        <f>(L648/L613)*AA95</f>
        <v>0</v>
      </c>
      <c r="M693" s="230">
        <f t="shared" si="18"/>
        <v>371879</v>
      </c>
      <c r="N693" s="248" t="s">
        <v>631</v>
      </c>
    </row>
    <row r="694" spans="1:14" s="230" customFormat="1" ht="12.6" customHeight="1" x14ac:dyDescent="0.2">
      <c r="A694" s="249">
        <v>7170</v>
      </c>
      <c r="B694" s="248" t="s">
        <v>127</v>
      </c>
      <c r="C694" s="254">
        <f>AB86</f>
        <v>25508689.520000011</v>
      </c>
      <c r="D694" s="254">
        <f>(D616/D613)*AB91</f>
        <v>156778.77862702985</v>
      </c>
      <c r="E694" s="256">
        <f>(E624/E613)*SUM(C694:D694)</f>
        <v>1540408.2039595782</v>
      </c>
      <c r="F694" s="256">
        <f>(F625/F613)*AB65</f>
        <v>1649984.9872029517</v>
      </c>
      <c r="G694" s="254">
        <f>(G626/G613)*AB92</f>
        <v>0</v>
      </c>
      <c r="H694" s="256">
        <f>(H629/H613)*AB61</f>
        <v>302586.02734625567</v>
      </c>
      <c r="I694" s="254">
        <f>(I630/I613)*AB93</f>
        <v>69244.478915087151</v>
      </c>
      <c r="J694" s="254">
        <f>(J631/J613)*AB94</f>
        <v>0</v>
      </c>
      <c r="K694" s="254">
        <f>(K645/K613)*AB90</f>
        <v>6726879.0959487166</v>
      </c>
      <c r="L694" s="254">
        <f>(L648/L613)*AB95</f>
        <v>0</v>
      </c>
      <c r="M694" s="230">
        <f t="shared" si="18"/>
        <v>10445882</v>
      </c>
      <c r="N694" s="248" t="s">
        <v>632</v>
      </c>
    </row>
    <row r="695" spans="1:14" s="230" customFormat="1" ht="12.6" customHeight="1" x14ac:dyDescent="0.2">
      <c r="A695" s="249">
        <v>7180</v>
      </c>
      <c r="B695" s="248" t="s">
        <v>633</v>
      </c>
      <c r="C695" s="254">
        <f>AC86</f>
        <v>3632417.81</v>
      </c>
      <c r="D695" s="254">
        <f>(D616/D613)*AC91</f>
        <v>53685.780595480654</v>
      </c>
      <c r="E695" s="256">
        <f>(E624/E613)*SUM(C695:D695)</f>
        <v>221235.16880858486</v>
      </c>
      <c r="F695" s="256">
        <f>(F625/F613)*AC65</f>
        <v>35370.345164828555</v>
      </c>
      <c r="G695" s="254">
        <f>(G626/G613)*AC92</f>
        <v>0</v>
      </c>
      <c r="H695" s="256">
        <f>(H629/H613)*AC61</f>
        <v>135545.02561821465</v>
      </c>
      <c r="I695" s="254">
        <f>(I630/I613)*AC93</f>
        <v>23740.964199458453</v>
      </c>
      <c r="J695" s="254">
        <f>(J631/J613)*AC94</f>
        <v>0</v>
      </c>
      <c r="K695" s="254">
        <f>(K645/K613)*AC90</f>
        <v>1036693.695875854</v>
      </c>
      <c r="L695" s="254">
        <f>(L648/L613)*AC95</f>
        <v>0</v>
      </c>
      <c r="M695" s="230">
        <f t="shared" si="18"/>
        <v>1506271</v>
      </c>
      <c r="N695" s="248" t="s">
        <v>634</v>
      </c>
    </row>
    <row r="696" spans="1:14" s="230" customFormat="1" ht="12.6" customHeight="1" x14ac:dyDescent="0.2">
      <c r="A696" s="249">
        <v>7190</v>
      </c>
      <c r="B696" s="248" t="s">
        <v>129</v>
      </c>
      <c r="C696" s="254">
        <f>AD86</f>
        <v>0</v>
      </c>
      <c r="D696" s="254">
        <f>(D616/D613)*AD91</f>
        <v>0</v>
      </c>
      <c r="E696" s="256">
        <f>(E624/E613)*SUM(C696:D696)</f>
        <v>0</v>
      </c>
      <c r="F696" s="256">
        <f>(F625/F613)*AD65</f>
        <v>0</v>
      </c>
      <c r="G696" s="254">
        <f>(G626/G613)*AD92</f>
        <v>0</v>
      </c>
      <c r="H696" s="256">
        <f>(H629/H613)*AD61</f>
        <v>0</v>
      </c>
      <c r="I696" s="254">
        <f>(I630/I613)*AD93</f>
        <v>0</v>
      </c>
      <c r="J696" s="254">
        <f>(J631/J613)*AD94</f>
        <v>0</v>
      </c>
      <c r="K696" s="254">
        <f>(K645/K613)*AD90</f>
        <v>0</v>
      </c>
      <c r="L696" s="254">
        <f>(L648/L613)*AD95</f>
        <v>0</v>
      </c>
      <c r="M696" s="230">
        <f t="shared" si="18"/>
        <v>0</v>
      </c>
      <c r="N696" s="248" t="s">
        <v>635</v>
      </c>
    </row>
    <row r="697" spans="1:14" s="230" customFormat="1" ht="12.6" customHeight="1" x14ac:dyDescent="0.2">
      <c r="A697" s="249">
        <v>7200</v>
      </c>
      <c r="B697" s="248" t="s">
        <v>636</v>
      </c>
      <c r="C697" s="254">
        <f>AE86</f>
        <v>7393320.6500000013</v>
      </c>
      <c r="D697" s="254">
        <f>(D616/D613)*AE91</f>
        <v>351636.76937282755</v>
      </c>
      <c r="E697" s="256">
        <f>(E624/E613)*SUM(C697:D697)</f>
        <v>464842.3246872031</v>
      </c>
      <c r="F697" s="256">
        <f>(F625/F613)*AE65</f>
        <v>11744.88757044054</v>
      </c>
      <c r="G697" s="254">
        <f>(G626/G613)*AE92</f>
        <v>0</v>
      </c>
      <c r="H697" s="256">
        <f>(H629/H613)*AE61</f>
        <v>348004.86800473754</v>
      </c>
      <c r="I697" s="254">
        <f>(I630/I613)*AE93</f>
        <v>157707.83361068828</v>
      </c>
      <c r="J697" s="254">
        <f>(J631/J613)*AE94</f>
        <v>0</v>
      </c>
      <c r="K697" s="254">
        <f>(K645/K613)*AE90</f>
        <v>1582081.9421404826</v>
      </c>
      <c r="L697" s="254">
        <f>(L648/L613)*AE95</f>
        <v>0</v>
      </c>
      <c r="M697" s="230">
        <f t="shared" si="18"/>
        <v>2916019</v>
      </c>
      <c r="N697" s="248" t="s">
        <v>637</v>
      </c>
    </row>
    <row r="698" spans="1:14" s="230" customFormat="1" ht="12.6" customHeight="1" x14ac:dyDescent="0.2">
      <c r="A698" s="249">
        <v>7220</v>
      </c>
      <c r="B698" s="248" t="s">
        <v>638</v>
      </c>
      <c r="C698" s="254">
        <f>AF86</f>
        <v>0</v>
      </c>
      <c r="D698" s="254">
        <f>(D616/D613)*AF91</f>
        <v>0</v>
      </c>
      <c r="E698" s="256">
        <f>(E624/E613)*SUM(C698:D698)</f>
        <v>0</v>
      </c>
      <c r="F698" s="256">
        <f>(F625/F613)*AF65</f>
        <v>0</v>
      </c>
      <c r="G698" s="254">
        <f>(G626/G613)*AF92</f>
        <v>0</v>
      </c>
      <c r="H698" s="256">
        <f>(H629/H613)*AF61</f>
        <v>0</v>
      </c>
      <c r="I698" s="254">
        <f>(I630/I613)*AF93</f>
        <v>0</v>
      </c>
      <c r="J698" s="254">
        <f>(J631/J613)*AF94</f>
        <v>0</v>
      </c>
      <c r="K698" s="254">
        <f>(K645/K613)*AF90</f>
        <v>0</v>
      </c>
      <c r="L698" s="254">
        <f>(L648/L613)*AF95</f>
        <v>0</v>
      </c>
      <c r="M698" s="230">
        <f t="shared" si="18"/>
        <v>0</v>
      </c>
      <c r="N698" s="248" t="s">
        <v>639</v>
      </c>
    </row>
    <row r="699" spans="1:14" s="230" customFormat="1" ht="12.6" customHeight="1" x14ac:dyDescent="0.2">
      <c r="A699" s="249">
        <v>7230</v>
      </c>
      <c r="B699" s="248" t="s">
        <v>640</v>
      </c>
      <c r="C699" s="254">
        <f>AG86</f>
        <v>18671980.219999999</v>
      </c>
      <c r="D699" s="254">
        <f>(D616/D613)*AG91</f>
        <v>1121798.5121772923</v>
      </c>
      <c r="E699" s="256">
        <f>(E624/E613)*SUM(C699:D699)</f>
        <v>1187996.9923649353</v>
      </c>
      <c r="F699" s="256">
        <f>(F625/F613)*AG65</f>
        <v>165554.24873205868</v>
      </c>
      <c r="G699" s="254">
        <f>(G626/G613)*AG92</f>
        <v>0</v>
      </c>
      <c r="H699" s="256">
        <f>(H629/H613)*AG61</f>
        <v>627739.62018301082</v>
      </c>
      <c r="I699" s="254">
        <f>(I630/I613)*AG93</f>
        <v>495380.65476905712</v>
      </c>
      <c r="J699" s="254">
        <f>(J631/J613)*AG94</f>
        <v>220112.16883448799</v>
      </c>
      <c r="K699" s="254">
        <f>(K645/K613)*AG90</f>
        <v>7839733.2617176576</v>
      </c>
      <c r="L699" s="254">
        <f>(L648/L613)*AG95</f>
        <v>741356.80576325022</v>
      </c>
      <c r="M699" s="230">
        <f t="shared" si="18"/>
        <v>12399672</v>
      </c>
      <c r="N699" s="248" t="s">
        <v>641</v>
      </c>
    </row>
    <row r="700" spans="1:14" s="230" customFormat="1" ht="12.6" customHeight="1" x14ac:dyDescent="0.2">
      <c r="A700" s="249">
        <v>7240</v>
      </c>
      <c r="B700" s="248" t="s">
        <v>131</v>
      </c>
      <c r="C700" s="254">
        <f>AH86</f>
        <v>0</v>
      </c>
      <c r="D700" s="254">
        <f>(D616/D613)*AH91</f>
        <v>0</v>
      </c>
      <c r="E700" s="256">
        <f>(E624/E613)*SUM(C700:D700)</f>
        <v>0</v>
      </c>
      <c r="F700" s="256">
        <f>(F625/F613)*AH65</f>
        <v>0</v>
      </c>
      <c r="G700" s="254">
        <f>(G626/G613)*AH92</f>
        <v>0</v>
      </c>
      <c r="H700" s="256">
        <f>(H629/H613)*AH61</f>
        <v>0</v>
      </c>
      <c r="I700" s="254">
        <f>(I630/I613)*AH93</f>
        <v>0</v>
      </c>
      <c r="J700" s="254">
        <f>(J631/J613)*AH94</f>
        <v>0</v>
      </c>
      <c r="K700" s="254">
        <f>(K645/K613)*AH90</f>
        <v>0</v>
      </c>
      <c r="L700" s="254">
        <f>(L648/L613)*AH95</f>
        <v>0</v>
      </c>
      <c r="M700" s="230">
        <f t="shared" si="18"/>
        <v>0</v>
      </c>
      <c r="N700" s="248" t="s">
        <v>642</v>
      </c>
    </row>
    <row r="701" spans="1:14" s="230" customFormat="1" ht="12.6" customHeight="1" x14ac:dyDescent="0.2">
      <c r="A701" s="249">
        <v>7250</v>
      </c>
      <c r="B701" s="248" t="s">
        <v>643</v>
      </c>
      <c r="C701" s="254">
        <f>AI86</f>
        <v>0</v>
      </c>
      <c r="D701" s="254">
        <f>(D616/D613)*AI91</f>
        <v>0</v>
      </c>
      <c r="E701" s="256">
        <f>(E624/E613)*SUM(C701:D701)</f>
        <v>0</v>
      </c>
      <c r="F701" s="256">
        <f>(F625/F613)*AI65</f>
        <v>0</v>
      </c>
      <c r="G701" s="254">
        <f>(G626/G613)*AI92</f>
        <v>0</v>
      </c>
      <c r="H701" s="256">
        <f>(H629/H613)*AI61</f>
        <v>0</v>
      </c>
      <c r="I701" s="254">
        <f>(I630/I613)*AI93</f>
        <v>0</v>
      </c>
      <c r="J701" s="254">
        <f>(J631/J613)*AI94</f>
        <v>0</v>
      </c>
      <c r="K701" s="254">
        <f>(K645/K613)*AI90</f>
        <v>0</v>
      </c>
      <c r="L701" s="254">
        <f>(L648/L613)*AI95</f>
        <v>0</v>
      </c>
      <c r="M701" s="230">
        <f t="shared" si="18"/>
        <v>0</v>
      </c>
      <c r="N701" s="248" t="s">
        <v>644</v>
      </c>
    </row>
    <row r="702" spans="1:14" s="230" customFormat="1" ht="12.6" customHeight="1" x14ac:dyDescent="0.2">
      <c r="A702" s="249">
        <v>7260</v>
      </c>
      <c r="B702" s="248" t="s">
        <v>133</v>
      </c>
      <c r="C702" s="254">
        <f>AJ86</f>
        <v>100109262.19000001</v>
      </c>
      <c r="D702" s="254">
        <f>(D616/D613)*AJ91</f>
        <v>2946850.1889899564</v>
      </c>
      <c r="E702" s="256">
        <f>(E624/E613)*SUM(C702:D702)</f>
        <v>6185294.5416650958</v>
      </c>
      <c r="F702" s="256">
        <f>(F625/F613)*AJ65</f>
        <v>528269.28508167132</v>
      </c>
      <c r="G702" s="254">
        <f>(G626/G613)*AJ92</f>
        <v>0</v>
      </c>
      <c r="H702" s="256">
        <f>(H629/H613)*AJ61</f>
        <v>2641656.4424669924</v>
      </c>
      <c r="I702" s="254">
        <f>(I630/I613)*AJ93</f>
        <v>1301372.2578143624</v>
      </c>
      <c r="J702" s="254">
        <f>(J631/J613)*AJ94</f>
        <v>52755.116312791157</v>
      </c>
      <c r="K702" s="254">
        <f>(K645/K613)*AJ90</f>
        <v>9228234.2464369666</v>
      </c>
      <c r="L702" s="254">
        <f>(L648/L613)*AJ95</f>
        <v>605443.81775121915</v>
      </c>
      <c r="M702" s="230">
        <f t="shared" si="18"/>
        <v>23489876</v>
      </c>
      <c r="N702" s="248" t="s">
        <v>645</v>
      </c>
    </row>
    <row r="703" spans="1:14" s="230" customFormat="1" ht="12.6" customHeight="1" x14ac:dyDescent="0.2">
      <c r="A703" s="249">
        <v>7310</v>
      </c>
      <c r="B703" s="248" t="s">
        <v>646</v>
      </c>
      <c r="C703" s="254">
        <f>AK86</f>
        <v>0</v>
      </c>
      <c r="D703" s="254">
        <f>(D616/D613)*AK91</f>
        <v>0</v>
      </c>
      <c r="E703" s="256">
        <f>(E624/E613)*SUM(C703:D703)</f>
        <v>0</v>
      </c>
      <c r="F703" s="256">
        <f>(F625/F613)*AK65</f>
        <v>0</v>
      </c>
      <c r="G703" s="254">
        <f>(G626/G613)*AK92</f>
        <v>0</v>
      </c>
      <c r="H703" s="256">
        <f>(H629/H613)*AK61</f>
        <v>0</v>
      </c>
      <c r="I703" s="254">
        <f>(I630/I613)*AK93</f>
        <v>0</v>
      </c>
      <c r="J703" s="254">
        <f>(J631/J613)*AK94</f>
        <v>0</v>
      </c>
      <c r="K703" s="254">
        <f>(K645/K613)*AK90</f>
        <v>0</v>
      </c>
      <c r="L703" s="254">
        <f>(L648/L613)*AK95</f>
        <v>0</v>
      </c>
      <c r="M703" s="230">
        <f t="shared" si="18"/>
        <v>0</v>
      </c>
      <c r="N703" s="248" t="s">
        <v>647</v>
      </c>
    </row>
    <row r="704" spans="1:14" s="230" customFormat="1" ht="12.6" customHeight="1" x14ac:dyDescent="0.2">
      <c r="A704" s="249">
        <v>7320</v>
      </c>
      <c r="B704" s="248" t="s">
        <v>648</v>
      </c>
      <c r="C704" s="254">
        <f>AL86</f>
        <v>0</v>
      </c>
      <c r="D704" s="254">
        <f>(D616/D613)*AL91</f>
        <v>0</v>
      </c>
      <c r="E704" s="256">
        <f>(E624/E613)*SUM(C704:D704)</f>
        <v>0</v>
      </c>
      <c r="F704" s="256">
        <f>(F625/F613)*AL65</f>
        <v>0</v>
      </c>
      <c r="G704" s="254">
        <f>(G626/G613)*AL92</f>
        <v>0</v>
      </c>
      <c r="H704" s="256">
        <f>(H629/H613)*AL61</f>
        <v>0</v>
      </c>
      <c r="I704" s="254">
        <f>(I630/I613)*AL93</f>
        <v>0</v>
      </c>
      <c r="J704" s="254">
        <f>(J631/J613)*AL94</f>
        <v>0</v>
      </c>
      <c r="K704" s="254">
        <f>(K645/K613)*AL90</f>
        <v>0</v>
      </c>
      <c r="L704" s="254">
        <f>(L648/L613)*AL95</f>
        <v>0</v>
      </c>
      <c r="M704" s="230">
        <f t="shared" si="18"/>
        <v>0</v>
      </c>
      <c r="N704" s="248" t="s">
        <v>649</v>
      </c>
    </row>
    <row r="705" spans="1:14" s="230" customFormat="1" ht="12.6" customHeight="1" x14ac:dyDescent="0.2">
      <c r="A705" s="249">
        <v>7330</v>
      </c>
      <c r="B705" s="248" t="s">
        <v>650</v>
      </c>
      <c r="C705" s="254">
        <f>AM86</f>
        <v>0</v>
      </c>
      <c r="D705" s="254">
        <f>(D616/D613)*AM91</f>
        <v>0</v>
      </c>
      <c r="E705" s="256">
        <f>(E624/E613)*SUM(C705:D705)</f>
        <v>0</v>
      </c>
      <c r="F705" s="256">
        <f>(F625/F613)*AM65</f>
        <v>0</v>
      </c>
      <c r="G705" s="254">
        <f>(G626/G613)*AM92</f>
        <v>0</v>
      </c>
      <c r="H705" s="256">
        <f>(H629/H613)*AM61</f>
        <v>0</v>
      </c>
      <c r="I705" s="254">
        <f>(I630/I613)*AM93</f>
        <v>0</v>
      </c>
      <c r="J705" s="254">
        <f>(J631/J613)*AM94</f>
        <v>0</v>
      </c>
      <c r="K705" s="254">
        <f>(K645/K613)*AM90</f>
        <v>0</v>
      </c>
      <c r="L705" s="254">
        <f>(L648/L613)*AM95</f>
        <v>0</v>
      </c>
      <c r="M705" s="230">
        <f t="shared" si="18"/>
        <v>0</v>
      </c>
      <c r="N705" s="248" t="s">
        <v>651</v>
      </c>
    </row>
    <row r="706" spans="1:14" s="230" customFormat="1" ht="12.6" customHeight="1" x14ac:dyDescent="0.2">
      <c r="A706" s="249">
        <v>7340</v>
      </c>
      <c r="B706" s="248" t="s">
        <v>652</v>
      </c>
      <c r="C706" s="254">
        <f>AN86</f>
        <v>0</v>
      </c>
      <c r="D706" s="254">
        <f>(D616/D613)*AN91</f>
        <v>0</v>
      </c>
      <c r="E706" s="256">
        <f>(E624/E613)*SUM(C706:D706)</f>
        <v>0</v>
      </c>
      <c r="F706" s="256">
        <f>(F625/F613)*AN65</f>
        <v>0</v>
      </c>
      <c r="G706" s="254">
        <f>(G626/G613)*AN92</f>
        <v>0</v>
      </c>
      <c r="H706" s="256">
        <f>(H629/H613)*AN61</f>
        <v>0</v>
      </c>
      <c r="I706" s="254">
        <f>(I630/I613)*AN93</f>
        <v>0</v>
      </c>
      <c r="J706" s="254">
        <f>(J631/J613)*AN94</f>
        <v>0</v>
      </c>
      <c r="K706" s="254">
        <f>(K645/K613)*AN90</f>
        <v>0</v>
      </c>
      <c r="L706" s="254">
        <f>(L648/L613)*AN95</f>
        <v>0</v>
      </c>
      <c r="M706" s="230">
        <f t="shared" si="18"/>
        <v>0</v>
      </c>
      <c r="N706" s="248" t="s">
        <v>653</v>
      </c>
    </row>
    <row r="707" spans="1:14" s="230" customFormat="1" ht="12.6" customHeight="1" x14ac:dyDescent="0.2">
      <c r="A707" s="249">
        <v>7350</v>
      </c>
      <c r="B707" s="248" t="s">
        <v>654</v>
      </c>
      <c r="C707" s="254">
        <f>AO86</f>
        <v>0</v>
      </c>
      <c r="D707" s="254">
        <f>(D616/D613)*AO91</f>
        <v>0</v>
      </c>
      <c r="E707" s="256">
        <f>(E624/E613)*SUM(C707:D707)</f>
        <v>0</v>
      </c>
      <c r="F707" s="256">
        <f>(F625/F613)*AO65</f>
        <v>0</v>
      </c>
      <c r="G707" s="254">
        <f>(G626/G613)*AO92</f>
        <v>0</v>
      </c>
      <c r="H707" s="256">
        <f>(H629/H613)*AO61</f>
        <v>0</v>
      </c>
      <c r="I707" s="254">
        <f>(I630/I613)*AO93</f>
        <v>0</v>
      </c>
      <c r="J707" s="254">
        <f>(J631/J613)*AO94</f>
        <v>0</v>
      </c>
      <c r="K707" s="254">
        <f>(K645/K613)*AO90</f>
        <v>0</v>
      </c>
      <c r="L707" s="254">
        <f>(L648/L613)*AO95</f>
        <v>0</v>
      </c>
      <c r="M707" s="230">
        <f t="shared" si="18"/>
        <v>0</v>
      </c>
      <c r="N707" s="248" t="s">
        <v>655</v>
      </c>
    </row>
    <row r="708" spans="1:14" s="230" customFormat="1" ht="12.6" customHeight="1" x14ac:dyDescent="0.2">
      <c r="A708" s="249">
        <v>7380</v>
      </c>
      <c r="B708" s="248" t="s">
        <v>656</v>
      </c>
      <c r="C708" s="254">
        <f>AP86</f>
        <v>79820872.239999995</v>
      </c>
      <c r="D708" s="254">
        <f>(D616/D613)*AP91</f>
        <v>936557.10148503026</v>
      </c>
      <c r="E708" s="256">
        <f>(E624/E613)*SUM(C708:D708)</f>
        <v>4846956.4334800839</v>
      </c>
      <c r="F708" s="256">
        <f>(F625/F613)*AP65</f>
        <v>477455.96970964019</v>
      </c>
      <c r="G708" s="254">
        <f>(G626/G613)*AP92</f>
        <v>0</v>
      </c>
      <c r="H708" s="256">
        <f>(H629/H613)*AP61</f>
        <v>2204911.2653523139</v>
      </c>
      <c r="I708" s="254">
        <f>(I630/I613)*AP93</f>
        <v>413629.77507032669</v>
      </c>
      <c r="J708" s="254">
        <f>(J631/J613)*AP94</f>
        <v>0</v>
      </c>
      <c r="K708" s="254">
        <f>(K645/K613)*AP90</f>
        <v>6203368.3160108849</v>
      </c>
      <c r="L708" s="254">
        <f>(L648/L613)*AP95</f>
        <v>173944.04604438637</v>
      </c>
      <c r="M708" s="230">
        <f t="shared" si="18"/>
        <v>15256823</v>
      </c>
      <c r="N708" s="248" t="s">
        <v>657</v>
      </c>
    </row>
    <row r="709" spans="1:14" s="230" customFormat="1" ht="12.6" customHeight="1" x14ac:dyDescent="0.2">
      <c r="A709" s="249">
        <v>7390</v>
      </c>
      <c r="B709" s="248" t="s">
        <v>658</v>
      </c>
      <c r="C709" s="254">
        <f>AQ86</f>
        <v>0</v>
      </c>
      <c r="D709" s="254">
        <f>(D616/D613)*AQ91</f>
        <v>0</v>
      </c>
      <c r="E709" s="256">
        <f>(E624/E613)*SUM(C709:D709)</f>
        <v>0</v>
      </c>
      <c r="F709" s="256">
        <f>(F625/F613)*AQ65</f>
        <v>0</v>
      </c>
      <c r="G709" s="254">
        <f>(G626/G613)*AQ92</f>
        <v>0</v>
      </c>
      <c r="H709" s="256">
        <f>(H629/H613)*AQ61</f>
        <v>0</v>
      </c>
      <c r="I709" s="254">
        <f>(I630/I613)*AQ93</f>
        <v>0</v>
      </c>
      <c r="J709" s="254">
        <f>(J631/J613)*AQ94</f>
        <v>0</v>
      </c>
      <c r="K709" s="254">
        <f>(K645/K613)*AQ90</f>
        <v>0</v>
      </c>
      <c r="L709" s="254">
        <f>(L648/L613)*AQ95</f>
        <v>0</v>
      </c>
      <c r="M709" s="230">
        <f t="shared" si="18"/>
        <v>0</v>
      </c>
      <c r="N709" s="248" t="s">
        <v>659</v>
      </c>
    </row>
    <row r="710" spans="1:14" s="230" customFormat="1" ht="12.6" customHeight="1" x14ac:dyDescent="0.2">
      <c r="A710" s="249">
        <v>7400</v>
      </c>
      <c r="B710" s="248" t="s">
        <v>660</v>
      </c>
      <c r="C710" s="254">
        <f>AR86</f>
        <v>71372341.429999992</v>
      </c>
      <c r="D710" s="254">
        <f>(D616/D613)*AR91</f>
        <v>0</v>
      </c>
      <c r="E710" s="256">
        <f>(E624/E613)*SUM(C710:D710)</f>
        <v>4283675.5984872244</v>
      </c>
      <c r="F710" s="256">
        <f>(F625/F613)*AR65</f>
        <v>355372.6511699059</v>
      </c>
      <c r="G710" s="254">
        <f>(G626/G613)*AR92</f>
        <v>0</v>
      </c>
      <c r="H710" s="256">
        <f>(H629/H613)*AR61</f>
        <v>2674665.3213742063</v>
      </c>
      <c r="I710" s="254">
        <f>(I630/I613)*AR93</f>
        <v>0</v>
      </c>
      <c r="J710" s="254">
        <f>(J631/J613)*AR94</f>
        <v>0</v>
      </c>
      <c r="K710" s="254">
        <f>(K645/K613)*AR90</f>
        <v>6356242.3541685678</v>
      </c>
      <c r="L710" s="254">
        <f>(L648/L613)*AR95</f>
        <v>1967424.2305101224</v>
      </c>
      <c r="M710" s="230">
        <f t="shared" si="18"/>
        <v>15637380</v>
      </c>
      <c r="N710" s="248" t="s">
        <v>661</v>
      </c>
    </row>
    <row r="711" spans="1:14" s="230" customFormat="1" ht="12.6" customHeight="1" x14ac:dyDescent="0.2">
      <c r="A711" s="249">
        <v>7410</v>
      </c>
      <c r="B711" s="248" t="s">
        <v>141</v>
      </c>
      <c r="C711" s="254">
        <f>AS86</f>
        <v>0</v>
      </c>
      <c r="D711" s="254">
        <f>(D616/D613)*AS91</f>
        <v>0</v>
      </c>
      <c r="E711" s="256">
        <f>(E624/E613)*SUM(C711:D711)</f>
        <v>0</v>
      </c>
      <c r="F711" s="256">
        <f>(F625/F613)*AS65</f>
        <v>0</v>
      </c>
      <c r="G711" s="254">
        <f>(G626/G613)*AS92</f>
        <v>0</v>
      </c>
      <c r="H711" s="256">
        <f>(H629/H613)*AS61</f>
        <v>0</v>
      </c>
      <c r="I711" s="254">
        <f>(I630/I613)*AS93</f>
        <v>0</v>
      </c>
      <c r="J711" s="254">
        <f>(J631/J613)*AS94</f>
        <v>0</v>
      </c>
      <c r="K711" s="254">
        <f>(K645/K613)*AS90</f>
        <v>0</v>
      </c>
      <c r="L711" s="254">
        <f>(L648/L613)*AS95</f>
        <v>0</v>
      </c>
      <c r="M711" s="230">
        <f t="shared" si="18"/>
        <v>0</v>
      </c>
      <c r="N711" s="248" t="s">
        <v>662</v>
      </c>
    </row>
    <row r="712" spans="1:14" s="230" customFormat="1" ht="12.6" customHeight="1" x14ac:dyDescent="0.2">
      <c r="A712" s="249">
        <v>7420</v>
      </c>
      <c r="B712" s="248" t="s">
        <v>663</v>
      </c>
      <c r="C712" s="254">
        <f>AT86</f>
        <v>0</v>
      </c>
      <c r="D712" s="254">
        <f>(D616/D613)*AT91</f>
        <v>0</v>
      </c>
      <c r="E712" s="256">
        <f>(E624/E613)*SUM(C712:D712)</f>
        <v>0</v>
      </c>
      <c r="F712" s="256">
        <f>(F625/F613)*AT65</f>
        <v>0</v>
      </c>
      <c r="G712" s="254">
        <f>(G626/G613)*AT92</f>
        <v>0</v>
      </c>
      <c r="H712" s="256">
        <f>(H629/H613)*AT61</f>
        <v>0</v>
      </c>
      <c r="I712" s="254">
        <f>(I630/I613)*AT93</f>
        <v>0</v>
      </c>
      <c r="J712" s="254">
        <f>(J631/J613)*AT94</f>
        <v>0</v>
      </c>
      <c r="K712" s="254">
        <f>(K645/K613)*AT90</f>
        <v>0</v>
      </c>
      <c r="L712" s="254">
        <f>(L648/L613)*AT95</f>
        <v>0</v>
      </c>
      <c r="M712" s="230">
        <f t="shared" si="18"/>
        <v>0</v>
      </c>
      <c r="N712" s="248" t="s">
        <v>664</v>
      </c>
    </row>
    <row r="713" spans="1:14" s="230" customFormat="1" ht="12.6" customHeight="1" x14ac:dyDescent="0.2">
      <c r="A713" s="249">
        <v>7430</v>
      </c>
      <c r="B713" s="248" t="s">
        <v>665</v>
      </c>
      <c r="C713" s="254">
        <f>AU86</f>
        <v>0</v>
      </c>
      <c r="D713" s="254">
        <f>(D616/D613)*AU91</f>
        <v>0</v>
      </c>
      <c r="E713" s="256">
        <f>(E624/E613)*SUM(C713:D713)</f>
        <v>0</v>
      </c>
      <c r="F713" s="256">
        <f>(F625/F613)*AU65</f>
        <v>0</v>
      </c>
      <c r="G713" s="254">
        <f>(G626/G613)*AU92</f>
        <v>0</v>
      </c>
      <c r="H713" s="256">
        <f>(H629/H613)*AU61</f>
        <v>0</v>
      </c>
      <c r="I713" s="254">
        <f>(I630/I613)*AU93</f>
        <v>0</v>
      </c>
      <c r="J713" s="254">
        <f>(J631/J613)*AU94</f>
        <v>0</v>
      </c>
      <c r="K713" s="254">
        <f>(K645/K613)*AU90</f>
        <v>0</v>
      </c>
      <c r="L713" s="254">
        <f>(L648/L613)*AU95</f>
        <v>0</v>
      </c>
      <c r="M713" s="230">
        <f t="shared" si="18"/>
        <v>0</v>
      </c>
      <c r="N713" s="248" t="s">
        <v>666</v>
      </c>
    </row>
    <row r="714" spans="1:14" s="230" customFormat="1" ht="12.6" customHeight="1" x14ac:dyDescent="0.2">
      <c r="A714" s="249">
        <v>7490</v>
      </c>
      <c r="B714" s="248" t="s">
        <v>667</v>
      </c>
      <c r="C714" s="254">
        <f>AV86</f>
        <v>4339394.4700000016</v>
      </c>
      <c r="D714" s="254">
        <f>(D616/D613)*AV91</f>
        <v>267613.9385660867</v>
      </c>
      <c r="E714" s="256">
        <f>(E624/E613)*SUM(C714:D714)</f>
        <v>276506.68461193034</v>
      </c>
      <c r="F714" s="256">
        <f>(F625/F613)*AV65</f>
        <v>798392.31171272066</v>
      </c>
      <c r="G714" s="254">
        <f>(G626/G613)*AV92</f>
        <v>0</v>
      </c>
      <c r="H714" s="256">
        <f>(H629/H613)*AV61</f>
        <v>133199.79463855343</v>
      </c>
      <c r="I714" s="254">
        <f>(I630/I613)*AV93</f>
        <v>118210.2175764702</v>
      </c>
      <c r="J714" s="254">
        <f>(J631/J613)*AV94</f>
        <v>16803.580586087584</v>
      </c>
      <c r="K714" s="254">
        <f>(K645/K613)*AV90</f>
        <v>659088.84249449463</v>
      </c>
      <c r="L714" s="254">
        <f>(L648/L613)*AV95</f>
        <v>729576.17111304484</v>
      </c>
      <c r="M714" s="230">
        <f t="shared" si="18"/>
        <v>2999392</v>
      </c>
      <c r="N714" s="250" t="s">
        <v>668</v>
      </c>
    </row>
    <row r="715" spans="1:14" s="230" customFormat="1" ht="12.6" customHeight="1" x14ac:dyDescent="0.2"/>
    <row r="716" spans="1:14" s="230" customFormat="1" ht="12.6" customHeight="1" x14ac:dyDescent="0.2">
      <c r="C716" s="251">
        <f>SUM(C615:C648)+SUM(C669:C714)</f>
        <v>781075986.7299999</v>
      </c>
      <c r="D716" s="230">
        <f>SUM(D617:D648)+SUM(D669:D714)</f>
        <v>18868646.899999999</v>
      </c>
      <c r="E716" s="230">
        <f>SUM(E625:E648)+SUM(E669:E714)</f>
        <v>44224851.853617795</v>
      </c>
      <c r="F716" s="230">
        <f>SUM(F626:F649)+SUM(F669:F714)</f>
        <v>10246062.775533689</v>
      </c>
      <c r="G716" s="230">
        <f>SUM(G627:G648)+SUM(G669:G714)</f>
        <v>0</v>
      </c>
      <c r="H716" s="230">
        <f>SUM(H630:H648)+SUM(H669:H714)</f>
        <v>20248214.392873764</v>
      </c>
      <c r="I716" s="230">
        <f>SUM(I631:I648)+SUM(I669:I714)</f>
        <v>7551463.7138479836</v>
      </c>
      <c r="J716" s="230">
        <f>SUM(J632:J648)+SUM(J669:J714)</f>
        <v>1458354.7626317276</v>
      </c>
      <c r="K716" s="230">
        <f>SUM(K669:K714)</f>
        <v>97240852.697541416</v>
      </c>
      <c r="L716" s="230">
        <f>SUM(L669:L714)</f>
        <v>11190260.484768879</v>
      </c>
      <c r="M716" s="230">
        <f>SUM(M669:M714)</f>
        <v>193184766</v>
      </c>
      <c r="N716" s="248" t="s">
        <v>669</v>
      </c>
    </row>
    <row r="717" spans="1:14" s="230" customFormat="1" ht="12.6" customHeight="1" x14ac:dyDescent="0.2">
      <c r="C717" s="251">
        <f>CE86</f>
        <v>781075986.73000014</v>
      </c>
      <c r="D717" s="230">
        <f>D616</f>
        <v>18868646.899999999</v>
      </c>
      <c r="E717" s="230">
        <f>E624</f>
        <v>44224851.853617795</v>
      </c>
      <c r="F717" s="230">
        <f>F625</f>
        <v>10246062.775533693</v>
      </c>
      <c r="G717" s="230">
        <f>G626</f>
        <v>0</v>
      </c>
      <c r="H717" s="230">
        <f>H629</f>
        <v>20248214.392873768</v>
      </c>
      <c r="I717" s="230">
        <f>I630</f>
        <v>7551463.7138479836</v>
      </c>
      <c r="J717" s="230">
        <f>J631</f>
        <v>1458354.7626317281</v>
      </c>
      <c r="K717" s="230">
        <f>K645</f>
        <v>97240852.697541416</v>
      </c>
      <c r="L717" s="230">
        <f>L648</f>
        <v>11190260.484768877</v>
      </c>
      <c r="M717" s="230">
        <f>C649</f>
        <v>193184763.26000002</v>
      </c>
      <c r="N717" s="248" t="s">
        <v>670</v>
      </c>
    </row>
  </sheetData>
  <mergeCells count="1">
    <mergeCell ref="B237:C237"/>
  </mergeCells>
  <hyperlinks>
    <hyperlink ref="G43" r:id="rId1" xr:uid="{45172480-D7CF-4644-BF44-08A20DDC2653}"/>
    <hyperlink ref="A44" r:id="rId2" xr:uid="{1FE33A24-94E9-4BE3-8826-28A18746F650}"/>
    <hyperlink ref="C31" r:id="rId3" xr:uid="{011FC602-080F-4012-95CA-394B645B1CFF}"/>
  </hyperlinks>
  <printOptions horizontalCentered="1" gridLines="1" gridLinesSet="0"/>
  <pageMargins left="0.25" right="0.25" top="0.5" bottom="0.5" header="0.5" footer="0.5"/>
  <pageSetup scale="95" orientation="portrait" r:id="rId4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BBA28-F40B-4AAF-9B33-A19C6E74B365}">
  <sheetPr codeName="Sheet13"/>
  <dimension ref="A1:N2"/>
  <sheetViews>
    <sheetView workbookViewId="0">
      <selection activeCell="E34" sqref="E34"/>
    </sheetView>
  </sheetViews>
  <sheetFormatPr defaultColWidth="9" defaultRowHeight="15" x14ac:dyDescent="0.25"/>
  <cols>
    <col min="1" max="2" width="9" style="11" customWidth="1"/>
    <col min="3" max="3" width="38.77734375" style="11" bestFit="1" customWidth="1"/>
    <col min="4" max="10" width="9" style="11" customWidth="1"/>
    <col min="11" max="11" width="13.33203125" style="11" customWidth="1"/>
    <col min="12" max="12" width="12.109375" style="11" customWidth="1"/>
    <col min="13" max="14" width="9" style="11" customWidth="1"/>
    <col min="15" max="16384" width="9" style="11"/>
  </cols>
  <sheetData>
    <row r="1" spans="1:14" x14ac:dyDescent="0.25">
      <c r="A1" s="17" t="s">
        <v>1022</v>
      </c>
      <c r="B1" s="11" t="s">
        <v>1023</v>
      </c>
      <c r="C1" s="11" t="s">
        <v>1024</v>
      </c>
      <c r="D1" s="11" t="s">
        <v>1025</v>
      </c>
      <c r="E1" s="11" t="s">
        <v>1026</v>
      </c>
      <c r="F1" s="11" t="s">
        <v>1027</v>
      </c>
      <c r="G1" s="11" t="s">
        <v>1028</v>
      </c>
      <c r="H1" s="11" t="s">
        <v>1029</v>
      </c>
      <c r="I1" s="11" t="s">
        <v>1030</v>
      </c>
      <c r="J1" s="11" t="s">
        <v>1031</v>
      </c>
      <c r="K1" s="11" t="s">
        <v>1032</v>
      </c>
      <c r="L1" s="11" t="s">
        <v>1033</v>
      </c>
      <c r="M1" s="11" t="s">
        <v>1034</v>
      </c>
      <c r="N1" s="11" t="s">
        <v>1035</v>
      </c>
    </row>
    <row r="2" spans="1:14" x14ac:dyDescent="0.25">
      <c r="A2" s="11" t="str">
        <f>RIGHT(data!C96,4)</f>
        <v>2022</v>
      </c>
      <c r="B2" s="224" t="str">
        <f>RIGHT(data!C97,3)</f>
        <v>164</v>
      </c>
      <c r="C2" s="11" t="str">
        <f>SUBSTITUTE(LEFT(data!C98,49),",","")</f>
        <v>EvergreenHealth Kirkland / King Country Public Ho</v>
      </c>
      <c r="D2" s="11" t="str">
        <f>LEFT(data!C99,49)</f>
        <v>12040 NE 128th Street</v>
      </c>
      <c r="E2" s="11" t="str">
        <f>RIGHT(data!C100,100)</f>
        <v>Kirkland</v>
      </c>
      <c r="F2" s="11" t="str">
        <f>RIGHT(data!C101,100)</f>
        <v>Washington</v>
      </c>
      <c r="G2" s="11" t="str">
        <f>RIGHT(data!C102,100)</f>
        <v>98034</v>
      </c>
      <c r="H2" s="11" t="str">
        <f>RIGHT(data!C103,100)</f>
        <v>King</v>
      </c>
      <c r="I2" s="11" t="str">
        <f>LEFT(data!C104,49)</f>
        <v>Jeff Tomlin, MD</v>
      </c>
      <c r="J2" s="11" t="str">
        <f>LEFT(data!C105,49)</f>
        <v>Tina Mycroft</v>
      </c>
      <c r="K2" s="11" t="str">
        <f>LEFT(data!C107,49)</f>
        <v>425-899-1000</v>
      </c>
      <c r="L2" s="11" t="str">
        <f>LEFT(data!C107,49)</f>
        <v>425-899-1000</v>
      </c>
      <c r="M2" s="11" t="str">
        <f>LEFT(data!C109,49)</f>
        <v>Justin Gertler</v>
      </c>
      <c r="N2" s="11" t="str">
        <f>LEFT(data!C110,49)</f>
        <v>jcgertler@evergreenhealthcare.org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36BAD-DDFB-48CB-9ED5-58176F29EBB7}">
  <sheetPr codeName="Sheet14"/>
  <dimension ref="A1:CF2"/>
  <sheetViews>
    <sheetView topLeftCell="BK1" workbookViewId="0">
      <selection activeCell="N34" sqref="N34"/>
    </sheetView>
  </sheetViews>
  <sheetFormatPr defaultColWidth="8.6640625" defaultRowHeight="15.75" x14ac:dyDescent="0.25"/>
  <cols>
    <col min="1" max="3" width="10.44140625" style="8" customWidth="1"/>
    <col min="4" max="4" width="10.5546875" style="8" bestFit="1" customWidth="1"/>
    <col min="5" max="5" width="9.6640625" style="8" bestFit="1" customWidth="1"/>
    <col min="6" max="6" width="9.5546875" style="8" bestFit="1" customWidth="1"/>
    <col min="7" max="7" width="10.5546875" style="8" bestFit="1" customWidth="1"/>
    <col min="8" max="8" width="8.6640625" style="8" bestFit="1" customWidth="1"/>
    <col min="9" max="9" width="10.5546875" style="8" bestFit="1" customWidth="1"/>
    <col min="10" max="10" width="9.6640625" style="8" bestFit="1" customWidth="1"/>
    <col min="11" max="11" width="10.5546875" style="8" bestFit="1" customWidth="1"/>
    <col min="12" max="12" width="9.5546875" style="8" bestFit="1" customWidth="1"/>
    <col min="13" max="13" width="26.44140625" style="8" bestFit="1" customWidth="1"/>
    <col min="14" max="14" width="21.109375" style="8" bestFit="1" customWidth="1"/>
    <col min="15" max="15" width="13" style="8" bestFit="1" customWidth="1"/>
    <col min="16" max="16" width="24.44140625" style="8" bestFit="1" customWidth="1"/>
    <col min="17" max="17" width="23.33203125" style="8" bestFit="1" customWidth="1"/>
    <col min="18" max="18" width="36.109375" style="8" bestFit="1" customWidth="1"/>
    <col min="19" max="19" width="19.44140625" style="8" bestFit="1" customWidth="1"/>
    <col min="20" max="20" width="9.77734375" style="8" bestFit="1" customWidth="1"/>
    <col min="21" max="22" width="10.5546875" style="8" bestFit="1" customWidth="1"/>
    <col min="23" max="24" width="9.5546875" style="8" bestFit="1" customWidth="1"/>
    <col min="25" max="25" width="10" style="8" bestFit="1" customWidth="1"/>
    <col min="26" max="27" width="11.5546875" style="8" bestFit="1" customWidth="1"/>
    <col min="28" max="28" width="10.5546875" style="8" bestFit="1" customWidth="1"/>
    <col min="29" max="29" width="11.5546875" style="8" bestFit="1" customWidth="1"/>
    <col min="30" max="30" width="10.5546875" style="8" bestFit="1" customWidth="1"/>
    <col min="31" max="31" width="9.33203125" style="8" bestFit="1" customWidth="1"/>
    <col min="32" max="32" width="9.5546875" style="8" bestFit="1" customWidth="1"/>
    <col min="33" max="33" width="8.21875" style="8" bestFit="1" customWidth="1"/>
    <col min="34" max="34" width="10.88671875" style="8" bestFit="1" customWidth="1"/>
    <col min="35" max="35" width="11.5546875" style="8" bestFit="1" customWidth="1"/>
    <col min="36" max="36" width="10.5546875" style="8" bestFit="1" customWidth="1"/>
    <col min="37" max="37" width="11.33203125" style="8" bestFit="1" customWidth="1"/>
    <col min="38" max="38" width="8.5546875" style="8" bestFit="1" customWidth="1"/>
    <col min="39" max="39" width="7.21875" style="8" bestFit="1" customWidth="1"/>
    <col min="40" max="40" width="9.77734375" style="8" bestFit="1" customWidth="1"/>
    <col min="41" max="41" width="9" style="8" bestFit="1" customWidth="1"/>
    <col min="42" max="42" width="7.21875" style="8" bestFit="1" customWidth="1"/>
    <col min="43" max="43" width="9.77734375" style="8" bestFit="1" customWidth="1"/>
    <col min="44" max="45" width="10.5546875" style="8" bestFit="1" customWidth="1"/>
    <col min="46" max="46" width="10" style="8" bestFit="1" customWidth="1"/>
    <col min="47" max="47" width="9.44140625" style="8" bestFit="1" customWidth="1"/>
    <col min="48" max="48" width="9.33203125" style="8" bestFit="1" customWidth="1"/>
    <col min="49" max="49" width="10.6640625" style="8" bestFit="1" customWidth="1"/>
    <col min="50" max="51" width="9.5546875" style="8" bestFit="1" customWidth="1"/>
    <col min="52" max="52" width="10.21875" style="8" bestFit="1" customWidth="1"/>
    <col min="53" max="54" width="11.5546875" style="8" bestFit="1" customWidth="1"/>
    <col min="55" max="55" width="10.88671875" style="8" bestFit="1" customWidth="1"/>
    <col min="56" max="57" width="10.5546875" style="8" bestFit="1" customWidth="1"/>
    <col min="58" max="58" width="9.5546875" style="8" bestFit="1" customWidth="1"/>
    <col min="59" max="59" width="9.88671875" style="8" bestFit="1" customWidth="1"/>
    <col min="60" max="60" width="9.6640625" style="8" bestFit="1" customWidth="1"/>
    <col min="61" max="61" width="11.109375" style="8" bestFit="1" customWidth="1"/>
    <col min="62" max="62" width="11.5546875" style="8" bestFit="1" customWidth="1"/>
    <col min="63" max="63" width="10.5546875" style="8" bestFit="1" customWidth="1"/>
    <col min="64" max="64" width="11.5546875" style="8" bestFit="1" customWidth="1"/>
    <col min="65" max="65" width="8.77734375" style="8" bestFit="1" customWidth="1"/>
    <col min="66" max="66" width="8.6640625" style="8" bestFit="1" customWidth="1"/>
    <col min="67" max="67" width="10" style="8" bestFit="1" customWidth="1"/>
    <col min="68" max="68" width="8.77734375" style="8" bestFit="1" customWidth="1"/>
    <col min="69" max="69" width="8.6640625" style="8" bestFit="1" customWidth="1"/>
    <col min="70" max="70" width="10" style="8" bestFit="1" customWidth="1"/>
    <col min="71" max="71" width="9" style="8" bestFit="1" customWidth="1"/>
    <col min="72" max="72" width="8.88671875" style="8" bestFit="1" customWidth="1"/>
    <col min="73" max="73" width="10.21875" style="8" bestFit="1" customWidth="1"/>
    <col min="74" max="75" width="11.5546875" style="8" bestFit="1" customWidth="1"/>
    <col min="76" max="76" width="8.21875" style="8" bestFit="1" customWidth="1"/>
    <col min="77" max="77" width="9" style="8" bestFit="1" customWidth="1"/>
    <col min="78" max="78" width="10.5546875" style="8" bestFit="1" customWidth="1"/>
    <col min="79" max="79" width="11.5546875" style="8" bestFit="1" customWidth="1"/>
    <col min="80" max="80" width="10.109375" style="8" bestFit="1" customWidth="1"/>
    <col min="81" max="82" width="21.44140625" style="8" bestFit="1" customWidth="1"/>
    <col min="83" max="83" width="7.6640625" style="8" bestFit="1" customWidth="1"/>
    <col min="84" max="84" width="9.5546875" style="8" bestFit="1" customWidth="1"/>
    <col min="85" max="86" width="8.6640625" style="8" customWidth="1"/>
    <col min="87" max="16384" width="8.6640625" style="8"/>
  </cols>
  <sheetData>
    <row r="1" spans="1:84" s="9" customFormat="1" ht="12.6" customHeight="1" x14ac:dyDescent="0.25">
      <c r="A1" s="9" t="s">
        <v>1036</v>
      </c>
      <c r="B1" s="15" t="s">
        <v>1037</v>
      </c>
      <c r="C1" s="9" t="s">
        <v>1038</v>
      </c>
      <c r="D1" s="9" t="s">
        <v>1039</v>
      </c>
      <c r="E1" s="9" t="s">
        <v>1040</v>
      </c>
      <c r="F1" s="9" t="s">
        <v>1041</v>
      </c>
      <c r="G1" s="9" t="s">
        <v>1042</v>
      </c>
      <c r="H1" s="9" t="s">
        <v>1043</v>
      </c>
      <c r="I1" s="9" t="s">
        <v>1044</v>
      </c>
      <c r="J1" s="9" t="s">
        <v>1045</v>
      </c>
      <c r="K1" s="9" t="s">
        <v>1046</v>
      </c>
      <c r="L1" s="9" t="s">
        <v>1047</v>
      </c>
      <c r="M1" s="9" t="s">
        <v>1048</v>
      </c>
      <c r="N1" s="9" t="s">
        <v>1049</v>
      </c>
      <c r="O1" s="9" t="s">
        <v>1050</v>
      </c>
      <c r="P1" s="9" t="s">
        <v>1051</v>
      </c>
      <c r="Q1" s="9" t="s">
        <v>1052</v>
      </c>
      <c r="R1" s="9" t="s">
        <v>1053</v>
      </c>
      <c r="S1" s="9" t="s">
        <v>1054</v>
      </c>
      <c r="T1" s="9" t="s">
        <v>1055</v>
      </c>
      <c r="U1" s="9" t="s">
        <v>1056</v>
      </c>
      <c r="V1" s="9" t="s">
        <v>1057</v>
      </c>
      <c r="W1" s="9" t="s">
        <v>1058</v>
      </c>
      <c r="X1" s="9" t="s">
        <v>1059</v>
      </c>
      <c r="Y1" s="9" t="s">
        <v>1060</v>
      </c>
      <c r="Z1" s="9" t="s">
        <v>1061</v>
      </c>
      <c r="AA1" s="9" t="s">
        <v>1062</v>
      </c>
      <c r="AB1" s="9" t="s">
        <v>1063</v>
      </c>
      <c r="AC1" s="9" t="s">
        <v>1064</v>
      </c>
      <c r="AD1" s="9" t="s">
        <v>1065</v>
      </c>
      <c r="AE1" s="9" t="s">
        <v>1066</v>
      </c>
      <c r="AF1" s="9" t="s">
        <v>1067</v>
      </c>
      <c r="AG1" s="9" t="s">
        <v>1068</v>
      </c>
      <c r="AH1" s="9" t="s">
        <v>1069</v>
      </c>
      <c r="AI1" s="9" t="s">
        <v>1070</v>
      </c>
      <c r="AJ1" s="9" t="s">
        <v>1071</v>
      </c>
      <c r="AK1" s="9" t="s">
        <v>1072</v>
      </c>
      <c r="AL1" s="9" t="s">
        <v>1073</v>
      </c>
      <c r="AM1" s="9" t="s">
        <v>1074</v>
      </c>
      <c r="AN1" s="9" t="s">
        <v>1075</v>
      </c>
      <c r="AO1" s="9" t="s">
        <v>1076</v>
      </c>
      <c r="AP1" s="9" t="s">
        <v>1077</v>
      </c>
      <c r="AQ1" s="9" t="s">
        <v>1078</v>
      </c>
      <c r="AR1" s="9" t="s">
        <v>1079</v>
      </c>
      <c r="AS1" s="9" t="s">
        <v>1080</v>
      </c>
      <c r="AT1" s="9" t="s">
        <v>1081</v>
      </c>
      <c r="AU1" s="9" t="s">
        <v>1082</v>
      </c>
      <c r="AV1" s="9" t="s">
        <v>1083</v>
      </c>
      <c r="AW1" s="9" t="s">
        <v>1084</v>
      </c>
      <c r="AX1" s="9" t="s">
        <v>1085</v>
      </c>
      <c r="AY1" s="9" t="s">
        <v>1086</v>
      </c>
      <c r="AZ1" s="9" t="s">
        <v>1087</v>
      </c>
      <c r="BA1" s="9" t="s">
        <v>1088</v>
      </c>
      <c r="BB1" s="9" t="s">
        <v>1089</v>
      </c>
      <c r="BC1" s="9" t="s">
        <v>1090</v>
      </c>
      <c r="BD1" s="9" t="s">
        <v>1091</v>
      </c>
      <c r="BE1" s="9" t="s">
        <v>1092</v>
      </c>
      <c r="BF1" s="9" t="s">
        <v>1093</v>
      </c>
      <c r="BG1" s="9" t="s">
        <v>1094</v>
      </c>
      <c r="BH1" s="9" t="s">
        <v>1095</v>
      </c>
      <c r="BI1" s="9" t="s">
        <v>1096</v>
      </c>
      <c r="BJ1" s="9" t="s">
        <v>1097</v>
      </c>
      <c r="BK1" s="9" t="s">
        <v>1098</v>
      </c>
      <c r="BL1" s="9" t="s">
        <v>1099</v>
      </c>
      <c r="BM1" s="9" t="s">
        <v>1100</v>
      </c>
      <c r="BN1" s="9" t="s">
        <v>1101</v>
      </c>
      <c r="BO1" s="9" t="s">
        <v>1102</v>
      </c>
      <c r="BP1" s="9" t="s">
        <v>1103</v>
      </c>
      <c r="BQ1" s="9" t="s">
        <v>1104</v>
      </c>
      <c r="BR1" s="9" t="s">
        <v>1105</v>
      </c>
      <c r="BS1" s="9" t="s">
        <v>1106</v>
      </c>
      <c r="BT1" s="9" t="s">
        <v>1107</v>
      </c>
      <c r="BU1" s="9" t="s">
        <v>1108</v>
      </c>
      <c r="BV1" s="9" t="s">
        <v>1109</v>
      </c>
      <c r="BW1" s="9" t="s">
        <v>1110</v>
      </c>
      <c r="BX1" s="9" t="s">
        <v>1111</v>
      </c>
      <c r="BY1" s="9" t="s">
        <v>1112</v>
      </c>
      <c r="BZ1" s="9" t="s">
        <v>1113</v>
      </c>
      <c r="CA1" s="9" t="s">
        <v>1114</v>
      </c>
      <c r="CB1" s="9" t="s">
        <v>1115</v>
      </c>
      <c r="CC1" s="9" t="s">
        <v>1116</v>
      </c>
      <c r="CD1" s="9" t="s">
        <v>1117</v>
      </c>
      <c r="CE1" s="9" t="s">
        <v>1118</v>
      </c>
      <c r="CF1" s="9" t="s">
        <v>1119</v>
      </c>
    </row>
    <row r="2" spans="1:84" s="182" customFormat="1" ht="12.6" customHeight="1" x14ac:dyDescent="0.25">
      <c r="A2" s="15" t="str">
        <f>RIGHT(data!C97,3)</f>
        <v>164</v>
      </c>
      <c r="B2" s="223" t="str">
        <f>RIGHT(data!C96,4)</f>
        <v>2022</v>
      </c>
      <c r="C2" s="15" t="s">
        <v>1120</v>
      </c>
      <c r="D2" s="222">
        <f>ROUND(data!C181,0)</f>
        <v>30570782</v>
      </c>
      <c r="E2" s="222">
        <f>ROUND(data!C182,0)</f>
        <v>275693</v>
      </c>
      <c r="F2" s="222">
        <f>ROUND(data!C183,0)</f>
        <v>3756315</v>
      </c>
      <c r="G2" s="222">
        <f>ROUND(data!C184,0)</f>
        <v>49357293</v>
      </c>
      <c r="H2" s="222">
        <f>ROUND(data!C185,0)</f>
        <v>238608</v>
      </c>
      <c r="I2" s="222">
        <f>ROUND(data!C186,0)</f>
        <v>22327180</v>
      </c>
      <c r="J2" s="222">
        <f>ROUND(data!C187+data!C188,0)</f>
        <v>505481</v>
      </c>
      <c r="K2" s="222">
        <f>ROUND(data!C191,0)</f>
        <v>4134904</v>
      </c>
      <c r="L2" s="222">
        <f>ROUND(data!C192,0)</f>
        <v>2067092</v>
      </c>
      <c r="M2" s="222">
        <f>ROUND(data!C195,0)</f>
        <v>1326450</v>
      </c>
      <c r="N2" s="222">
        <f>ROUND(data!C196,0)</f>
        <v>2128942</v>
      </c>
      <c r="O2" s="222">
        <f>ROUND(data!C199,0)</f>
        <v>486226</v>
      </c>
      <c r="P2" s="222">
        <f>ROUND(data!C200,0)</f>
        <v>8615470</v>
      </c>
      <c r="Q2" s="222">
        <f>ROUND(data!C201,0)</f>
        <v>0</v>
      </c>
      <c r="R2" s="222">
        <f>ROUND(data!C204,0)</f>
        <v>15301422</v>
      </c>
      <c r="S2" s="222">
        <f>ROUND(data!C205,0)</f>
        <v>0</v>
      </c>
      <c r="T2" s="222">
        <f>ROUND(data!B211,0)</f>
        <v>4913660</v>
      </c>
      <c r="U2" s="222">
        <f>ROUND(data!C211,0)</f>
        <v>0</v>
      </c>
      <c r="V2" s="222">
        <f>ROUND(data!D211,0)</f>
        <v>0</v>
      </c>
      <c r="W2" s="222">
        <f>ROUND(data!B212,0)</f>
        <v>13121106</v>
      </c>
      <c r="X2" s="222">
        <f>ROUND(data!C212,0)</f>
        <v>-29508</v>
      </c>
      <c r="Y2" s="222">
        <f>ROUND(data!D212,0)</f>
        <v>0</v>
      </c>
      <c r="Z2" s="222">
        <f>ROUND(data!B213,0)</f>
        <v>358326297</v>
      </c>
      <c r="AA2" s="222">
        <f>ROUND(data!C213,0)</f>
        <v>14550193</v>
      </c>
      <c r="AB2" s="222">
        <f>ROUND(data!D213,0)</f>
        <v>-13743</v>
      </c>
      <c r="AC2" s="222">
        <f>ROUND(data!B214,0)</f>
        <v>133768501</v>
      </c>
      <c r="AD2" s="222">
        <f>ROUND(data!C214,0)</f>
        <v>4709430</v>
      </c>
      <c r="AE2" s="222">
        <f>ROUND(data!D214,0)</f>
        <v>0</v>
      </c>
      <c r="AF2" s="222">
        <f>ROUND(data!B215,0)</f>
        <v>10601</v>
      </c>
      <c r="AG2" s="222">
        <f>ROUND(data!C215,0)</f>
        <v>-10601</v>
      </c>
      <c r="AH2" s="222">
        <f>ROUND(data!D215,0)</f>
        <v>0</v>
      </c>
      <c r="AI2" s="222">
        <f>ROUND(data!B216,0)</f>
        <v>289158126</v>
      </c>
      <c r="AJ2" s="222">
        <f>ROUND(data!C216,0)</f>
        <v>62355095</v>
      </c>
      <c r="AK2" s="222">
        <f>ROUND(data!D216,0)</f>
        <v>8233705</v>
      </c>
      <c r="AL2" s="222">
        <f>ROUND(data!B217,0)</f>
        <v>0</v>
      </c>
      <c r="AM2" s="222">
        <f>ROUND(data!C217,0)</f>
        <v>0</v>
      </c>
      <c r="AN2" s="222">
        <f>ROUND(data!D217,0)</f>
        <v>0</v>
      </c>
      <c r="AO2" s="222">
        <f>ROUND(data!B218,0)</f>
        <v>39855644</v>
      </c>
      <c r="AP2" s="222">
        <f>ROUND(data!C218,0)</f>
        <v>1362468</v>
      </c>
      <c r="AQ2" s="222">
        <f>ROUND(data!D218,0)</f>
        <v>0</v>
      </c>
      <c r="AR2" s="222">
        <f>ROUND(data!B219,0)</f>
        <v>33286256</v>
      </c>
      <c r="AS2" s="222">
        <f>ROUND(data!C219,0)</f>
        <v>71492833</v>
      </c>
      <c r="AT2" s="222">
        <f>ROUND(data!D219,0)</f>
        <v>94905895</v>
      </c>
      <c r="AU2" s="222">
        <v>0</v>
      </c>
      <c r="AV2" s="222">
        <v>0</v>
      </c>
      <c r="AW2" s="222">
        <v>0</v>
      </c>
      <c r="AX2" s="222">
        <f>ROUND(data!B225,0)</f>
        <v>11661059</v>
      </c>
      <c r="AY2" s="222">
        <f>ROUND(data!C225,0)</f>
        <v>307772</v>
      </c>
      <c r="AZ2" s="222">
        <f>ROUND(data!D225,0)</f>
        <v>0</v>
      </c>
      <c r="BA2" s="222">
        <f>ROUND(data!B226,0)</f>
        <v>193751009</v>
      </c>
      <c r="BB2" s="222">
        <f>ROUND(data!C226,0)</f>
        <v>4923261</v>
      </c>
      <c r="BC2" s="222">
        <f>ROUND(data!D226,0)</f>
        <v>-12435</v>
      </c>
      <c r="BD2" s="222">
        <f>ROUND(data!B227,0)</f>
        <v>100317998</v>
      </c>
      <c r="BE2" s="222">
        <f>ROUND(data!C227,0)</f>
        <v>3398738</v>
      </c>
      <c r="BF2" s="222">
        <f>ROUND(data!D227,0)</f>
        <v>0</v>
      </c>
      <c r="BG2" s="222">
        <f>ROUND(data!B228,0)</f>
        <v>9276</v>
      </c>
      <c r="BH2" s="222">
        <f>ROUND(data!C228,0)</f>
        <v>88</v>
      </c>
      <c r="BI2" s="222">
        <f>ROUND(data!D228,0)</f>
        <v>9364</v>
      </c>
      <c r="BJ2" s="222">
        <f>ROUND(data!B229,0)</f>
        <v>217975145</v>
      </c>
      <c r="BK2" s="222">
        <f>ROUND(data!C229,0)</f>
        <v>20305940</v>
      </c>
      <c r="BL2" s="222">
        <f>ROUND(data!D229,0)</f>
        <v>8177862</v>
      </c>
      <c r="BM2" s="222">
        <f>ROUND(data!B230,0)</f>
        <v>0</v>
      </c>
      <c r="BN2" s="222">
        <f>ROUND(data!C230,0)</f>
        <v>0</v>
      </c>
      <c r="BO2" s="222">
        <f>ROUND(data!D230,0)</f>
        <v>0</v>
      </c>
      <c r="BP2" s="222">
        <f>ROUND(data!B231,0)</f>
        <v>26283556</v>
      </c>
      <c r="BQ2" s="222">
        <f>ROUND(data!C231,0)</f>
        <v>2407939</v>
      </c>
      <c r="BR2" s="222">
        <f>ROUND(data!D231,0)</f>
        <v>0</v>
      </c>
      <c r="BS2" s="222">
        <f>ROUND(data!B232,0)</f>
        <v>0</v>
      </c>
      <c r="BT2" s="222">
        <f>ROUND(data!C232,0)</f>
        <v>0</v>
      </c>
      <c r="BU2" s="222">
        <f>ROUND(data!D232,0)</f>
        <v>0</v>
      </c>
      <c r="BV2" s="222">
        <f>ROUND(data!C239,0)</f>
        <v>701166906</v>
      </c>
      <c r="BW2" s="222">
        <f>ROUND(data!C240,0)</f>
        <v>146233985</v>
      </c>
      <c r="BX2" s="222">
        <f>ROUND(data!C241,0)</f>
        <v>10384128</v>
      </c>
      <c r="BY2" s="222">
        <f>ROUND(data!C242,0)</f>
        <v>13560161</v>
      </c>
      <c r="BZ2" s="222">
        <f>ROUND(data!C243,0)</f>
        <v>529162487</v>
      </c>
      <c r="CA2" s="222">
        <f>ROUND(data!C244,0)</f>
        <v>-326607</v>
      </c>
      <c r="CB2" s="222">
        <f>ROUND(data!C247,0)</f>
        <v>3117</v>
      </c>
      <c r="CC2" s="222">
        <f>ROUND(data!C249,0)</f>
        <v>3198411</v>
      </c>
      <c r="CD2" s="222">
        <f>ROUND(data!C250,0)</f>
        <v>4634098</v>
      </c>
      <c r="CE2" s="222">
        <f>ROUND(data!C254+data!C255,0)</f>
        <v>6546869</v>
      </c>
      <c r="CF2" s="222">
        <f>data!D237</f>
        <v>27655075</v>
      </c>
    </row>
  </sheetData>
  <sheetProtection algorithmName="SHA-512" hashValue="TB8O7iY4GYUW7dzGJyWMMJ88NXspZawizMdIsoBT3E71M8Y6NhpHf0l2dyDKnms46Et9TtMsysqBw4RsZsAkxQ==" saltValue="wvxX+J+hJpL6k9zqDFYx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8ECBB-FE68-4E89-A882-5853E4347B6E}">
  <sheetPr codeName="Sheet15"/>
  <dimension ref="A1:CI2"/>
  <sheetViews>
    <sheetView workbookViewId="0">
      <selection activeCell="N34" sqref="N34"/>
    </sheetView>
  </sheetViews>
  <sheetFormatPr defaultColWidth="8.6640625" defaultRowHeight="15.75" x14ac:dyDescent="0.25"/>
  <cols>
    <col min="1" max="69" width="13.5546875" style="8" customWidth="1"/>
    <col min="70" max="70" width="32.77734375" style="8" bestFit="1" customWidth="1"/>
    <col min="71" max="71" width="33" style="8" bestFit="1" customWidth="1"/>
    <col min="72" max="73" width="8.6640625" style="8" customWidth="1"/>
    <col min="74" max="16384" width="8.6640625" style="8"/>
  </cols>
  <sheetData>
    <row r="1" spans="1:87" s="9" customFormat="1" ht="12.6" customHeight="1" x14ac:dyDescent="0.25">
      <c r="A1" s="9" t="s">
        <v>1121</v>
      </c>
      <c r="B1" s="15" t="s">
        <v>1122</v>
      </c>
      <c r="C1" s="15" t="s">
        <v>1123</v>
      </c>
      <c r="D1" s="9" t="s">
        <v>1124</v>
      </c>
      <c r="E1" s="9" t="s">
        <v>1125</v>
      </c>
      <c r="F1" s="9" t="s">
        <v>1126</v>
      </c>
      <c r="G1" s="9" t="s">
        <v>1127</v>
      </c>
      <c r="H1" s="9" t="s">
        <v>1128</v>
      </c>
      <c r="I1" s="9" t="s">
        <v>1129</v>
      </c>
      <c r="J1" s="9" t="s">
        <v>1130</v>
      </c>
      <c r="K1" s="9" t="s">
        <v>1131</v>
      </c>
      <c r="L1" s="9" t="s">
        <v>1132</v>
      </c>
      <c r="M1" s="9" t="s">
        <v>1133</v>
      </c>
      <c r="N1" s="9" t="s">
        <v>1134</v>
      </c>
      <c r="O1" s="9" t="s">
        <v>1135</v>
      </c>
      <c r="P1" s="9" t="s">
        <v>1136</v>
      </c>
      <c r="Q1" s="9" t="s">
        <v>1137</v>
      </c>
      <c r="R1" s="9" t="s">
        <v>1138</v>
      </c>
      <c r="S1" s="9" t="s">
        <v>1139</v>
      </c>
      <c r="T1" s="9" t="s">
        <v>1140</v>
      </c>
      <c r="U1" s="9" t="s">
        <v>1141</v>
      </c>
      <c r="V1" s="9" t="s">
        <v>1142</v>
      </c>
      <c r="W1" s="9" t="s">
        <v>1143</v>
      </c>
      <c r="X1" s="9" t="s">
        <v>1144</v>
      </c>
      <c r="Y1" s="9" t="s">
        <v>1145</v>
      </c>
      <c r="Z1" s="9" t="s">
        <v>1146</v>
      </c>
      <c r="AA1" s="9" t="s">
        <v>1147</v>
      </c>
      <c r="AB1" s="9" t="s">
        <v>1148</v>
      </c>
      <c r="AC1" s="9" t="s">
        <v>1149</v>
      </c>
      <c r="AD1" s="9" t="s">
        <v>1150</v>
      </c>
      <c r="AE1" s="9" t="s">
        <v>1151</v>
      </c>
      <c r="AF1" s="9" t="s">
        <v>1152</v>
      </c>
      <c r="AG1" s="9" t="s">
        <v>1153</v>
      </c>
      <c r="AH1" s="9" t="s">
        <v>1154</v>
      </c>
      <c r="AI1" s="9" t="s">
        <v>1155</v>
      </c>
      <c r="AJ1" s="9" t="s">
        <v>1156</v>
      </c>
      <c r="AK1" s="9" t="s">
        <v>1157</v>
      </c>
      <c r="AL1" s="9" t="s">
        <v>1158</v>
      </c>
      <c r="AM1" s="9" t="s">
        <v>1159</v>
      </c>
      <c r="AN1" s="9" t="s">
        <v>1160</v>
      </c>
      <c r="AO1" s="9" t="s">
        <v>1161</v>
      </c>
      <c r="AP1" s="9" t="s">
        <v>1162</v>
      </c>
      <c r="AQ1" s="9" t="s">
        <v>1163</v>
      </c>
      <c r="AR1" s="9" t="s">
        <v>1164</v>
      </c>
      <c r="AS1" s="9" t="s">
        <v>1165</v>
      </c>
      <c r="AT1" s="9" t="s">
        <v>1166</v>
      </c>
      <c r="AU1" s="9" t="s">
        <v>1167</v>
      </c>
      <c r="AV1" s="9" t="s">
        <v>1168</v>
      </c>
      <c r="AW1" s="9" t="s">
        <v>1169</v>
      </c>
      <c r="AX1" s="9" t="s">
        <v>1170</v>
      </c>
      <c r="AY1" s="9" t="s">
        <v>1171</v>
      </c>
      <c r="AZ1" s="9" t="s">
        <v>1172</v>
      </c>
      <c r="BA1" s="9" t="s">
        <v>1173</v>
      </c>
      <c r="BB1" s="9" t="s">
        <v>1174</v>
      </c>
      <c r="BC1" s="9" t="s">
        <v>1175</v>
      </c>
      <c r="BD1" s="9" t="s">
        <v>1176</v>
      </c>
      <c r="BE1" s="9" t="s">
        <v>1177</v>
      </c>
      <c r="BF1" s="9" t="s">
        <v>1178</v>
      </c>
      <c r="BG1" s="9" t="s">
        <v>1179</v>
      </c>
      <c r="BH1" s="9" t="s">
        <v>1180</v>
      </c>
      <c r="BI1" s="9" t="s">
        <v>1181</v>
      </c>
      <c r="BJ1" s="9" t="s">
        <v>1182</v>
      </c>
      <c r="BK1" s="9" t="s">
        <v>1183</v>
      </c>
      <c r="BL1" s="9" t="s">
        <v>1184</v>
      </c>
      <c r="BM1" s="9" t="s">
        <v>1185</v>
      </c>
      <c r="BN1" s="9" t="s">
        <v>1186</v>
      </c>
      <c r="BO1" s="9" t="s">
        <v>1187</v>
      </c>
      <c r="BP1" s="9" t="s">
        <v>1188</v>
      </c>
      <c r="BQ1" s="9" t="s">
        <v>1189</v>
      </c>
      <c r="BR1" s="9" t="s">
        <v>1190</v>
      </c>
      <c r="BS1" s="9" t="s">
        <v>1191</v>
      </c>
    </row>
    <row r="2" spans="1:87" s="182" customFormat="1" ht="12.6" customHeight="1" x14ac:dyDescent="0.25">
      <c r="A2" s="15" t="str">
        <f>RIGHT(data!C97,3)</f>
        <v>164</v>
      </c>
      <c r="B2" s="15" t="str">
        <f>RIGHT(data!C96,4)</f>
        <v>2022</v>
      </c>
      <c r="C2" s="15" t="s">
        <v>1120</v>
      </c>
      <c r="D2" s="221">
        <f>ROUND(data!C127,0)</f>
        <v>15400</v>
      </c>
      <c r="E2" s="221">
        <f>ROUND(data!C128,0)</f>
        <v>0</v>
      </c>
      <c r="F2" s="221">
        <f>ROUND(data!C129,0)</f>
        <v>0</v>
      </c>
      <c r="G2" s="221">
        <f>ROUND(data!C130,0)</f>
        <v>4583</v>
      </c>
      <c r="H2" s="221">
        <f>ROUND(data!D127,0)</f>
        <v>73661</v>
      </c>
      <c r="I2" s="221">
        <f>ROUND(data!D128,0)</f>
        <v>0</v>
      </c>
      <c r="J2" s="221">
        <f>ROUND(data!D129,0)</f>
        <v>0</v>
      </c>
      <c r="K2" s="221">
        <f>ROUND(data!D130,0)</f>
        <v>6362</v>
      </c>
      <c r="L2" s="221">
        <f>ROUND(data!C132,0)</f>
        <v>20</v>
      </c>
      <c r="M2" s="221">
        <f>ROUND(data!C133,0)</f>
        <v>31</v>
      </c>
      <c r="N2" s="221">
        <f>ROUND(data!C134,0)</f>
        <v>209</v>
      </c>
      <c r="O2" s="221">
        <f>ROUND(data!C135,0)</f>
        <v>1</v>
      </c>
      <c r="P2" s="221">
        <f>ROUND(data!C136,0)</f>
        <v>36</v>
      </c>
      <c r="Q2" s="221">
        <f>ROUND(data!C137,0)</f>
        <v>14</v>
      </c>
      <c r="R2" s="221">
        <f>ROUND(data!C138,0)</f>
        <v>0</v>
      </c>
      <c r="S2" s="221">
        <f>ROUND(data!C139,0)</f>
        <v>0</v>
      </c>
      <c r="T2" s="221">
        <f>ROUND(data!C140,0)</f>
        <v>0</v>
      </c>
      <c r="U2" s="221">
        <f>ROUND(data!C141,0)</f>
        <v>0</v>
      </c>
      <c r="V2" s="221">
        <f>ROUND(data!C142,0)</f>
        <v>43</v>
      </c>
      <c r="W2" s="221">
        <f>ROUND(data!C144,0)</f>
        <v>318</v>
      </c>
      <c r="X2" s="221">
        <f>ROUND(data!C145,0)</f>
        <v>0</v>
      </c>
      <c r="Y2" s="221">
        <f>ROUND(data!B154,0)</f>
        <v>5870</v>
      </c>
      <c r="Z2" s="221">
        <f>ROUND(data!B155,0)</f>
        <v>42239</v>
      </c>
      <c r="AA2" s="221">
        <f>ROUND(data!B156,0)</f>
        <v>0</v>
      </c>
      <c r="AB2" s="221">
        <f>ROUND(data!B157,0)</f>
        <v>465234431</v>
      </c>
      <c r="AC2" s="221">
        <f>ROUND(data!B158,0)</f>
        <v>509720552</v>
      </c>
      <c r="AD2" s="221">
        <f>ROUND(data!C154,0)</f>
        <v>2235</v>
      </c>
      <c r="AE2" s="221">
        <f>ROUND(data!C155,0)</f>
        <v>11220</v>
      </c>
      <c r="AF2" s="221">
        <f>ROUND(data!C156,0)</f>
        <v>0</v>
      </c>
      <c r="AG2" s="221">
        <f>ROUND(data!C157,0)</f>
        <v>114671148</v>
      </c>
      <c r="AH2" s="221">
        <f>ROUND(data!C158,0)</f>
        <v>109263614</v>
      </c>
      <c r="AI2" s="221">
        <f>ROUND(data!D154,0)</f>
        <v>7295</v>
      </c>
      <c r="AJ2" s="221">
        <f>ROUND(data!D155,0)</f>
        <v>20202</v>
      </c>
      <c r="AK2" s="221">
        <f>ROUND(data!D156,0)</f>
        <v>0</v>
      </c>
      <c r="AL2" s="221">
        <f>ROUND(data!D157,0)</f>
        <v>331337608</v>
      </c>
      <c r="AM2" s="221">
        <f>ROUND(data!D158,0)</f>
        <v>701293360</v>
      </c>
      <c r="AN2" s="221">
        <f>ROUND(data!B160,0)</f>
        <v>0</v>
      </c>
      <c r="AO2" s="221">
        <f>ROUND(data!B161,0)</f>
        <v>0</v>
      </c>
      <c r="AP2" s="221">
        <f>ROUND(data!B162,0)</f>
        <v>0</v>
      </c>
      <c r="AQ2" s="221">
        <f>ROUND(data!B163,0)</f>
        <v>0</v>
      </c>
      <c r="AR2" s="221">
        <f>ROUND(data!B164,0)</f>
        <v>0</v>
      </c>
      <c r="AS2" s="221">
        <f>ROUND(data!C160,0)</f>
        <v>0</v>
      </c>
      <c r="AT2" s="221">
        <f>ROUND(data!C161,0)</f>
        <v>0</v>
      </c>
      <c r="AU2" s="221">
        <f>ROUND(data!C162,0)</f>
        <v>0</v>
      </c>
      <c r="AV2" s="221">
        <f>ROUND(data!C163,0)</f>
        <v>0</v>
      </c>
      <c r="AW2" s="221">
        <f>ROUND(data!C164,0)</f>
        <v>0</v>
      </c>
      <c r="AX2" s="221">
        <f>ROUND(data!D160,0)</f>
        <v>0</v>
      </c>
      <c r="AY2" s="221">
        <f>ROUND(data!D161,0)</f>
        <v>0</v>
      </c>
      <c r="AZ2" s="221">
        <f>ROUND(data!D162,0)</f>
        <v>0</v>
      </c>
      <c r="BA2" s="221">
        <f>ROUND(data!D163,0)</f>
        <v>0</v>
      </c>
      <c r="BB2" s="221">
        <f>ROUND(data!D164,0)</f>
        <v>0</v>
      </c>
      <c r="BC2" s="221">
        <f>ROUND(data!B166,0)</f>
        <v>0</v>
      </c>
      <c r="BD2" s="221">
        <f>ROUND(data!B167,0)</f>
        <v>0</v>
      </c>
      <c r="BE2" s="221">
        <f>ROUND(data!B168,0)</f>
        <v>0</v>
      </c>
      <c r="BF2" s="221">
        <f>ROUND(data!B169,0)</f>
        <v>0</v>
      </c>
      <c r="BG2" s="221">
        <f>ROUND(data!B170,0)</f>
        <v>0</v>
      </c>
      <c r="BH2" s="221">
        <f>ROUND(data!C166,0)</f>
        <v>0</v>
      </c>
      <c r="BI2" s="221">
        <f>ROUND(data!C167,0)</f>
        <v>0</v>
      </c>
      <c r="BJ2" s="221">
        <f>ROUND(data!C168,0)</f>
        <v>0</v>
      </c>
      <c r="BK2" s="221">
        <f>ROUND(data!C169,0)</f>
        <v>0</v>
      </c>
      <c r="BL2" s="221">
        <f>ROUND(data!C170,0)</f>
        <v>0</v>
      </c>
      <c r="BM2" s="221">
        <f>ROUND(data!D166,0)</f>
        <v>0</v>
      </c>
      <c r="BN2" s="221">
        <f>ROUND(data!D167,0)</f>
        <v>0</v>
      </c>
      <c r="BO2" s="221">
        <f>ROUND(data!D168,0)</f>
        <v>0</v>
      </c>
      <c r="BP2" s="221">
        <f>ROUND(data!D169,0)</f>
        <v>0</v>
      </c>
      <c r="BQ2" s="221">
        <f>ROUND(data!D170,0)</f>
        <v>0</v>
      </c>
      <c r="BR2" s="221">
        <f>ROUND(data!B173,0)</f>
        <v>8244324</v>
      </c>
      <c r="BS2" s="221">
        <f>ROUND(data!C173,0)</f>
        <v>19111557</v>
      </c>
      <c r="BW2" s="65"/>
      <c r="BX2" s="65"/>
      <c r="BY2" s="65"/>
      <c r="BZ2" s="65"/>
      <c r="CA2" s="65"/>
      <c r="CB2" s="65"/>
      <c r="CC2" s="65"/>
      <c r="CD2" s="65"/>
      <c r="CE2" s="65"/>
      <c r="CF2" s="65"/>
      <c r="CG2" s="65"/>
      <c r="CH2" s="65"/>
      <c r="CI2" s="65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60262-47DE-43C5-9882-A0BA8FFDD40C}">
  <sheetPr codeName="Sheet16"/>
  <dimension ref="A1:DH2"/>
  <sheetViews>
    <sheetView topLeftCell="CF1" workbookViewId="0">
      <selection activeCell="N34" sqref="N34"/>
    </sheetView>
  </sheetViews>
  <sheetFormatPr defaultColWidth="8.6640625" defaultRowHeight="15.75" x14ac:dyDescent="0.25"/>
  <cols>
    <col min="1" max="1" width="13.44140625" style="8" bestFit="1" customWidth="1"/>
    <col min="2" max="2" width="5.21875" style="8" bestFit="1" customWidth="1"/>
    <col min="3" max="4" width="10.5546875" style="8" bestFit="1" customWidth="1"/>
    <col min="5" max="5" width="6.5546875" style="8" bestFit="1" customWidth="1"/>
    <col min="6" max="7" width="10.5546875" style="8" bestFit="1" customWidth="1"/>
    <col min="8" max="8" width="8.88671875" style="8" bestFit="1" customWidth="1"/>
    <col min="9" max="9" width="9.77734375" style="8" bestFit="1" customWidth="1"/>
    <col min="10" max="10" width="7.5546875" style="8" bestFit="1" customWidth="1"/>
    <col min="11" max="13" width="9.5546875" style="8" bestFit="1" customWidth="1"/>
    <col min="14" max="14" width="10.5546875" style="8" bestFit="1" customWidth="1"/>
    <col min="15" max="15" width="8.77734375" style="8" bestFit="1" customWidth="1"/>
    <col min="16" max="16" width="8.88671875" style="8" bestFit="1" customWidth="1"/>
    <col min="17" max="17" width="9.77734375" style="8" bestFit="1" customWidth="1"/>
    <col min="18" max="18" width="9.5546875" style="8" bestFit="1" customWidth="1"/>
    <col min="19" max="20" width="10.5546875" style="8" bestFit="1" customWidth="1"/>
    <col min="21" max="21" width="9.88671875" style="8" bestFit="1" customWidth="1"/>
    <col min="22" max="22" width="10.5546875" style="8" bestFit="1" customWidth="1"/>
    <col min="23" max="23" width="9.5546875" style="8" bestFit="1" customWidth="1"/>
    <col min="24" max="25" width="9.88671875" style="8" bestFit="1" customWidth="1"/>
    <col min="26" max="26" width="11.88671875" style="8" bestFit="1" customWidth="1"/>
    <col min="27" max="27" width="9.5546875" style="8" bestFit="1" customWidth="1"/>
    <col min="28" max="28" width="8.88671875" style="8" bestFit="1" customWidth="1"/>
    <col min="29" max="30" width="10.5546875" style="8" bestFit="1" customWidth="1"/>
    <col min="31" max="31" width="8.21875" style="8" bestFit="1" customWidth="1"/>
    <col min="32" max="32" width="8.77734375" style="8" bestFit="1" customWidth="1"/>
    <col min="33" max="33" width="10.5546875" style="8" bestFit="1" customWidth="1"/>
    <col min="34" max="34" width="8.21875" style="8" bestFit="1" customWidth="1"/>
    <col min="35" max="35" width="7.21875" style="8" bestFit="1" customWidth="1"/>
    <col min="36" max="37" width="9.5546875" style="8" bestFit="1" customWidth="1"/>
    <col min="38" max="38" width="8.6640625" style="8" bestFit="1" customWidth="1"/>
    <col min="39" max="39" width="10.5546875" style="8" bestFit="1" customWidth="1"/>
    <col min="40" max="40" width="9.5546875" style="8" bestFit="1" customWidth="1"/>
    <col min="41" max="41" width="7.5546875" style="8" bestFit="1" customWidth="1"/>
    <col min="42" max="42" width="6.5546875" style="8" bestFit="1" customWidth="1"/>
    <col min="43" max="44" width="9.5546875" style="8" bestFit="1" customWidth="1"/>
    <col min="45" max="45" width="6.77734375" style="8" bestFit="1" customWidth="1"/>
    <col min="46" max="46" width="7.77734375" style="8" bestFit="1" customWidth="1"/>
    <col min="47" max="47" width="10.5546875" style="8" bestFit="1" customWidth="1"/>
    <col min="48" max="48" width="8.44140625" style="8" bestFit="1" customWidth="1"/>
    <col min="49" max="49" width="8.5546875" style="8" bestFit="1" customWidth="1"/>
    <col min="50" max="50" width="8.21875" style="8" bestFit="1" customWidth="1"/>
    <col min="51" max="52" width="9.5546875" style="8" bestFit="1" customWidth="1"/>
    <col min="53" max="53" width="10.5546875" style="8" bestFit="1" customWidth="1"/>
    <col min="54" max="54" width="8.21875" style="8" bestFit="1" customWidth="1"/>
    <col min="55" max="57" width="10.5546875" style="8" bestFit="1" customWidth="1"/>
    <col min="58" max="59" width="7.5546875" style="8" bestFit="1" customWidth="1"/>
    <col min="60" max="60" width="8.5546875" style="8" bestFit="1" customWidth="1"/>
    <col min="61" max="61" width="7.5546875" style="8" bestFit="1" customWidth="1"/>
    <col min="62" max="62" width="7.44140625" style="8" bestFit="1" customWidth="1"/>
    <col min="63" max="63" width="11.88671875" style="8" customWidth="1"/>
    <col min="64" max="66" width="11.88671875" style="8" bestFit="1" customWidth="1"/>
    <col min="67" max="67" width="9.5546875" style="8" bestFit="1" customWidth="1"/>
    <col min="68" max="68" width="7.5546875" style="8" bestFit="1" customWidth="1"/>
    <col min="69" max="70" width="10.5546875" style="8" bestFit="1" customWidth="1"/>
    <col min="71" max="71" width="9.44140625" style="8" bestFit="1" customWidth="1"/>
    <col min="72" max="73" width="9.88671875" style="8" bestFit="1" customWidth="1"/>
    <col min="74" max="74" width="10.5546875" style="8" bestFit="1" customWidth="1"/>
    <col min="75" max="75" width="9.21875" style="8" bestFit="1" customWidth="1"/>
    <col min="76" max="76" width="9.88671875" style="8" bestFit="1" customWidth="1"/>
    <col min="77" max="77" width="10.21875" style="8" bestFit="1" customWidth="1"/>
    <col min="78" max="78" width="9.77734375" style="8" bestFit="1" customWidth="1"/>
    <col min="79" max="80" width="10.5546875" style="8" bestFit="1" customWidth="1"/>
    <col min="81" max="81" width="8.6640625" style="8" bestFit="1" customWidth="1"/>
    <col min="82" max="85" width="10.5546875" style="8" bestFit="1" customWidth="1"/>
    <col min="86" max="86" width="9" style="8" bestFit="1" customWidth="1"/>
    <col min="87" max="87" width="10.5546875" style="8" bestFit="1" customWidth="1"/>
    <col min="88" max="89" width="9.5546875" style="8" bestFit="1" customWidth="1"/>
    <col min="90" max="90" width="8.6640625" style="8" bestFit="1" customWidth="1"/>
    <col min="91" max="91" width="9" style="8" bestFit="1" customWidth="1"/>
    <col min="92" max="92" width="9.5546875" style="8" bestFit="1" customWidth="1"/>
    <col min="93" max="93" width="9" style="8" bestFit="1" customWidth="1"/>
    <col min="94" max="95" width="8.6640625" style="8" bestFit="1" customWidth="1"/>
    <col min="96" max="96" width="6.6640625" style="8" bestFit="1" customWidth="1"/>
    <col min="97" max="97" width="5.88671875" style="8" bestFit="1" customWidth="1"/>
    <col min="98" max="98" width="6.5546875" style="8" bestFit="1" customWidth="1"/>
    <col min="99" max="100" width="7.44140625" style="8" bestFit="1" customWidth="1"/>
    <col min="101" max="101" width="6.88671875" style="8" bestFit="1" customWidth="1"/>
    <col min="102" max="106" width="7.44140625" style="8" bestFit="1" customWidth="1"/>
    <col min="107" max="108" width="7.5546875" style="8" bestFit="1" customWidth="1"/>
    <col min="109" max="109" width="10.5546875" style="11" bestFit="1" customWidth="1"/>
    <col min="110" max="110" width="11.44140625" style="8" bestFit="1" customWidth="1"/>
    <col min="111" max="111" width="7.44140625" style="8" bestFit="1" customWidth="1"/>
    <col min="112" max="112" width="6.44140625" style="8" customWidth="1"/>
    <col min="113" max="114" width="8.6640625" style="8" customWidth="1"/>
    <col min="115" max="16384" width="8.6640625" style="8"/>
  </cols>
  <sheetData>
    <row r="1" spans="1:112" s="9" customFormat="1" ht="12.75" customHeight="1" x14ac:dyDescent="0.25">
      <c r="A1" s="9" t="s">
        <v>1192</v>
      </c>
      <c r="B1" s="15" t="s">
        <v>1193</v>
      </c>
      <c r="C1" s="15" t="s">
        <v>1194</v>
      </c>
      <c r="D1" s="9" t="s">
        <v>1195</v>
      </c>
      <c r="E1" s="9" t="s">
        <v>1196</v>
      </c>
      <c r="F1" s="9" t="s">
        <v>1197</v>
      </c>
      <c r="G1" s="9" t="s">
        <v>1198</v>
      </c>
      <c r="H1" s="9" t="s">
        <v>1199</v>
      </c>
      <c r="I1" s="9" t="s">
        <v>1200</v>
      </c>
      <c r="J1" s="9" t="s">
        <v>1201</v>
      </c>
      <c r="K1" s="9" t="s">
        <v>1202</v>
      </c>
      <c r="L1" s="9" t="s">
        <v>1203</v>
      </c>
      <c r="M1" s="9" t="s">
        <v>1204</v>
      </c>
      <c r="N1" s="9" t="s">
        <v>1205</v>
      </c>
      <c r="O1" s="9" t="s">
        <v>1206</v>
      </c>
      <c r="P1" s="9" t="s">
        <v>1207</v>
      </c>
      <c r="Q1" s="9" t="s">
        <v>1208</v>
      </c>
      <c r="R1" s="9" t="s">
        <v>1209</v>
      </c>
      <c r="S1" s="9" t="s">
        <v>1210</v>
      </c>
      <c r="T1" s="9" t="s">
        <v>1211</v>
      </c>
      <c r="U1" s="9" t="s">
        <v>1212</v>
      </c>
      <c r="V1" s="9" t="s">
        <v>1213</v>
      </c>
      <c r="W1" s="9" t="s">
        <v>1214</v>
      </c>
      <c r="X1" s="9" t="s">
        <v>1215</v>
      </c>
      <c r="Y1" s="9" t="s">
        <v>1216</v>
      </c>
      <c r="Z1" s="9" t="s">
        <v>1217</v>
      </c>
      <c r="AA1" s="9" t="s">
        <v>1218</v>
      </c>
      <c r="AB1" s="9" t="s">
        <v>1219</v>
      </c>
      <c r="AC1" s="9" t="s">
        <v>1220</v>
      </c>
      <c r="AD1" s="9" t="s">
        <v>1221</v>
      </c>
      <c r="AE1" s="9" t="s">
        <v>1222</v>
      </c>
      <c r="AF1" s="9" t="s">
        <v>1223</v>
      </c>
      <c r="AG1" s="9" t="s">
        <v>1224</v>
      </c>
      <c r="AH1" s="9" t="s">
        <v>1225</v>
      </c>
      <c r="AI1" s="9" t="s">
        <v>1226</v>
      </c>
      <c r="AJ1" s="9" t="s">
        <v>1227</v>
      </c>
      <c r="AK1" s="9" t="s">
        <v>1228</v>
      </c>
      <c r="AL1" s="9" t="s">
        <v>1229</v>
      </c>
      <c r="AM1" s="9" t="s">
        <v>1230</v>
      </c>
      <c r="AN1" s="9" t="s">
        <v>1231</v>
      </c>
      <c r="AO1" s="9" t="s">
        <v>1232</v>
      </c>
      <c r="AP1" s="9" t="s">
        <v>1233</v>
      </c>
      <c r="AQ1" s="9" t="s">
        <v>1234</v>
      </c>
      <c r="AR1" s="9" t="s">
        <v>1235</v>
      </c>
      <c r="AS1" s="9" t="s">
        <v>1236</v>
      </c>
      <c r="AT1" s="9" t="s">
        <v>1237</v>
      </c>
      <c r="AU1" s="9" t="s">
        <v>1238</v>
      </c>
      <c r="AV1" s="9" t="s">
        <v>1239</v>
      </c>
      <c r="AW1" s="9" t="s">
        <v>1240</v>
      </c>
      <c r="AX1" s="9" t="s">
        <v>1241</v>
      </c>
      <c r="AY1" s="9" t="s">
        <v>1242</v>
      </c>
      <c r="AZ1" s="9" t="s">
        <v>1243</v>
      </c>
      <c r="BA1" s="9" t="s">
        <v>1244</v>
      </c>
      <c r="BB1" s="9" t="s">
        <v>1245</v>
      </c>
      <c r="BC1" s="9" t="s">
        <v>1246</v>
      </c>
      <c r="BD1" s="9" t="s">
        <v>1247</v>
      </c>
      <c r="BE1" s="9" t="s">
        <v>1248</v>
      </c>
      <c r="BF1" s="9" t="s">
        <v>1249</v>
      </c>
      <c r="BG1" s="9" t="s">
        <v>1250</v>
      </c>
      <c r="BH1" s="9" t="s">
        <v>1251</v>
      </c>
      <c r="BI1" s="9" t="s">
        <v>1252</v>
      </c>
      <c r="BJ1" s="9" t="s">
        <v>1253</v>
      </c>
      <c r="BK1" s="9" t="s">
        <v>1254</v>
      </c>
      <c r="BL1" s="9" t="s">
        <v>1255</v>
      </c>
      <c r="BM1" s="9" t="s">
        <v>1256</v>
      </c>
      <c r="BN1" s="9" t="s">
        <v>1257</v>
      </c>
      <c r="BO1" s="9" t="s">
        <v>1258</v>
      </c>
      <c r="BP1" s="9" t="s">
        <v>1259</v>
      </c>
      <c r="BQ1" s="9" t="s">
        <v>1260</v>
      </c>
      <c r="BR1" s="9" t="s">
        <v>1261</v>
      </c>
      <c r="BS1" s="9" t="s">
        <v>1262</v>
      </c>
      <c r="BT1" s="9" t="s">
        <v>1263</v>
      </c>
      <c r="BU1" s="9" t="s">
        <v>1264</v>
      </c>
      <c r="BV1" s="9" t="s">
        <v>1265</v>
      </c>
      <c r="BW1" s="9" t="s">
        <v>1266</v>
      </c>
      <c r="BX1" s="9" t="s">
        <v>1267</v>
      </c>
      <c r="BY1" s="9" t="s">
        <v>1268</v>
      </c>
      <c r="BZ1" s="9" t="s">
        <v>1269</v>
      </c>
      <c r="CA1" s="9" t="s">
        <v>1270</v>
      </c>
      <c r="CB1" s="9" t="s">
        <v>1271</v>
      </c>
      <c r="CC1" s="9" t="s">
        <v>1272</v>
      </c>
      <c r="CD1" s="9" t="s">
        <v>1273</v>
      </c>
      <c r="CE1" s="9" t="s">
        <v>1274</v>
      </c>
      <c r="CF1" s="9" t="s">
        <v>1275</v>
      </c>
      <c r="CG1" s="9" t="s">
        <v>1276</v>
      </c>
      <c r="CH1" s="9" t="s">
        <v>1277</v>
      </c>
      <c r="CI1" s="9" t="s">
        <v>1278</v>
      </c>
      <c r="CJ1" s="9" t="s">
        <v>1279</v>
      </c>
      <c r="CK1" s="9" t="s">
        <v>1280</v>
      </c>
      <c r="CL1" s="9" t="s">
        <v>1281</v>
      </c>
      <c r="CM1" s="9" t="s">
        <v>1282</v>
      </c>
      <c r="CN1" s="9" t="s">
        <v>1283</v>
      </c>
      <c r="CO1" s="9" t="s">
        <v>1284</v>
      </c>
      <c r="CP1" s="9" t="s">
        <v>1285</v>
      </c>
      <c r="CQ1" s="210" t="s">
        <v>1286</v>
      </c>
      <c r="CR1" s="210" t="s">
        <v>1287</v>
      </c>
      <c r="CS1" s="210" t="s">
        <v>1288</v>
      </c>
      <c r="CT1" s="210" t="s">
        <v>1289</v>
      </c>
      <c r="CU1" s="210" t="s">
        <v>1290</v>
      </c>
      <c r="CV1" s="210" t="s">
        <v>1291</v>
      </c>
      <c r="CW1" s="210" t="s">
        <v>1292</v>
      </c>
      <c r="CX1" s="210" t="s">
        <v>1293</v>
      </c>
      <c r="CY1" s="210" t="s">
        <v>1294</v>
      </c>
      <c r="CZ1" s="210" t="s">
        <v>1295</v>
      </c>
      <c r="DA1" s="210" t="s">
        <v>1296</v>
      </c>
      <c r="DB1" s="210" t="s">
        <v>1297</v>
      </c>
      <c r="DC1" s="210" t="s">
        <v>1298</v>
      </c>
      <c r="DD1" s="210" t="s">
        <v>1299</v>
      </c>
      <c r="DE1" s="9" t="s">
        <v>1300</v>
      </c>
      <c r="DF1" s="9" t="s">
        <v>1301</v>
      </c>
      <c r="DG1" s="9" t="s">
        <v>1302</v>
      </c>
      <c r="DH1" s="9" t="s">
        <v>1303</v>
      </c>
    </row>
    <row r="2" spans="1:112" s="182" customFormat="1" ht="12.6" customHeight="1" x14ac:dyDescent="0.25">
      <c r="A2" s="222" t="str">
        <f>RIGHT(data!C97,3)</f>
        <v>164</v>
      </c>
      <c r="B2" s="223" t="str">
        <f>RIGHT(data!C96,4)</f>
        <v>2022</v>
      </c>
      <c r="C2" s="15" t="s">
        <v>1120</v>
      </c>
      <c r="D2" s="221">
        <f>ROUND(data!C266,0)</f>
        <v>59659988</v>
      </c>
      <c r="E2" s="221">
        <f>ROUND(data!C267,0)</f>
        <v>0</v>
      </c>
      <c r="F2" s="221">
        <f>ROUND(data!C268,0)</f>
        <v>475450756</v>
      </c>
      <c r="G2" s="221">
        <f>ROUND(data!C269,0)</f>
        <v>325352180</v>
      </c>
      <c r="H2" s="221">
        <f>ROUND(data!C270,0)</f>
        <v>5353269</v>
      </c>
      <c r="I2" s="221">
        <f>ROUND(data!C271,0)</f>
        <v>17091770</v>
      </c>
      <c r="J2" s="221">
        <f>ROUND(data!C272,0)</f>
        <v>723678</v>
      </c>
      <c r="K2" s="221">
        <f>ROUND(data!C273,0)</f>
        <v>7804552</v>
      </c>
      <c r="L2" s="221">
        <f>ROUND(data!C274,0)</f>
        <v>13050291</v>
      </c>
      <c r="M2" s="221">
        <f>ROUND(data!C275,0)</f>
        <v>0</v>
      </c>
      <c r="N2" s="221">
        <f>ROUND(data!C278,0)</f>
        <v>136340703</v>
      </c>
      <c r="O2" s="221">
        <f>ROUND(data!C279,0)</f>
        <v>0</v>
      </c>
      <c r="P2" s="221">
        <f>ROUND(data!C280,0)</f>
        <v>0</v>
      </c>
      <c r="Q2" s="221">
        <f>ROUND(data!C283,0)</f>
        <v>4913660</v>
      </c>
      <c r="R2" s="221">
        <f>ROUND(data!C284,0)</f>
        <v>13091598</v>
      </c>
      <c r="S2" s="221">
        <f>ROUND(data!C285,0)</f>
        <v>372890232</v>
      </c>
      <c r="T2" s="221">
        <f>ROUND(data!C286,0)</f>
        <v>138477930</v>
      </c>
      <c r="U2" s="221">
        <f>ROUND(data!C287,0)</f>
        <v>0</v>
      </c>
      <c r="V2" s="221">
        <f>ROUND(data!C288,0)</f>
        <v>347157163</v>
      </c>
      <c r="W2" s="221">
        <f>ROUND(data!C289,0)</f>
        <v>41218112</v>
      </c>
      <c r="X2" s="221">
        <f>ROUND(data!C290,0)</f>
        <v>9873194</v>
      </c>
      <c r="Y2" s="221">
        <f>ROUND(data!C291,0)</f>
        <v>0</v>
      </c>
      <c r="Z2" s="221">
        <f>ROUND(data!C292,0)</f>
        <v>573166990</v>
      </c>
      <c r="AA2" s="221">
        <f>ROUND(data!C295,0)</f>
        <v>0</v>
      </c>
      <c r="AB2" s="221">
        <f>ROUND(data!C296,0)</f>
        <v>0</v>
      </c>
      <c r="AC2" s="221">
        <f>ROUND(data!C297,0)</f>
        <v>6269808</v>
      </c>
      <c r="AD2" s="221">
        <f>ROUND(data!C298,0)</f>
        <v>281193756</v>
      </c>
      <c r="AE2" s="221">
        <f>ROUND(data!C302,0)</f>
        <v>24815152</v>
      </c>
      <c r="AF2" s="221">
        <f>ROUND(data!C303,0)</f>
        <v>0</v>
      </c>
      <c r="AG2" s="221">
        <f>ROUND(data!C304,0)</f>
        <v>0</v>
      </c>
      <c r="AH2" s="221">
        <f>ROUND(data!C305,0)</f>
        <v>0</v>
      </c>
      <c r="AI2" s="221">
        <f>ROUND(data!C314,0)</f>
        <v>0</v>
      </c>
      <c r="AJ2" s="221">
        <f>ROUND(data!C315,0)</f>
        <v>62540470</v>
      </c>
      <c r="AK2" s="221">
        <f>ROUND(data!C316,0)</f>
        <v>48225041</v>
      </c>
      <c r="AL2" s="221">
        <f>ROUND(data!C317,0)</f>
        <v>651131</v>
      </c>
      <c r="AM2" s="221">
        <f>ROUND(data!C318,0)</f>
        <v>0</v>
      </c>
      <c r="AN2" s="221">
        <f>ROUND(data!C319,0)</f>
        <v>6060598</v>
      </c>
      <c r="AO2" s="221">
        <f>ROUND(data!C320,0)</f>
        <v>0</v>
      </c>
      <c r="AP2" s="221">
        <f>ROUND(data!C321,0)</f>
        <v>0</v>
      </c>
      <c r="AQ2" s="221">
        <f>ROUND(data!C322,0)</f>
        <v>3464065</v>
      </c>
      <c r="AR2" s="221">
        <f>ROUND(data!C323,0)</f>
        <v>20449335</v>
      </c>
      <c r="AS2" s="221">
        <f>ROUND(data!C326,0)</f>
        <v>0</v>
      </c>
      <c r="AT2" s="221">
        <f>ROUND(data!C327,0)</f>
        <v>42759758</v>
      </c>
      <c r="AU2" s="221">
        <f>ROUND(data!C328,0)</f>
        <v>48371</v>
      </c>
      <c r="AV2" s="221">
        <f>ROUND(data!C331,0)</f>
        <v>0</v>
      </c>
      <c r="AW2" s="221">
        <f>ROUND(data!C332,0)</f>
        <v>0</v>
      </c>
      <c r="AX2" s="221">
        <f>ROUND(data!C333,0)</f>
        <v>0</v>
      </c>
      <c r="AY2" s="221">
        <f>ROUND(data!C334,0)</f>
        <v>254728033</v>
      </c>
      <c r="AZ2" s="221">
        <f>ROUND(data!C335,0)</f>
        <v>263490730</v>
      </c>
      <c r="BA2" s="221">
        <f>ROUND(data!C336,0)</f>
        <v>0</v>
      </c>
      <c r="BB2" s="221">
        <f>ROUND(data!C337,0)</f>
        <v>0</v>
      </c>
      <c r="BC2" s="221">
        <f>ROUND(data!C338,0)</f>
        <v>12664729</v>
      </c>
      <c r="BD2" s="221">
        <f>ROUND(data!C339,0)</f>
        <v>0</v>
      </c>
      <c r="BE2" s="221">
        <f>ROUND(data!C343,0)</f>
        <v>362223516</v>
      </c>
      <c r="BF2" s="221">
        <f>ROUND(data!C345,0)</f>
        <v>0</v>
      </c>
      <c r="BG2" s="221">
        <f>ROUND(data!C346,0)</f>
        <v>0</v>
      </c>
      <c r="BH2" s="221">
        <f>ROUND(data!C347,0)</f>
        <v>0</v>
      </c>
      <c r="BI2" s="221">
        <f>ROUND(data!C348,0)</f>
        <v>0</v>
      </c>
      <c r="BJ2" s="221">
        <f>ROUND(data!C349,0)</f>
        <v>0</v>
      </c>
      <c r="BK2" s="221">
        <f>ROUND(data!CE60,2)</f>
        <v>4134.1499999999996</v>
      </c>
      <c r="BL2" s="221">
        <f>ROUND(data!C358,0)</f>
        <v>911243186</v>
      </c>
      <c r="BM2" s="221">
        <f>ROUND(data!C359,0)</f>
        <v>1320277527</v>
      </c>
      <c r="BN2" s="221">
        <f>ROUND(data!C363,0)</f>
        <v>1400181059</v>
      </c>
      <c r="BO2" s="221">
        <f>ROUND(data!C364,0)</f>
        <v>7832509</v>
      </c>
      <c r="BP2" s="221">
        <f>ROUND(data!C365,0)</f>
        <v>6546869</v>
      </c>
      <c r="BQ2" s="221">
        <f>ROUND(data!D381,0)</f>
        <v>46215888</v>
      </c>
      <c r="BR2" s="221">
        <f>ROUND(data!C370,0)</f>
        <v>0</v>
      </c>
      <c r="BS2" s="221">
        <f>ROUND(data!C371,0)</f>
        <v>0</v>
      </c>
      <c r="BT2" s="221">
        <f>ROUND(data!C372,0)</f>
        <v>0</v>
      </c>
      <c r="BU2" s="221">
        <f>ROUND(data!C373,0)</f>
        <v>0</v>
      </c>
      <c r="BV2" s="221">
        <f>ROUND(data!C374,0)</f>
        <v>0</v>
      </c>
      <c r="BW2" s="221">
        <f>ROUND(data!C375,0)</f>
        <v>0</v>
      </c>
      <c r="BX2" s="221">
        <f>ROUND(data!C376,0)</f>
        <v>0</v>
      </c>
      <c r="BY2" s="221">
        <f>ROUND(data!C377,0)</f>
        <v>0</v>
      </c>
      <c r="BZ2" s="221">
        <f>ROUND(data!C378,0)</f>
        <v>0</v>
      </c>
      <c r="CA2" s="221">
        <f>ROUND(data!C379,0)</f>
        <v>0</v>
      </c>
      <c r="CB2" s="221">
        <f>ROUND(data!C380,0)</f>
        <v>46215888</v>
      </c>
      <c r="CC2" s="221">
        <f>ROUND(data!C382,0)</f>
        <v>28608941</v>
      </c>
      <c r="CD2" s="221">
        <f>ROUND(data!C389,0)</f>
        <v>517937102</v>
      </c>
      <c r="CE2" s="221">
        <f>ROUND(data!C390,0)</f>
        <v>107031352</v>
      </c>
      <c r="CF2" s="221">
        <f>ROUND(data!C391,0)</f>
        <v>23869375</v>
      </c>
      <c r="CG2" s="221">
        <f>ROUND(data!C392,0)</f>
        <v>118690906</v>
      </c>
      <c r="CH2" s="221">
        <f>ROUND(data!C393,0)</f>
        <v>7177897</v>
      </c>
      <c r="CI2" s="221">
        <f>ROUND(data!C394,0)</f>
        <v>84399251</v>
      </c>
      <c r="CJ2" s="221">
        <f>ROUND(data!C395,0)</f>
        <v>50519269</v>
      </c>
      <c r="CK2" s="221">
        <f>ROUND(data!C396,0)</f>
        <v>6201997</v>
      </c>
      <c r="CL2" s="221">
        <f>ROUND(data!C397,0)</f>
        <v>3455391</v>
      </c>
      <c r="CM2" s="221">
        <f>ROUND(data!C398,0)</f>
        <v>9101696</v>
      </c>
      <c r="CN2" s="221">
        <f>ROUND(data!C399,0)</f>
        <v>15301422</v>
      </c>
      <c r="CO2" s="221">
        <f>ROUND(data!C362,0)</f>
        <v>27655075</v>
      </c>
      <c r="CP2" s="221">
        <f>ROUND(data!D415,0)</f>
        <v>9926497</v>
      </c>
      <c r="CQ2" s="64">
        <f>ROUND(data!C401,0)</f>
        <v>0</v>
      </c>
      <c r="CR2" s="64">
        <f>ROUND(data!C402,0)</f>
        <v>0</v>
      </c>
      <c r="CS2" s="64">
        <f>ROUND(data!C403,0)</f>
        <v>0</v>
      </c>
      <c r="CT2" s="64">
        <f>ROUND(data!C404,0)</f>
        <v>0</v>
      </c>
      <c r="CU2" s="64">
        <f>ROUND(data!C405,0)</f>
        <v>0</v>
      </c>
      <c r="CV2" s="64">
        <f>ROUND(data!C406,0)</f>
        <v>0</v>
      </c>
      <c r="CW2" s="64">
        <f>ROUND(data!C407,0)</f>
        <v>0</v>
      </c>
      <c r="CX2" s="64">
        <f>ROUND(data!C408,0)</f>
        <v>0</v>
      </c>
      <c r="CY2" s="64">
        <f>ROUND(data!C409,0)</f>
        <v>0</v>
      </c>
      <c r="CZ2" s="64">
        <f>ROUND(data!C410,0)</f>
        <v>0</v>
      </c>
      <c r="DA2" s="64">
        <f>ROUND(data!C411,0)</f>
        <v>0</v>
      </c>
      <c r="DB2" s="64">
        <f>ROUND(data!C412,0)</f>
        <v>0</v>
      </c>
      <c r="DC2" s="64">
        <f>ROUND(data!C413,0)</f>
        <v>0</v>
      </c>
      <c r="DD2" s="64">
        <f>ROUND(data!C414,0)</f>
        <v>9926497</v>
      </c>
      <c r="DE2" s="64">
        <f>ROUND(data!C419,0)</f>
        <v>0</v>
      </c>
      <c r="DF2" s="221">
        <f>ROUND(data!D420,0)</f>
        <v>-2117370</v>
      </c>
      <c r="DG2" s="221">
        <f>ROUND(data!C422,0)</f>
        <v>0</v>
      </c>
      <c r="DH2" s="221">
        <f>ROUND(data!C423,0)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9440D-E581-45BB-A324-913CF80E7D4E}">
  <sheetPr codeName="Sheet17"/>
  <dimension ref="A1:CK80"/>
  <sheetViews>
    <sheetView workbookViewId="0">
      <selection activeCell="N34" sqref="N34"/>
    </sheetView>
  </sheetViews>
  <sheetFormatPr defaultColWidth="8.6640625" defaultRowHeight="15.75" x14ac:dyDescent="0.25"/>
  <cols>
    <col min="1" max="1" width="12.6640625" style="8" bestFit="1" customWidth="1"/>
    <col min="2" max="2" width="5.21875" style="8" bestFit="1" customWidth="1"/>
    <col min="3" max="3" width="13.88671875" style="8" bestFit="1" customWidth="1"/>
    <col min="4" max="4" width="10.5546875" style="8" bestFit="1" customWidth="1"/>
    <col min="5" max="37" width="12.5546875" style="8" customWidth="1"/>
    <col min="38" max="39" width="8.6640625" style="8" customWidth="1"/>
    <col min="40" max="16384" width="8.6640625" style="8"/>
  </cols>
  <sheetData>
    <row r="1" spans="1:89" s="9" customFormat="1" ht="12.6" customHeight="1" x14ac:dyDescent="0.25">
      <c r="A1" s="9" t="s">
        <v>1304</v>
      </c>
      <c r="B1" s="15" t="s">
        <v>1305</v>
      </c>
      <c r="C1" s="9" t="s">
        <v>1306</v>
      </c>
      <c r="D1" s="15" t="s">
        <v>1307</v>
      </c>
      <c r="E1" s="9" t="s">
        <v>1308</v>
      </c>
      <c r="F1" s="9" t="s">
        <v>1309</v>
      </c>
      <c r="G1" s="9" t="s">
        <v>1310</v>
      </c>
      <c r="H1" s="9" t="s">
        <v>1311</v>
      </c>
      <c r="I1" s="9" t="s">
        <v>1312</v>
      </c>
      <c r="J1" s="9" t="s">
        <v>1313</v>
      </c>
      <c r="K1" s="9" t="s">
        <v>1314</v>
      </c>
      <c r="L1" s="9" t="s">
        <v>1315</v>
      </c>
      <c r="M1" s="9" t="s">
        <v>1316</v>
      </c>
      <c r="N1" s="9" t="s">
        <v>1317</v>
      </c>
      <c r="O1" s="9" t="s">
        <v>1318</v>
      </c>
      <c r="P1" s="9" t="s">
        <v>1286</v>
      </c>
      <c r="Q1" s="9" t="s">
        <v>1287</v>
      </c>
      <c r="R1" s="9" t="s">
        <v>1288</v>
      </c>
      <c r="S1" s="9" t="s">
        <v>1289</v>
      </c>
      <c r="T1" s="9" t="s">
        <v>1290</v>
      </c>
      <c r="U1" s="9" t="s">
        <v>1291</v>
      </c>
      <c r="V1" s="9" t="s">
        <v>1292</v>
      </c>
      <c r="W1" s="9" t="s">
        <v>1293</v>
      </c>
      <c r="X1" s="9" t="s">
        <v>1294</v>
      </c>
      <c r="Y1" s="9" t="s">
        <v>1295</v>
      </c>
      <c r="Z1" s="9" t="s">
        <v>1296</v>
      </c>
      <c r="AA1" s="9" t="s">
        <v>1297</v>
      </c>
      <c r="AB1" s="9" t="s">
        <v>1298</v>
      </c>
      <c r="AC1" s="9" t="s">
        <v>1299</v>
      </c>
      <c r="AD1" s="9" t="s">
        <v>1319</v>
      </c>
      <c r="AE1" s="9" t="s">
        <v>1320</v>
      </c>
      <c r="AF1" s="9" t="s">
        <v>1321</v>
      </c>
      <c r="AG1" s="9" t="s">
        <v>1322</v>
      </c>
      <c r="AH1" s="9" t="s">
        <v>1323</v>
      </c>
      <c r="AI1" s="9" t="s">
        <v>1324</v>
      </c>
      <c r="AJ1" s="9" t="s">
        <v>1325</v>
      </c>
      <c r="AK1" s="9" t="s">
        <v>1326</v>
      </c>
      <c r="AM1" s="17"/>
      <c r="AN1" s="17"/>
      <c r="AO1" s="17"/>
      <c r="AP1" s="17"/>
    </row>
    <row r="2" spans="1:89" s="182" customFormat="1" ht="12.6" customHeight="1" x14ac:dyDescent="0.25">
      <c r="A2" s="15" t="str">
        <f>RIGHT(data!$C$97,3)</f>
        <v>164</v>
      </c>
      <c r="B2" s="223" t="str">
        <f>RIGHT(data!$C$96,4)</f>
        <v>2022</v>
      </c>
      <c r="C2" s="15" t="str">
        <f>data!C$55</f>
        <v>6010</v>
      </c>
      <c r="D2" s="15" t="s">
        <v>1120</v>
      </c>
      <c r="E2" s="221">
        <f>ROUND(data!C59,0)</f>
        <v>5601</v>
      </c>
      <c r="F2" s="211">
        <f>ROUND(data!C60,2)</f>
        <v>129.13</v>
      </c>
      <c r="G2" s="221">
        <f>ROUND(data!C61,0)</f>
        <v>18448094</v>
      </c>
      <c r="H2" s="221">
        <f>ROUND(data!C62,0)</f>
        <v>3510195</v>
      </c>
      <c r="I2" s="221">
        <f>ROUND(data!C63,0)</f>
        <v>750325</v>
      </c>
      <c r="J2" s="221">
        <f>ROUND(data!C64,0)</f>
        <v>1559957</v>
      </c>
      <c r="K2" s="221">
        <f>ROUND(data!C65,0)</f>
        <v>5576</v>
      </c>
      <c r="L2" s="221">
        <f>ROUND(data!C66,0)</f>
        <v>526924</v>
      </c>
      <c r="M2" s="65">
        <f>ROUND(data!C67,0)</f>
        <v>2538695</v>
      </c>
      <c r="N2" s="221">
        <f>ROUND(data!C68,0)</f>
        <v>0</v>
      </c>
      <c r="O2" s="221">
        <f>ROUND(data!C69,0)</f>
        <v>17578</v>
      </c>
      <c r="P2" s="221">
        <f>ROUND(data!C70,0)</f>
        <v>0</v>
      </c>
      <c r="Q2" s="221">
        <f>ROUND(data!C71,0)</f>
        <v>0</v>
      </c>
      <c r="R2" s="221">
        <f>ROUND(data!C72,0)</f>
        <v>0</v>
      </c>
      <c r="S2" s="221">
        <f>ROUND(data!C73,0)</f>
        <v>0</v>
      </c>
      <c r="T2" s="221">
        <f>ROUND(data!C74,0)</f>
        <v>0</v>
      </c>
      <c r="U2" s="221">
        <f>ROUND(data!C75,0)</f>
        <v>0</v>
      </c>
      <c r="V2" s="221">
        <f>ROUND(data!C76,0)</f>
        <v>0</v>
      </c>
      <c r="W2" s="221">
        <f>ROUND(data!C77,0)</f>
        <v>0</v>
      </c>
      <c r="X2" s="221">
        <f>ROUND(data!C78,0)</f>
        <v>0</v>
      </c>
      <c r="Y2" s="221">
        <f>ROUND(data!C79,0)</f>
        <v>0</v>
      </c>
      <c r="Z2" s="221">
        <f>ROUND(data!C80,0)</f>
        <v>0</v>
      </c>
      <c r="AA2" s="221">
        <f>ROUND(data!C81,0)</f>
        <v>0</v>
      </c>
      <c r="AB2" s="221">
        <f>ROUND(data!C82,0)</f>
        <v>0</v>
      </c>
      <c r="AC2" s="221">
        <f>ROUND(data!C83,0)</f>
        <v>17578</v>
      </c>
      <c r="AD2" s="221">
        <f>ROUND(data!C84,0)</f>
        <v>30821</v>
      </c>
      <c r="AE2" s="221">
        <f>ROUND(data!C89,0)</f>
        <v>79262547</v>
      </c>
      <c r="AF2" s="221">
        <f>ROUND(data!C87,0)</f>
        <v>79106249</v>
      </c>
      <c r="AG2" s="221">
        <f>IF(data!C90&gt;0,ROUND(data!C90,0),0)</f>
        <v>31983</v>
      </c>
      <c r="AH2" s="221">
        <f>IF(data!C91&gt;0,ROUND(data!C91,0),0)</f>
        <v>11070</v>
      </c>
      <c r="AI2" s="221">
        <f>IF(data!C92&gt;0,ROUND(data!C92,0),0)</f>
        <v>4079</v>
      </c>
      <c r="AJ2" s="221">
        <f>IF(data!C93&gt;0,ROUND(data!C93,0),0)</f>
        <v>165857</v>
      </c>
      <c r="AK2" s="211">
        <f>IF(data!C94&gt;0,ROUND(data!C94,2),0)</f>
        <v>97.19</v>
      </c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65"/>
      <c r="CF2" s="65"/>
      <c r="CG2" s="65"/>
      <c r="CH2" s="65"/>
      <c r="CI2" s="65"/>
      <c r="CJ2" s="65"/>
      <c r="CK2" s="65"/>
    </row>
    <row r="3" spans="1:89" s="11" customFormat="1" ht="12.6" customHeight="1" x14ac:dyDescent="0.25">
      <c r="A3" s="15" t="str">
        <f>RIGHT(data!$C$97,3)</f>
        <v>164</v>
      </c>
      <c r="B3" s="223" t="str">
        <f>RIGHT(data!$C$96,4)</f>
        <v>2022</v>
      </c>
      <c r="C3" s="15" t="str">
        <f>data!D$55</f>
        <v>6030</v>
      </c>
      <c r="D3" s="15" t="s">
        <v>1120</v>
      </c>
      <c r="E3" s="221">
        <f>ROUND(data!D59,0)</f>
        <v>10993</v>
      </c>
      <c r="F3" s="211">
        <f>ROUND(data!D60,2)</f>
        <v>76.28</v>
      </c>
      <c r="G3" s="221">
        <f>ROUND(data!D61,0)</f>
        <v>10641758</v>
      </c>
      <c r="H3" s="221">
        <f>ROUND(data!D62,0)</f>
        <v>1697587</v>
      </c>
      <c r="I3" s="221">
        <f>ROUND(data!D63,0)</f>
        <v>0</v>
      </c>
      <c r="J3" s="221">
        <f>ROUND(data!D64,0)</f>
        <v>685223</v>
      </c>
      <c r="K3" s="221">
        <f>ROUND(data!D65,0)</f>
        <v>0</v>
      </c>
      <c r="L3" s="221">
        <f>ROUND(data!D66,0)</f>
        <v>512212</v>
      </c>
      <c r="M3" s="65">
        <f>ROUND(data!D67,0)</f>
        <v>1451636</v>
      </c>
      <c r="N3" s="221">
        <f>ROUND(data!D68,0)</f>
        <v>0</v>
      </c>
      <c r="O3" s="221">
        <f>ROUND(data!D69,0)</f>
        <v>6351</v>
      </c>
      <c r="P3" s="221">
        <f>ROUND(data!D70,0)</f>
        <v>0</v>
      </c>
      <c r="Q3" s="221">
        <f>ROUND(data!D71,0)</f>
        <v>0</v>
      </c>
      <c r="R3" s="221">
        <f>ROUND(data!D72,0)</f>
        <v>0</v>
      </c>
      <c r="S3" s="221">
        <f>ROUND(data!D73,0)</f>
        <v>0</v>
      </c>
      <c r="T3" s="221">
        <f>ROUND(data!D74,0)</f>
        <v>0</v>
      </c>
      <c r="U3" s="221">
        <f>ROUND(data!D75,0)</f>
        <v>0</v>
      </c>
      <c r="V3" s="221">
        <f>ROUND(data!D76,0)</f>
        <v>0</v>
      </c>
      <c r="W3" s="221">
        <f>ROUND(data!D77,0)</f>
        <v>0</v>
      </c>
      <c r="X3" s="221">
        <f>ROUND(data!D78,0)</f>
        <v>0</v>
      </c>
      <c r="Y3" s="221">
        <f>ROUND(data!D79,0)</f>
        <v>0</v>
      </c>
      <c r="Z3" s="221">
        <f>ROUND(data!D80,0)</f>
        <v>0</v>
      </c>
      <c r="AA3" s="221">
        <f>ROUND(data!D81,0)</f>
        <v>0</v>
      </c>
      <c r="AB3" s="221">
        <f>ROUND(data!D82,0)</f>
        <v>0</v>
      </c>
      <c r="AC3" s="221">
        <f>ROUND(data!D83,0)</f>
        <v>6351</v>
      </c>
      <c r="AD3" s="221">
        <f>ROUND(data!D84,0)</f>
        <v>0</v>
      </c>
      <c r="AE3" s="221">
        <f>ROUND(data!D89,0)</f>
        <v>56210558</v>
      </c>
      <c r="AF3" s="221">
        <f>ROUND(data!D87,0)</f>
        <v>55002822</v>
      </c>
      <c r="AG3" s="221">
        <f>IF(data!D90&gt;0,ROUND(data!D90,0),0)</f>
        <v>24368</v>
      </c>
      <c r="AH3" s="221">
        <f>IF(data!D91&gt;0,ROUND(data!D91,0),0)</f>
        <v>30276</v>
      </c>
      <c r="AI3" s="221">
        <f>IF(data!D92&gt;0,ROUND(data!D92,0),0)</f>
        <v>3108</v>
      </c>
      <c r="AJ3" s="221">
        <f>IF(data!D93&gt;0,ROUND(data!D93,0),0)</f>
        <v>253863</v>
      </c>
      <c r="AK3" s="211">
        <f>IF(data!D94&gt;0,ROUND(data!D94,2),0)</f>
        <v>49.78</v>
      </c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  <c r="CA3" s="65"/>
      <c r="CB3" s="65"/>
      <c r="CC3" s="65"/>
      <c r="CD3" s="65"/>
      <c r="CE3" s="65"/>
      <c r="CF3" s="65"/>
      <c r="CG3" s="65"/>
      <c r="CH3" s="65"/>
      <c r="CI3" s="65"/>
      <c r="CJ3" s="65"/>
      <c r="CK3" s="65"/>
    </row>
    <row r="4" spans="1:89" s="11" customFormat="1" ht="12.6" customHeight="1" x14ac:dyDescent="0.25">
      <c r="A4" s="15" t="str">
        <f>RIGHT(data!$C$97,3)</f>
        <v>164</v>
      </c>
      <c r="B4" s="223" t="str">
        <f>RIGHT(data!$C$96,4)</f>
        <v>2022</v>
      </c>
      <c r="C4" s="15" t="str">
        <f>data!E$55</f>
        <v>6070</v>
      </c>
      <c r="D4" s="15" t="s">
        <v>1120</v>
      </c>
      <c r="E4" s="221">
        <f>ROUND(data!E59,0)</f>
        <v>46509</v>
      </c>
      <c r="F4" s="211">
        <f>ROUND(data!E60,2)</f>
        <v>344.71</v>
      </c>
      <c r="G4" s="221">
        <f>ROUND(data!E61,0)</f>
        <v>45752919</v>
      </c>
      <c r="H4" s="221">
        <f>ROUND(data!E62,0)</f>
        <v>6127370</v>
      </c>
      <c r="I4" s="221">
        <f>ROUND(data!E63,0)</f>
        <v>0</v>
      </c>
      <c r="J4" s="221">
        <f>ROUND(data!E64,0)</f>
        <v>2422980</v>
      </c>
      <c r="K4" s="221">
        <f>ROUND(data!E65,0)</f>
        <v>0</v>
      </c>
      <c r="L4" s="221">
        <f>ROUND(data!E66,0)</f>
        <v>1157457</v>
      </c>
      <c r="M4" s="65">
        <f>ROUND(data!E67,0)</f>
        <v>2151509</v>
      </c>
      <c r="N4" s="221">
        <f>ROUND(data!E68,0)</f>
        <v>0</v>
      </c>
      <c r="O4" s="221">
        <f>ROUND(data!E69,0)</f>
        <v>17806</v>
      </c>
      <c r="P4" s="221">
        <f>ROUND(data!E70,0)</f>
        <v>0</v>
      </c>
      <c r="Q4" s="221">
        <f>ROUND(data!E71,0)</f>
        <v>0</v>
      </c>
      <c r="R4" s="221">
        <f>ROUND(data!E72,0)</f>
        <v>0</v>
      </c>
      <c r="S4" s="221">
        <f>ROUND(data!E73,0)</f>
        <v>0</v>
      </c>
      <c r="T4" s="221">
        <f>ROUND(data!E74,0)</f>
        <v>0</v>
      </c>
      <c r="U4" s="221">
        <f>ROUND(data!E75,0)</f>
        <v>0</v>
      </c>
      <c r="V4" s="221">
        <f>ROUND(data!E76,0)</f>
        <v>0</v>
      </c>
      <c r="W4" s="221">
        <f>ROUND(data!E77,0)</f>
        <v>0</v>
      </c>
      <c r="X4" s="221">
        <f>ROUND(data!E78,0)</f>
        <v>0</v>
      </c>
      <c r="Y4" s="221">
        <f>ROUND(data!E79,0)</f>
        <v>0</v>
      </c>
      <c r="Z4" s="221">
        <f>ROUND(data!E80,0)</f>
        <v>0</v>
      </c>
      <c r="AA4" s="221">
        <f>ROUND(data!E81,0)</f>
        <v>0</v>
      </c>
      <c r="AB4" s="221">
        <f>ROUND(data!E82,0)</f>
        <v>0</v>
      </c>
      <c r="AC4" s="221">
        <f>ROUND(data!E83,0)</f>
        <v>17806</v>
      </c>
      <c r="AD4" s="221">
        <f>ROUND(data!E84,0)</f>
        <v>50</v>
      </c>
      <c r="AE4" s="221">
        <f>ROUND(data!E89,0)</f>
        <v>171025105</v>
      </c>
      <c r="AF4" s="221">
        <f>ROUND(data!E87,0)</f>
        <v>162667443</v>
      </c>
      <c r="AG4" s="221">
        <f>IF(data!E90&gt;0,ROUND(data!E90,0),0)</f>
        <v>112482</v>
      </c>
      <c r="AH4" s="221">
        <f>IF(data!E91&gt;0,ROUND(data!E91,0),0)</f>
        <v>139044</v>
      </c>
      <c r="AI4" s="221">
        <f>IF(data!E92&gt;0,ROUND(data!E92,0),0)</f>
        <v>14346</v>
      </c>
      <c r="AJ4" s="221">
        <f>IF(data!E93&gt;0,ROUND(data!E93,0),0)</f>
        <v>490560</v>
      </c>
      <c r="AK4" s="211">
        <f>IF(data!E94&gt;0,ROUND(data!E94,2),0)</f>
        <v>221.21</v>
      </c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  <c r="BM4" s="65"/>
      <c r="BN4" s="65"/>
      <c r="BO4" s="65"/>
      <c r="BP4" s="65"/>
      <c r="BQ4" s="65"/>
      <c r="BR4" s="65"/>
      <c r="BS4" s="65"/>
      <c r="BT4" s="65"/>
      <c r="BU4" s="65"/>
      <c r="BV4" s="65"/>
      <c r="BW4" s="65"/>
      <c r="BX4" s="65"/>
      <c r="BY4" s="65"/>
      <c r="BZ4" s="65"/>
      <c r="CA4" s="65"/>
      <c r="CB4" s="65"/>
      <c r="CC4" s="65"/>
      <c r="CD4" s="65"/>
      <c r="CE4" s="65"/>
      <c r="CF4" s="65"/>
      <c r="CG4" s="65"/>
      <c r="CH4" s="65"/>
      <c r="CI4" s="65"/>
      <c r="CJ4" s="65"/>
      <c r="CK4" s="65"/>
    </row>
    <row r="5" spans="1:89" s="11" customFormat="1" ht="12.6" customHeight="1" x14ac:dyDescent="0.25">
      <c r="A5" s="15" t="str">
        <f>RIGHT(data!$C$97,3)</f>
        <v>164</v>
      </c>
      <c r="B5" s="223" t="str">
        <f>RIGHT(data!$C$96,4)</f>
        <v>2022</v>
      </c>
      <c r="C5" s="15" t="str">
        <f>data!F$55</f>
        <v>6100</v>
      </c>
      <c r="D5" s="15" t="s">
        <v>1120</v>
      </c>
      <c r="E5" s="221">
        <f>ROUND(data!F59,0)</f>
        <v>0</v>
      </c>
      <c r="F5" s="211">
        <f>ROUND(data!F60,2)</f>
        <v>9.14</v>
      </c>
      <c r="G5" s="221">
        <f>ROUND(data!F61,0)</f>
        <v>1426052</v>
      </c>
      <c r="H5" s="221">
        <f>ROUND(data!F62,0)</f>
        <v>283688</v>
      </c>
      <c r="I5" s="221">
        <f>ROUND(data!F63,0)</f>
        <v>0</v>
      </c>
      <c r="J5" s="221">
        <f>ROUND(data!F64,0)</f>
        <v>1915</v>
      </c>
      <c r="K5" s="221">
        <f>ROUND(data!F65,0)</f>
        <v>0</v>
      </c>
      <c r="L5" s="221">
        <f>ROUND(data!F66,0)</f>
        <v>701</v>
      </c>
      <c r="M5" s="65">
        <f>ROUND(data!F67,0)</f>
        <v>1390</v>
      </c>
      <c r="N5" s="221">
        <f>ROUND(data!F68,0)</f>
        <v>0</v>
      </c>
      <c r="O5" s="221">
        <f>ROUND(data!F69,0)</f>
        <v>32603</v>
      </c>
      <c r="P5" s="221">
        <f>ROUND(data!F70,0)</f>
        <v>0</v>
      </c>
      <c r="Q5" s="221">
        <f>ROUND(data!F71,0)</f>
        <v>0</v>
      </c>
      <c r="R5" s="221">
        <f>ROUND(data!F72,0)</f>
        <v>0</v>
      </c>
      <c r="S5" s="221">
        <f>ROUND(data!F73,0)</f>
        <v>0</v>
      </c>
      <c r="T5" s="221">
        <f>ROUND(data!F74,0)</f>
        <v>0</v>
      </c>
      <c r="U5" s="221">
        <f>ROUND(data!F75,0)</f>
        <v>0</v>
      </c>
      <c r="V5" s="221">
        <f>ROUND(data!F76,0)</f>
        <v>0</v>
      </c>
      <c r="W5" s="221">
        <f>ROUND(data!F77,0)</f>
        <v>0</v>
      </c>
      <c r="X5" s="221">
        <f>ROUND(data!F78,0)</f>
        <v>0</v>
      </c>
      <c r="Y5" s="221">
        <f>ROUND(data!F79,0)</f>
        <v>0</v>
      </c>
      <c r="Z5" s="221">
        <f>ROUND(data!F80,0)</f>
        <v>0</v>
      </c>
      <c r="AA5" s="221">
        <f>ROUND(data!F81,0)</f>
        <v>0</v>
      </c>
      <c r="AB5" s="221">
        <f>ROUND(data!F82,0)</f>
        <v>0</v>
      </c>
      <c r="AC5" s="221">
        <f>ROUND(data!F83,0)</f>
        <v>32603</v>
      </c>
      <c r="AD5" s="221">
        <f>ROUND(data!F84,0)</f>
        <v>0</v>
      </c>
      <c r="AE5" s="221">
        <f>ROUND(data!F89,0)</f>
        <v>0</v>
      </c>
      <c r="AF5" s="221">
        <f>ROUND(data!F87,0)</f>
        <v>0</v>
      </c>
      <c r="AG5" s="221">
        <f>IF(data!F90&gt;0,ROUND(data!F90,0),0)</f>
        <v>0</v>
      </c>
      <c r="AH5" s="221">
        <f>IF(data!F91&gt;0,ROUND(data!F91,0),0)</f>
        <v>0</v>
      </c>
      <c r="AI5" s="221">
        <f>IF(data!F92&gt;0,ROUND(data!F92,0),0)</f>
        <v>0</v>
      </c>
      <c r="AJ5" s="221">
        <f>IF(data!F93&gt;0,ROUND(data!F93,0),0)</f>
        <v>0</v>
      </c>
      <c r="AK5" s="211">
        <f>IF(data!F94&gt;0,ROUND(data!F94,2),0)</f>
        <v>1</v>
      </c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/>
      <c r="CJ5" s="65"/>
      <c r="CK5" s="65"/>
    </row>
    <row r="6" spans="1:89" s="11" customFormat="1" ht="12.6" customHeight="1" x14ac:dyDescent="0.25">
      <c r="A6" s="15" t="str">
        <f>RIGHT(data!$C$97,3)</f>
        <v>164</v>
      </c>
      <c r="B6" s="223" t="str">
        <f>RIGHT(data!$C$96,4)</f>
        <v>2022</v>
      </c>
      <c r="C6" s="15" t="str">
        <f>data!G$55</f>
        <v>6120</v>
      </c>
      <c r="D6" s="15" t="s">
        <v>1120</v>
      </c>
      <c r="E6" s="221">
        <f>ROUND(data!G59,0)</f>
        <v>3777</v>
      </c>
      <c r="F6" s="211">
        <f>ROUND(data!G60,2)</f>
        <v>19.14</v>
      </c>
      <c r="G6" s="221">
        <f>ROUND(data!G61,0)</f>
        <v>2638152</v>
      </c>
      <c r="H6" s="221">
        <f>ROUND(data!G62,0)</f>
        <v>479752</v>
      </c>
      <c r="I6" s="221">
        <f>ROUND(data!G63,0)</f>
        <v>500</v>
      </c>
      <c r="J6" s="221">
        <f>ROUND(data!G64,0)</f>
        <v>75781</v>
      </c>
      <c r="K6" s="221">
        <f>ROUND(data!G65,0)</f>
        <v>0</v>
      </c>
      <c r="L6" s="221">
        <f>ROUND(data!G66,0)</f>
        <v>82693</v>
      </c>
      <c r="M6" s="65">
        <f>ROUND(data!G67,0)</f>
        <v>80264</v>
      </c>
      <c r="N6" s="221">
        <f>ROUND(data!G68,0)</f>
        <v>0</v>
      </c>
      <c r="O6" s="221">
        <f>ROUND(data!G69,0)</f>
        <v>7232</v>
      </c>
      <c r="P6" s="221">
        <f>ROUND(data!G70,0)</f>
        <v>0</v>
      </c>
      <c r="Q6" s="221">
        <f>ROUND(data!G71,0)</f>
        <v>0</v>
      </c>
      <c r="R6" s="221">
        <f>ROUND(data!G72,0)</f>
        <v>0</v>
      </c>
      <c r="S6" s="221">
        <f>ROUND(data!G73,0)</f>
        <v>0</v>
      </c>
      <c r="T6" s="221">
        <f>ROUND(data!G74,0)</f>
        <v>0</v>
      </c>
      <c r="U6" s="221">
        <f>ROUND(data!G75,0)</f>
        <v>0</v>
      </c>
      <c r="V6" s="221">
        <f>ROUND(data!G76,0)</f>
        <v>0</v>
      </c>
      <c r="W6" s="221">
        <f>ROUND(data!G77,0)</f>
        <v>0</v>
      </c>
      <c r="X6" s="221">
        <f>ROUND(data!G78,0)</f>
        <v>0</v>
      </c>
      <c r="Y6" s="221">
        <f>ROUND(data!G79,0)</f>
        <v>0</v>
      </c>
      <c r="Z6" s="221">
        <f>ROUND(data!G80,0)</f>
        <v>0</v>
      </c>
      <c r="AA6" s="221">
        <f>ROUND(data!G81,0)</f>
        <v>0</v>
      </c>
      <c r="AB6" s="221">
        <f>ROUND(data!G82,0)</f>
        <v>0</v>
      </c>
      <c r="AC6" s="221">
        <f>ROUND(data!G83,0)</f>
        <v>7232</v>
      </c>
      <c r="AD6" s="221">
        <f>ROUND(data!G84,0)</f>
        <v>0</v>
      </c>
      <c r="AE6" s="221">
        <f>ROUND(data!G89,0)</f>
        <v>16216272</v>
      </c>
      <c r="AF6" s="221">
        <f>ROUND(data!G87,0)</f>
        <v>16211064</v>
      </c>
      <c r="AG6" s="221">
        <f>IF(data!G90&gt;0,ROUND(data!G90,0),0)</f>
        <v>9095</v>
      </c>
      <c r="AH6" s="221">
        <f>IF(data!G91&gt;0,ROUND(data!G91,0),0)</f>
        <v>11213</v>
      </c>
      <c r="AI6" s="221">
        <f>IF(data!G92&gt;0,ROUND(data!G92,0),0)</f>
        <v>1160</v>
      </c>
      <c r="AJ6" s="221">
        <f>IF(data!G93&gt;0,ROUND(data!G93,0),0)</f>
        <v>32648</v>
      </c>
      <c r="AK6" s="211">
        <f>IF(data!G94&gt;0,ROUND(data!G94,2),0)</f>
        <v>12.35</v>
      </c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</row>
    <row r="7" spans="1:89" s="11" customFormat="1" ht="12.6" customHeight="1" x14ac:dyDescent="0.25">
      <c r="A7" s="15" t="str">
        <f>RIGHT(data!$C$97,3)</f>
        <v>164</v>
      </c>
      <c r="B7" s="223" t="str">
        <f>RIGHT(data!$C$96,4)</f>
        <v>2022</v>
      </c>
      <c r="C7" s="15" t="str">
        <f>data!H$55</f>
        <v>6140</v>
      </c>
      <c r="D7" s="15" t="s">
        <v>1120</v>
      </c>
      <c r="E7" s="221">
        <f>ROUND(data!H59,0)</f>
        <v>0</v>
      </c>
      <c r="F7" s="211">
        <f>ROUND(data!H60,2)</f>
        <v>0</v>
      </c>
      <c r="G7" s="221">
        <f>ROUND(data!H61,0)</f>
        <v>0</v>
      </c>
      <c r="H7" s="221">
        <f>ROUND(data!H62,0)</f>
        <v>0</v>
      </c>
      <c r="I7" s="221">
        <f>ROUND(data!H63,0)</f>
        <v>0</v>
      </c>
      <c r="J7" s="221">
        <f>ROUND(data!H64,0)</f>
        <v>0</v>
      </c>
      <c r="K7" s="221">
        <f>ROUND(data!H65,0)</f>
        <v>0</v>
      </c>
      <c r="L7" s="221">
        <f>ROUND(data!H66,0)</f>
        <v>0</v>
      </c>
      <c r="M7" s="65">
        <f>ROUND(data!H67,0)</f>
        <v>0</v>
      </c>
      <c r="N7" s="221">
        <f>ROUND(data!H68,0)</f>
        <v>0</v>
      </c>
      <c r="O7" s="221">
        <f>ROUND(data!H69,0)</f>
        <v>0</v>
      </c>
      <c r="P7" s="221">
        <f>ROUND(data!H70,0)</f>
        <v>0</v>
      </c>
      <c r="Q7" s="221">
        <f>ROUND(data!H71,0)</f>
        <v>0</v>
      </c>
      <c r="R7" s="221">
        <f>ROUND(data!H72,0)</f>
        <v>0</v>
      </c>
      <c r="S7" s="221">
        <f>ROUND(data!H73,0)</f>
        <v>0</v>
      </c>
      <c r="T7" s="221">
        <f>ROUND(data!H74,0)</f>
        <v>0</v>
      </c>
      <c r="U7" s="221">
        <f>ROUND(data!H75,0)</f>
        <v>0</v>
      </c>
      <c r="V7" s="221">
        <f>ROUND(data!H76,0)</f>
        <v>0</v>
      </c>
      <c r="W7" s="221">
        <f>ROUND(data!H77,0)</f>
        <v>0</v>
      </c>
      <c r="X7" s="221">
        <f>ROUND(data!H78,0)</f>
        <v>0</v>
      </c>
      <c r="Y7" s="221">
        <f>ROUND(data!H79,0)</f>
        <v>0</v>
      </c>
      <c r="Z7" s="221">
        <f>ROUND(data!H80,0)</f>
        <v>0</v>
      </c>
      <c r="AA7" s="221">
        <f>ROUND(data!H81,0)</f>
        <v>0</v>
      </c>
      <c r="AB7" s="221">
        <f>ROUND(data!H82,0)</f>
        <v>0</v>
      </c>
      <c r="AC7" s="221">
        <f>ROUND(data!H83,0)</f>
        <v>0</v>
      </c>
      <c r="AD7" s="221">
        <f>ROUND(data!H84,0)</f>
        <v>0</v>
      </c>
      <c r="AE7" s="221">
        <f>ROUND(data!H89,0)</f>
        <v>0</v>
      </c>
      <c r="AF7" s="221">
        <f>ROUND(data!H87,0)</f>
        <v>0</v>
      </c>
      <c r="AG7" s="221">
        <f>IF(data!H90&gt;0,ROUND(data!H90,0),0)</f>
        <v>0</v>
      </c>
      <c r="AH7" s="221">
        <f>IF(data!H91&gt;0,ROUND(data!H91,0),0)</f>
        <v>0</v>
      </c>
      <c r="AI7" s="221">
        <f>IF(data!H92&gt;0,ROUND(data!H92,0),0)</f>
        <v>0</v>
      </c>
      <c r="AJ7" s="221">
        <f>IF(data!H93&gt;0,ROUND(data!H93,0),0)</f>
        <v>0</v>
      </c>
      <c r="AK7" s="211">
        <f>IF(data!H94&gt;0,ROUND(data!H94,2),0)</f>
        <v>0</v>
      </c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</row>
    <row r="8" spans="1:89" s="11" customFormat="1" ht="12.6" customHeight="1" x14ac:dyDescent="0.25">
      <c r="A8" s="15" t="str">
        <f>RIGHT(data!$C$97,3)</f>
        <v>164</v>
      </c>
      <c r="B8" s="223" t="str">
        <f>RIGHT(data!$C$96,4)</f>
        <v>2022</v>
      </c>
      <c r="C8" s="15" t="str">
        <f>data!I$55</f>
        <v>6150</v>
      </c>
      <c r="D8" s="15" t="s">
        <v>1120</v>
      </c>
      <c r="E8" s="221">
        <f>ROUND(data!I59,0)</f>
        <v>0</v>
      </c>
      <c r="F8" s="211">
        <f>ROUND(data!I60,2)</f>
        <v>0</v>
      </c>
      <c r="G8" s="221">
        <f>ROUND(data!I61,0)</f>
        <v>0</v>
      </c>
      <c r="H8" s="221">
        <f>ROUND(data!I62,0)</f>
        <v>0</v>
      </c>
      <c r="I8" s="221">
        <f>ROUND(data!I63,0)</f>
        <v>0</v>
      </c>
      <c r="J8" s="221">
        <f>ROUND(data!I64,0)</f>
        <v>0</v>
      </c>
      <c r="K8" s="221">
        <f>ROUND(data!I65,0)</f>
        <v>0</v>
      </c>
      <c r="L8" s="221">
        <f>ROUND(data!I66,0)</f>
        <v>34</v>
      </c>
      <c r="M8" s="65">
        <f>ROUND(data!I67,0)</f>
        <v>0</v>
      </c>
      <c r="N8" s="221">
        <f>ROUND(data!I68,0)</f>
        <v>0</v>
      </c>
      <c r="O8" s="221">
        <f>ROUND(data!I69,0)</f>
        <v>0</v>
      </c>
      <c r="P8" s="221">
        <f>ROUND(data!I70,0)</f>
        <v>0</v>
      </c>
      <c r="Q8" s="221">
        <f>ROUND(data!I71,0)</f>
        <v>0</v>
      </c>
      <c r="R8" s="221">
        <f>ROUND(data!I72,0)</f>
        <v>0</v>
      </c>
      <c r="S8" s="221">
        <f>ROUND(data!I73,0)</f>
        <v>0</v>
      </c>
      <c r="T8" s="221">
        <f>ROUND(data!I74,0)</f>
        <v>0</v>
      </c>
      <c r="U8" s="221">
        <f>ROUND(data!I75,0)</f>
        <v>0</v>
      </c>
      <c r="V8" s="221">
        <f>ROUND(data!I76,0)</f>
        <v>0</v>
      </c>
      <c r="W8" s="221">
        <f>ROUND(data!I77,0)</f>
        <v>0</v>
      </c>
      <c r="X8" s="221">
        <f>ROUND(data!I78,0)</f>
        <v>0</v>
      </c>
      <c r="Y8" s="221">
        <f>ROUND(data!I79,0)</f>
        <v>0</v>
      </c>
      <c r="Z8" s="221">
        <f>ROUND(data!I80,0)</f>
        <v>0</v>
      </c>
      <c r="AA8" s="221">
        <f>ROUND(data!I81,0)</f>
        <v>0</v>
      </c>
      <c r="AB8" s="221">
        <f>ROUND(data!I82,0)</f>
        <v>0</v>
      </c>
      <c r="AC8" s="221">
        <f>ROUND(data!I83,0)</f>
        <v>0</v>
      </c>
      <c r="AD8" s="221">
        <f>ROUND(data!I84,0)</f>
        <v>0</v>
      </c>
      <c r="AE8" s="221">
        <f>ROUND(data!I89,0)</f>
        <v>0</v>
      </c>
      <c r="AF8" s="221">
        <f>ROUND(data!I87,0)</f>
        <v>0</v>
      </c>
      <c r="AG8" s="221">
        <f>IF(data!I90&gt;0,ROUND(data!I90,0),0)</f>
        <v>0</v>
      </c>
      <c r="AH8" s="221">
        <f>IF(data!I91&gt;0,ROUND(data!I91,0),0)</f>
        <v>0</v>
      </c>
      <c r="AI8" s="221">
        <f>IF(data!I92&gt;0,ROUND(data!I92,0),0)</f>
        <v>0</v>
      </c>
      <c r="AJ8" s="221">
        <f>IF(data!I93&gt;0,ROUND(data!I93,0),0)</f>
        <v>0</v>
      </c>
      <c r="AK8" s="211">
        <f>IF(data!I94&gt;0,ROUND(data!I94,2),0)</f>
        <v>0</v>
      </c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</row>
    <row r="9" spans="1:89" s="11" customFormat="1" ht="12.6" customHeight="1" x14ac:dyDescent="0.25">
      <c r="A9" s="15" t="str">
        <f>RIGHT(data!$C$97,3)</f>
        <v>164</v>
      </c>
      <c r="B9" s="223" t="str">
        <f>RIGHT(data!$C$96,4)</f>
        <v>2022</v>
      </c>
      <c r="C9" s="15" t="str">
        <f>data!J$55</f>
        <v>6170</v>
      </c>
      <c r="D9" s="15" t="s">
        <v>1120</v>
      </c>
      <c r="E9" s="221">
        <f>ROUND(data!J59,0)</f>
        <v>0</v>
      </c>
      <c r="F9" s="211">
        <f>ROUND(data!J60,2)</f>
        <v>0</v>
      </c>
      <c r="G9" s="221">
        <f>ROUND(data!J61,0)</f>
        <v>0</v>
      </c>
      <c r="H9" s="221">
        <f>ROUND(data!J62,0)</f>
        <v>0</v>
      </c>
      <c r="I9" s="221">
        <f>ROUND(data!J63,0)</f>
        <v>0</v>
      </c>
      <c r="J9" s="221">
        <f>ROUND(data!J64,0)</f>
        <v>0</v>
      </c>
      <c r="K9" s="221">
        <f>ROUND(data!J65,0)</f>
        <v>0</v>
      </c>
      <c r="L9" s="221">
        <f>ROUND(data!J66,0)</f>
        <v>0</v>
      </c>
      <c r="M9" s="65">
        <f>ROUND(data!J67,0)</f>
        <v>0</v>
      </c>
      <c r="N9" s="221">
        <f>ROUND(data!J68,0)</f>
        <v>0</v>
      </c>
      <c r="O9" s="221">
        <f>ROUND(data!J69,0)</f>
        <v>0</v>
      </c>
      <c r="P9" s="221">
        <f>ROUND(data!J70,0)</f>
        <v>0</v>
      </c>
      <c r="Q9" s="221">
        <f>ROUND(data!J71,0)</f>
        <v>0</v>
      </c>
      <c r="R9" s="221">
        <f>ROUND(data!J72,0)</f>
        <v>0</v>
      </c>
      <c r="S9" s="221">
        <f>ROUND(data!J73,0)</f>
        <v>0</v>
      </c>
      <c r="T9" s="221">
        <f>ROUND(data!J74,0)</f>
        <v>0</v>
      </c>
      <c r="U9" s="221">
        <f>ROUND(data!J75,0)</f>
        <v>0</v>
      </c>
      <c r="V9" s="221">
        <f>ROUND(data!J76,0)</f>
        <v>0</v>
      </c>
      <c r="W9" s="221">
        <f>ROUND(data!J77,0)</f>
        <v>0</v>
      </c>
      <c r="X9" s="221">
        <f>ROUND(data!J78,0)</f>
        <v>0</v>
      </c>
      <c r="Y9" s="221">
        <f>ROUND(data!J79,0)</f>
        <v>0</v>
      </c>
      <c r="Z9" s="221">
        <f>ROUND(data!J80,0)</f>
        <v>0</v>
      </c>
      <c r="AA9" s="221">
        <f>ROUND(data!J81,0)</f>
        <v>0</v>
      </c>
      <c r="AB9" s="221">
        <f>ROUND(data!J82,0)</f>
        <v>0</v>
      </c>
      <c r="AC9" s="221">
        <f>ROUND(data!J83,0)</f>
        <v>0</v>
      </c>
      <c r="AD9" s="221">
        <f>ROUND(data!J84,0)</f>
        <v>0</v>
      </c>
      <c r="AE9" s="221">
        <f>ROUND(data!J89,0)</f>
        <v>0</v>
      </c>
      <c r="AF9" s="221">
        <f>ROUND(data!J87,0)</f>
        <v>0</v>
      </c>
      <c r="AG9" s="221">
        <f>IF(data!J90&gt;0,ROUND(data!J90,0),0)</f>
        <v>0</v>
      </c>
      <c r="AH9" s="221">
        <f>IF(data!J91&gt;0,ROUND(data!J91,0),0)</f>
        <v>0</v>
      </c>
      <c r="AI9" s="221">
        <f>IF(data!J92&gt;0,ROUND(data!J92,0),0)</f>
        <v>0</v>
      </c>
      <c r="AJ9" s="221">
        <f>IF(data!J93&gt;0,ROUND(data!J93,0),0)</f>
        <v>0</v>
      </c>
      <c r="AK9" s="211">
        <f>IF(data!J94&gt;0,ROUND(data!J94,2),0)</f>
        <v>0</v>
      </c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</row>
    <row r="10" spans="1:89" s="11" customFormat="1" ht="12.6" customHeight="1" x14ac:dyDescent="0.25">
      <c r="A10" s="15" t="str">
        <f>RIGHT(data!$C$97,3)</f>
        <v>164</v>
      </c>
      <c r="B10" s="223" t="str">
        <f>RIGHT(data!$C$96,4)</f>
        <v>2022</v>
      </c>
      <c r="C10" s="15" t="str">
        <f>data!K$55</f>
        <v>6200</v>
      </c>
      <c r="D10" s="15" t="s">
        <v>1120</v>
      </c>
      <c r="E10" s="221">
        <f>ROUND(data!K59,0)</f>
        <v>0</v>
      </c>
      <c r="F10" s="211">
        <f>ROUND(data!K60,2)</f>
        <v>0</v>
      </c>
      <c r="G10" s="221">
        <f>ROUND(data!K61,0)</f>
        <v>0</v>
      </c>
      <c r="H10" s="221">
        <f>ROUND(data!K62,0)</f>
        <v>0</v>
      </c>
      <c r="I10" s="221">
        <f>ROUND(data!K63,0)</f>
        <v>0</v>
      </c>
      <c r="J10" s="221">
        <f>ROUND(data!K64,0)</f>
        <v>0</v>
      </c>
      <c r="K10" s="221">
        <f>ROUND(data!K65,0)</f>
        <v>0</v>
      </c>
      <c r="L10" s="221">
        <f>ROUND(data!K66,0)</f>
        <v>0</v>
      </c>
      <c r="M10" s="65">
        <f>ROUND(data!K67,0)</f>
        <v>0</v>
      </c>
      <c r="N10" s="221">
        <f>ROUND(data!K68,0)</f>
        <v>0</v>
      </c>
      <c r="O10" s="221">
        <f>ROUND(data!K69,0)</f>
        <v>0</v>
      </c>
      <c r="P10" s="221">
        <f>ROUND(data!K70,0)</f>
        <v>0</v>
      </c>
      <c r="Q10" s="221">
        <f>ROUND(data!K71,0)</f>
        <v>0</v>
      </c>
      <c r="R10" s="221">
        <f>ROUND(data!K72,0)</f>
        <v>0</v>
      </c>
      <c r="S10" s="221">
        <f>ROUND(data!K73,0)</f>
        <v>0</v>
      </c>
      <c r="T10" s="221">
        <f>ROUND(data!K74,0)</f>
        <v>0</v>
      </c>
      <c r="U10" s="221">
        <f>ROUND(data!K75,0)</f>
        <v>0</v>
      </c>
      <c r="V10" s="221">
        <f>ROUND(data!K76,0)</f>
        <v>0</v>
      </c>
      <c r="W10" s="221">
        <f>ROUND(data!K77,0)</f>
        <v>0</v>
      </c>
      <c r="X10" s="221">
        <f>ROUND(data!K78,0)</f>
        <v>0</v>
      </c>
      <c r="Y10" s="221">
        <f>ROUND(data!K79,0)</f>
        <v>0</v>
      </c>
      <c r="Z10" s="221">
        <f>ROUND(data!K80,0)</f>
        <v>0</v>
      </c>
      <c r="AA10" s="221">
        <f>ROUND(data!K81,0)</f>
        <v>0</v>
      </c>
      <c r="AB10" s="221">
        <f>ROUND(data!K82,0)</f>
        <v>0</v>
      </c>
      <c r="AC10" s="221">
        <f>ROUND(data!K83,0)</f>
        <v>0</v>
      </c>
      <c r="AD10" s="221">
        <f>ROUND(data!K84,0)</f>
        <v>0</v>
      </c>
      <c r="AE10" s="221">
        <f>ROUND(data!K89,0)</f>
        <v>0</v>
      </c>
      <c r="AF10" s="221">
        <f>ROUND(data!K87,0)</f>
        <v>0</v>
      </c>
      <c r="AG10" s="221">
        <f>IF(data!K90&gt;0,ROUND(data!K90,0),0)</f>
        <v>0</v>
      </c>
      <c r="AH10" s="221">
        <f>IF(data!K91&gt;0,ROUND(data!K91,0),0)</f>
        <v>0</v>
      </c>
      <c r="AI10" s="221">
        <f>IF(data!K92&gt;0,ROUND(data!K92,0),0)</f>
        <v>0</v>
      </c>
      <c r="AJ10" s="221">
        <f>IF(data!K93&gt;0,ROUND(data!K93,0),0)</f>
        <v>0</v>
      </c>
      <c r="AK10" s="211">
        <f>IF(data!K94&gt;0,ROUND(data!K94,2),0)</f>
        <v>0</v>
      </c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5"/>
    </row>
    <row r="11" spans="1:89" s="11" customFormat="1" ht="12.6" customHeight="1" x14ac:dyDescent="0.25">
      <c r="A11" s="15" t="str">
        <f>RIGHT(data!$C$97,3)</f>
        <v>164</v>
      </c>
      <c r="B11" s="223" t="str">
        <f>RIGHT(data!$C$96,4)</f>
        <v>2022</v>
      </c>
      <c r="C11" s="15" t="str">
        <f>data!L$55</f>
        <v>6210</v>
      </c>
      <c r="D11" s="15" t="s">
        <v>1120</v>
      </c>
      <c r="E11" s="221">
        <f>ROUND(data!L59,0)</f>
        <v>0</v>
      </c>
      <c r="F11" s="211">
        <f>ROUND(data!L60,2)</f>
        <v>0</v>
      </c>
      <c r="G11" s="221">
        <f>ROUND(data!L61,0)</f>
        <v>0</v>
      </c>
      <c r="H11" s="221">
        <f>ROUND(data!L62,0)</f>
        <v>0</v>
      </c>
      <c r="I11" s="221">
        <f>ROUND(data!L63,0)</f>
        <v>0</v>
      </c>
      <c r="J11" s="221">
        <f>ROUND(data!L64,0)</f>
        <v>0</v>
      </c>
      <c r="K11" s="221">
        <f>ROUND(data!L65,0)</f>
        <v>0</v>
      </c>
      <c r="L11" s="221">
        <f>ROUND(data!L66,0)</f>
        <v>0</v>
      </c>
      <c r="M11" s="65">
        <f>ROUND(data!L67,0)</f>
        <v>0</v>
      </c>
      <c r="N11" s="221">
        <f>ROUND(data!L68,0)</f>
        <v>0</v>
      </c>
      <c r="O11" s="221">
        <f>ROUND(data!L69,0)</f>
        <v>0</v>
      </c>
      <c r="P11" s="221">
        <f>ROUND(data!L70,0)</f>
        <v>0</v>
      </c>
      <c r="Q11" s="221">
        <f>ROUND(data!L71,0)</f>
        <v>0</v>
      </c>
      <c r="R11" s="221">
        <f>ROUND(data!L72,0)</f>
        <v>0</v>
      </c>
      <c r="S11" s="221">
        <f>ROUND(data!L73,0)</f>
        <v>0</v>
      </c>
      <c r="T11" s="221">
        <f>ROUND(data!L74,0)</f>
        <v>0</v>
      </c>
      <c r="U11" s="221">
        <f>ROUND(data!L75,0)</f>
        <v>0</v>
      </c>
      <c r="V11" s="221">
        <f>ROUND(data!L76,0)</f>
        <v>0</v>
      </c>
      <c r="W11" s="221">
        <f>ROUND(data!L77,0)</f>
        <v>0</v>
      </c>
      <c r="X11" s="221">
        <f>ROUND(data!L78,0)</f>
        <v>0</v>
      </c>
      <c r="Y11" s="221">
        <f>ROUND(data!L79,0)</f>
        <v>0</v>
      </c>
      <c r="Z11" s="221">
        <f>ROUND(data!L80,0)</f>
        <v>0</v>
      </c>
      <c r="AA11" s="221">
        <f>ROUND(data!L81,0)</f>
        <v>0</v>
      </c>
      <c r="AB11" s="221">
        <f>ROUND(data!L82,0)</f>
        <v>0</v>
      </c>
      <c r="AC11" s="221">
        <f>ROUND(data!L83,0)</f>
        <v>0</v>
      </c>
      <c r="AD11" s="221">
        <f>ROUND(data!L84,0)</f>
        <v>0</v>
      </c>
      <c r="AE11" s="221">
        <f>ROUND(data!L89,0)</f>
        <v>0</v>
      </c>
      <c r="AF11" s="221">
        <f>ROUND(data!L87,0)</f>
        <v>0</v>
      </c>
      <c r="AG11" s="221">
        <f>IF(data!L90&gt;0,ROUND(data!L90,0),0)</f>
        <v>0</v>
      </c>
      <c r="AH11" s="221">
        <f>IF(data!L91&gt;0,ROUND(data!L91,0),0)</f>
        <v>0</v>
      </c>
      <c r="AI11" s="221">
        <f>IF(data!L92&gt;0,ROUND(data!L92,0),0)</f>
        <v>0</v>
      </c>
      <c r="AJ11" s="221">
        <f>IF(data!L93&gt;0,ROUND(data!L93,0),0)</f>
        <v>0</v>
      </c>
      <c r="AK11" s="211">
        <f>IF(data!L94&gt;0,ROUND(data!L94,2),0)</f>
        <v>0</v>
      </c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</row>
    <row r="12" spans="1:89" s="11" customFormat="1" ht="12.6" customHeight="1" x14ac:dyDescent="0.25">
      <c r="A12" s="15" t="str">
        <f>RIGHT(data!$C$97,3)</f>
        <v>164</v>
      </c>
      <c r="B12" s="223" t="str">
        <f>RIGHT(data!$C$96,4)</f>
        <v>2022</v>
      </c>
      <c r="C12" s="15" t="str">
        <f>data!M$55</f>
        <v>6330</v>
      </c>
      <c r="D12" s="15" t="s">
        <v>1120</v>
      </c>
      <c r="E12" s="221">
        <f>ROUND(data!M59,0)</f>
        <v>3157</v>
      </c>
      <c r="F12" s="211">
        <f>ROUND(data!M60,2)</f>
        <v>48.8</v>
      </c>
      <c r="G12" s="221">
        <f>ROUND(data!M61,0)</f>
        <v>5664293</v>
      </c>
      <c r="H12" s="221">
        <f>ROUND(data!M62,0)</f>
        <v>1361338</v>
      </c>
      <c r="I12" s="221">
        <f>ROUND(data!M63,0)</f>
        <v>0</v>
      </c>
      <c r="J12" s="221">
        <f>ROUND(data!M64,0)</f>
        <v>171444</v>
      </c>
      <c r="K12" s="221">
        <f>ROUND(data!M65,0)</f>
        <v>12585</v>
      </c>
      <c r="L12" s="221">
        <f>ROUND(data!M66,0)</f>
        <v>101923</v>
      </c>
      <c r="M12" s="65">
        <f>ROUND(data!M67,0)</f>
        <v>238354</v>
      </c>
      <c r="N12" s="221">
        <f>ROUND(data!M68,0)</f>
        <v>25943</v>
      </c>
      <c r="O12" s="221">
        <f>ROUND(data!M69,0)</f>
        <v>39007</v>
      </c>
      <c r="P12" s="221">
        <f>ROUND(data!M70,0)</f>
        <v>0</v>
      </c>
      <c r="Q12" s="221">
        <f>ROUND(data!M71,0)</f>
        <v>0</v>
      </c>
      <c r="R12" s="221">
        <f>ROUND(data!M72,0)</f>
        <v>0</v>
      </c>
      <c r="S12" s="221">
        <f>ROUND(data!M73,0)</f>
        <v>0</v>
      </c>
      <c r="T12" s="221">
        <f>ROUND(data!M74,0)</f>
        <v>0</v>
      </c>
      <c r="U12" s="221">
        <f>ROUND(data!M75,0)</f>
        <v>0</v>
      </c>
      <c r="V12" s="221">
        <f>ROUND(data!M76,0)</f>
        <v>0</v>
      </c>
      <c r="W12" s="221">
        <f>ROUND(data!M77,0)</f>
        <v>0</v>
      </c>
      <c r="X12" s="221">
        <f>ROUND(data!M78,0)</f>
        <v>0</v>
      </c>
      <c r="Y12" s="221">
        <f>ROUND(data!M79,0)</f>
        <v>0</v>
      </c>
      <c r="Z12" s="221">
        <f>ROUND(data!M80,0)</f>
        <v>0</v>
      </c>
      <c r="AA12" s="221">
        <f>ROUND(data!M81,0)</f>
        <v>0</v>
      </c>
      <c r="AB12" s="221">
        <f>ROUND(data!M82,0)</f>
        <v>0</v>
      </c>
      <c r="AC12" s="221">
        <f>ROUND(data!M83,0)</f>
        <v>39007</v>
      </c>
      <c r="AD12" s="221">
        <f>ROUND(data!M84,0)</f>
        <v>914498</v>
      </c>
      <c r="AE12" s="221">
        <f>ROUND(data!M89,0)</f>
        <v>4746162</v>
      </c>
      <c r="AF12" s="221">
        <f>ROUND(data!M87,0)</f>
        <v>4252046</v>
      </c>
      <c r="AG12" s="221">
        <f>IF(data!M90&gt;0,ROUND(data!M90,0),0)</f>
        <v>20520</v>
      </c>
      <c r="AH12" s="221">
        <f>IF(data!M91&gt;0,ROUND(data!M91,0),0)</f>
        <v>4444</v>
      </c>
      <c r="AI12" s="221">
        <f>IF(data!M92&gt;0,ROUND(data!M92,0),0)</f>
        <v>2617</v>
      </c>
      <c r="AJ12" s="221">
        <f>IF(data!M93&gt;0,ROUND(data!M93,0),0)</f>
        <v>29900</v>
      </c>
      <c r="AK12" s="211">
        <f>IF(data!M94&gt;0,ROUND(data!M94,2),0)</f>
        <v>18.59</v>
      </c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E12" s="65"/>
      <c r="BF12" s="65"/>
      <c r="BG12" s="65"/>
      <c r="BH12" s="65"/>
      <c r="BI12" s="65"/>
      <c r="BJ12" s="65"/>
      <c r="BK12" s="65"/>
      <c r="BL12" s="65"/>
      <c r="BM12" s="65"/>
      <c r="BN12" s="65"/>
      <c r="BO12" s="65"/>
      <c r="BP12" s="65"/>
      <c r="BQ12" s="65"/>
      <c r="BR12" s="65"/>
      <c r="BS12" s="65"/>
      <c r="BT12" s="65"/>
      <c r="BU12" s="65"/>
      <c r="BV12" s="65"/>
      <c r="BW12" s="65"/>
      <c r="BX12" s="65"/>
      <c r="BY12" s="65"/>
      <c r="BZ12" s="65"/>
      <c r="CA12" s="65"/>
      <c r="CB12" s="65"/>
      <c r="CC12" s="65"/>
      <c r="CD12" s="65"/>
      <c r="CE12" s="65"/>
      <c r="CF12" s="65"/>
      <c r="CG12" s="65"/>
      <c r="CH12" s="65"/>
      <c r="CI12" s="65"/>
      <c r="CJ12" s="65"/>
      <c r="CK12" s="65"/>
    </row>
    <row r="13" spans="1:89" s="11" customFormat="1" ht="12.6" customHeight="1" x14ac:dyDescent="0.25">
      <c r="A13" s="15" t="str">
        <f>RIGHT(data!$C$97,3)</f>
        <v>164</v>
      </c>
      <c r="B13" s="223" t="str">
        <f>RIGHT(data!$C$96,4)</f>
        <v>2022</v>
      </c>
      <c r="C13" s="15" t="str">
        <f>data!N$55</f>
        <v>6400</v>
      </c>
      <c r="D13" s="15" t="s">
        <v>1120</v>
      </c>
      <c r="E13" s="221">
        <f>ROUND(data!N59,0)</f>
        <v>0</v>
      </c>
      <c r="F13" s="211">
        <f>ROUND(data!N60,2)</f>
        <v>55.04</v>
      </c>
      <c r="G13" s="221">
        <f>ROUND(data!N61,0)</f>
        <v>19337765</v>
      </c>
      <c r="H13" s="221">
        <f>ROUND(data!N62,0)</f>
        <v>3308680</v>
      </c>
      <c r="I13" s="221">
        <f>ROUND(data!N63,0)</f>
        <v>707373</v>
      </c>
      <c r="J13" s="221">
        <f>ROUND(data!N64,0)</f>
        <v>28153</v>
      </c>
      <c r="K13" s="221">
        <f>ROUND(data!N65,0)</f>
        <v>29691</v>
      </c>
      <c r="L13" s="221">
        <f>ROUND(data!N66,0)</f>
        <v>3021</v>
      </c>
      <c r="M13" s="65">
        <f>ROUND(data!N67,0)</f>
        <v>3939</v>
      </c>
      <c r="N13" s="221">
        <f>ROUND(data!N68,0)</f>
        <v>0</v>
      </c>
      <c r="O13" s="221">
        <f>ROUND(data!N69,0)</f>
        <v>256682</v>
      </c>
      <c r="P13" s="221">
        <f>ROUND(data!N70,0)</f>
        <v>0</v>
      </c>
      <c r="Q13" s="221">
        <f>ROUND(data!N71,0)</f>
        <v>0</v>
      </c>
      <c r="R13" s="221">
        <f>ROUND(data!N72,0)</f>
        <v>0</v>
      </c>
      <c r="S13" s="221">
        <f>ROUND(data!N73,0)</f>
        <v>0</v>
      </c>
      <c r="T13" s="221">
        <f>ROUND(data!N74,0)</f>
        <v>0</v>
      </c>
      <c r="U13" s="221">
        <f>ROUND(data!N75,0)</f>
        <v>0</v>
      </c>
      <c r="V13" s="221">
        <f>ROUND(data!N76,0)</f>
        <v>0</v>
      </c>
      <c r="W13" s="221">
        <f>ROUND(data!N77,0)</f>
        <v>0</v>
      </c>
      <c r="X13" s="221">
        <f>ROUND(data!N78,0)</f>
        <v>0</v>
      </c>
      <c r="Y13" s="221">
        <f>ROUND(data!N79,0)</f>
        <v>0</v>
      </c>
      <c r="Z13" s="221">
        <f>ROUND(data!N80,0)</f>
        <v>0</v>
      </c>
      <c r="AA13" s="221">
        <f>ROUND(data!N81,0)</f>
        <v>0</v>
      </c>
      <c r="AB13" s="221">
        <f>ROUND(data!N82,0)</f>
        <v>0</v>
      </c>
      <c r="AC13" s="221">
        <f>ROUND(data!N83,0)</f>
        <v>256682</v>
      </c>
      <c r="AD13" s="221">
        <f>ROUND(data!N84,0)</f>
        <v>42466</v>
      </c>
      <c r="AE13" s="221">
        <f>ROUND(data!N89,0)</f>
        <v>21471171</v>
      </c>
      <c r="AF13" s="221">
        <f>ROUND(data!N87,0)</f>
        <v>19703218</v>
      </c>
      <c r="AG13" s="221">
        <f>IF(data!N90&gt;0,ROUND(data!N90,0),0)</f>
        <v>5055</v>
      </c>
      <c r="AH13" s="221">
        <f>IF(data!N91&gt;0,ROUND(data!N91,0),0)</f>
        <v>0</v>
      </c>
      <c r="AI13" s="221">
        <f>IF(data!N92&gt;0,ROUND(data!N92,0),0)</f>
        <v>645</v>
      </c>
      <c r="AJ13" s="221">
        <f>IF(data!N93&gt;0,ROUND(data!N93,0),0)</f>
        <v>0</v>
      </c>
      <c r="AK13" s="211">
        <f>IF(data!N94&gt;0,ROUND(data!N94,2),0)</f>
        <v>2.0099999999999998</v>
      </c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E13" s="65"/>
      <c r="BF13" s="65"/>
      <c r="BG13" s="65"/>
      <c r="BH13" s="65"/>
      <c r="BI13" s="65"/>
      <c r="BJ13" s="65"/>
      <c r="BK13" s="65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  <c r="CA13" s="65"/>
      <c r="CB13" s="65"/>
      <c r="CC13" s="65"/>
      <c r="CD13" s="65"/>
      <c r="CE13" s="65"/>
      <c r="CF13" s="65"/>
      <c r="CG13" s="65"/>
      <c r="CH13" s="65"/>
      <c r="CI13" s="65"/>
      <c r="CJ13" s="65"/>
      <c r="CK13" s="65"/>
    </row>
    <row r="14" spans="1:89" s="11" customFormat="1" ht="12.6" customHeight="1" x14ac:dyDescent="0.25">
      <c r="A14" s="15" t="str">
        <f>RIGHT(data!$C$97,3)</f>
        <v>164</v>
      </c>
      <c r="B14" s="223" t="str">
        <f>RIGHT(data!$C$96,4)</f>
        <v>2022</v>
      </c>
      <c r="C14" s="15" t="str">
        <f>data!O$55</f>
        <v>7010</v>
      </c>
      <c r="D14" s="15" t="s">
        <v>1120</v>
      </c>
      <c r="E14" s="221">
        <f>ROUND(data!O59,0)</f>
        <v>4529</v>
      </c>
      <c r="F14" s="211">
        <f>ROUND(data!O60,2)</f>
        <v>179.02</v>
      </c>
      <c r="G14" s="221">
        <f>ROUND(data!O61,0)</f>
        <v>26838694</v>
      </c>
      <c r="H14" s="221">
        <f>ROUND(data!O62,0)</f>
        <v>4275608</v>
      </c>
      <c r="I14" s="221">
        <f>ROUND(data!O63,0)</f>
        <v>1761146</v>
      </c>
      <c r="J14" s="221">
        <f>ROUND(data!O64,0)</f>
        <v>2797298</v>
      </c>
      <c r="K14" s="221">
        <f>ROUND(data!O65,0)</f>
        <v>0</v>
      </c>
      <c r="L14" s="221">
        <f>ROUND(data!O66,0)</f>
        <v>327042</v>
      </c>
      <c r="M14" s="65">
        <f>ROUND(data!O67,0)</f>
        <v>1965993</v>
      </c>
      <c r="N14" s="221">
        <f>ROUND(data!O68,0)</f>
        <v>0</v>
      </c>
      <c r="O14" s="221">
        <f>ROUND(data!O69,0)</f>
        <v>18679</v>
      </c>
      <c r="P14" s="221">
        <f>ROUND(data!O70,0)</f>
        <v>0</v>
      </c>
      <c r="Q14" s="221">
        <f>ROUND(data!O71,0)</f>
        <v>0</v>
      </c>
      <c r="R14" s="221">
        <f>ROUND(data!O72,0)</f>
        <v>0</v>
      </c>
      <c r="S14" s="221">
        <f>ROUND(data!O73,0)</f>
        <v>0</v>
      </c>
      <c r="T14" s="221">
        <f>ROUND(data!O74,0)</f>
        <v>0</v>
      </c>
      <c r="U14" s="221">
        <f>ROUND(data!O75,0)</f>
        <v>0</v>
      </c>
      <c r="V14" s="221">
        <f>ROUND(data!O76,0)</f>
        <v>0</v>
      </c>
      <c r="W14" s="221">
        <f>ROUND(data!O77,0)</f>
        <v>0</v>
      </c>
      <c r="X14" s="221">
        <f>ROUND(data!O78,0)</f>
        <v>0</v>
      </c>
      <c r="Y14" s="221">
        <f>ROUND(data!O79,0)</f>
        <v>0</v>
      </c>
      <c r="Z14" s="221">
        <f>ROUND(data!O80,0)</f>
        <v>0</v>
      </c>
      <c r="AA14" s="221">
        <f>ROUND(data!O81,0)</f>
        <v>0</v>
      </c>
      <c r="AB14" s="221">
        <f>ROUND(data!O82,0)</f>
        <v>0</v>
      </c>
      <c r="AC14" s="221">
        <f>ROUND(data!O83,0)</f>
        <v>18679</v>
      </c>
      <c r="AD14" s="221">
        <f>ROUND(data!O84,0)</f>
        <v>10385</v>
      </c>
      <c r="AE14" s="221">
        <f>ROUND(data!O89,0)</f>
        <v>105446084</v>
      </c>
      <c r="AF14" s="221">
        <f>ROUND(data!O87,0)</f>
        <v>100546133</v>
      </c>
      <c r="AG14" s="221">
        <f>IF(data!O90&gt;0,ROUND(data!O90,0),0)</f>
        <v>54397</v>
      </c>
      <c r="AH14" s="221">
        <f>IF(data!O91&gt;0,ROUND(data!O91,0),0)</f>
        <v>36856</v>
      </c>
      <c r="AI14" s="221">
        <f>IF(data!O92&gt;0,ROUND(data!O92,0),0)</f>
        <v>6938</v>
      </c>
      <c r="AJ14" s="221">
        <f>IF(data!O93&gt;0,ROUND(data!O93,0),0)</f>
        <v>348652</v>
      </c>
      <c r="AK14" s="211">
        <f>IF(data!O94&gt;0,ROUND(data!O94,2),0)</f>
        <v>126.53</v>
      </c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5"/>
      <c r="BK14" s="65"/>
      <c r="BL14" s="65"/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5"/>
      <c r="CA14" s="65"/>
      <c r="CB14" s="65"/>
      <c r="CC14" s="65"/>
      <c r="CD14" s="65"/>
      <c r="CE14" s="65"/>
      <c r="CF14" s="65"/>
      <c r="CG14" s="65"/>
      <c r="CH14" s="65"/>
      <c r="CI14" s="65"/>
      <c r="CJ14" s="65"/>
      <c r="CK14" s="65"/>
    </row>
    <row r="15" spans="1:89" s="11" customFormat="1" ht="12.6" customHeight="1" x14ac:dyDescent="0.25">
      <c r="A15" s="15" t="str">
        <f>RIGHT(data!$C$97,3)</f>
        <v>164</v>
      </c>
      <c r="B15" s="223" t="str">
        <f>RIGHT(data!$C$96,4)</f>
        <v>2022</v>
      </c>
      <c r="C15" s="15" t="str">
        <f>data!P$55</f>
        <v>7020</v>
      </c>
      <c r="D15" s="15" t="s">
        <v>1120</v>
      </c>
      <c r="E15" s="221">
        <f>ROUND(data!P59,0)</f>
        <v>790735</v>
      </c>
      <c r="F15" s="211">
        <f>ROUND(data!P60,2)</f>
        <v>106.17</v>
      </c>
      <c r="G15" s="221">
        <f>ROUND(data!P61,0)</f>
        <v>13018396</v>
      </c>
      <c r="H15" s="221">
        <f>ROUND(data!P62,0)</f>
        <v>2392764</v>
      </c>
      <c r="I15" s="221">
        <f>ROUND(data!P63,0)</f>
        <v>0</v>
      </c>
      <c r="J15" s="221">
        <f>ROUND(data!P64,0)</f>
        <v>38309593</v>
      </c>
      <c r="K15" s="221">
        <f>ROUND(data!P65,0)</f>
        <v>0</v>
      </c>
      <c r="L15" s="221">
        <f>ROUND(data!P66,0)</f>
        <v>2648760</v>
      </c>
      <c r="M15" s="65">
        <f>ROUND(data!P67,0)</f>
        <v>3673385</v>
      </c>
      <c r="N15" s="221">
        <f>ROUND(data!P68,0)</f>
        <v>71538</v>
      </c>
      <c r="O15" s="221">
        <f>ROUND(data!P69,0)</f>
        <v>12992</v>
      </c>
      <c r="P15" s="221">
        <f>ROUND(data!P70,0)</f>
        <v>0</v>
      </c>
      <c r="Q15" s="221">
        <f>ROUND(data!P71,0)</f>
        <v>0</v>
      </c>
      <c r="R15" s="221">
        <f>ROUND(data!P72,0)</f>
        <v>0</v>
      </c>
      <c r="S15" s="221">
        <f>ROUND(data!P73,0)</f>
        <v>0</v>
      </c>
      <c r="T15" s="221">
        <f>ROUND(data!P74,0)</f>
        <v>0</v>
      </c>
      <c r="U15" s="221">
        <f>ROUND(data!P75,0)</f>
        <v>0</v>
      </c>
      <c r="V15" s="221">
        <f>ROUND(data!P76,0)</f>
        <v>0</v>
      </c>
      <c r="W15" s="221">
        <f>ROUND(data!P77,0)</f>
        <v>0</v>
      </c>
      <c r="X15" s="221">
        <f>ROUND(data!P78,0)</f>
        <v>0</v>
      </c>
      <c r="Y15" s="221">
        <f>ROUND(data!P79,0)</f>
        <v>0</v>
      </c>
      <c r="Z15" s="221">
        <f>ROUND(data!P80,0)</f>
        <v>0</v>
      </c>
      <c r="AA15" s="221">
        <f>ROUND(data!P81,0)</f>
        <v>0</v>
      </c>
      <c r="AB15" s="221">
        <f>ROUND(data!P82,0)</f>
        <v>0</v>
      </c>
      <c r="AC15" s="221">
        <f>ROUND(data!P83,0)</f>
        <v>12992</v>
      </c>
      <c r="AD15" s="221">
        <f>ROUND(data!P84,0)</f>
        <v>5481</v>
      </c>
      <c r="AE15" s="221">
        <f>ROUND(data!P89,0)</f>
        <v>298446564</v>
      </c>
      <c r="AF15" s="221">
        <f>ROUND(data!P87,0)</f>
        <v>80227761</v>
      </c>
      <c r="AG15" s="221">
        <f>IF(data!P90&gt;0,ROUND(data!P90,0),0)</f>
        <v>71966</v>
      </c>
      <c r="AH15" s="221">
        <f>IF(data!P91&gt;0,ROUND(data!P91,0),0)</f>
        <v>0</v>
      </c>
      <c r="AI15" s="221">
        <f>IF(data!P92&gt;0,ROUND(data!P92,0),0)</f>
        <v>9181</v>
      </c>
      <c r="AJ15" s="221">
        <f>IF(data!P93&gt;0,ROUND(data!P93,0),0)</f>
        <v>152755</v>
      </c>
      <c r="AK15" s="211">
        <f>IF(data!P94&gt;0,ROUND(data!P94,2),0)</f>
        <v>50.25</v>
      </c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65"/>
      <c r="CA15" s="65"/>
      <c r="CB15" s="65"/>
      <c r="CC15" s="65"/>
      <c r="CD15" s="65"/>
      <c r="CE15" s="65"/>
      <c r="CF15" s="65"/>
      <c r="CG15" s="65"/>
      <c r="CH15" s="65"/>
      <c r="CI15" s="65"/>
      <c r="CJ15" s="65"/>
      <c r="CK15" s="65"/>
    </row>
    <row r="16" spans="1:89" s="11" customFormat="1" ht="12.6" customHeight="1" x14ac:dyDescent="0.25">
      <c r="A16" s="15" t="str">
        <f>RIGHT(data!$C$97,3)</f>
        <v>164</v>
      </c>
      <c r="B16" s="223" t="str">
        <f>RIGHT(data!$C$96,4)</f>
        <v>2022</v>
      </c>
      <c r="C16" s="15" t="str">
        <f>data!Q$55</f>
        <v>7030</v>
      </c>
      <c r="D16" s="15" t="s">
        <v>1120</v>
      </c>
      <c r="E16" s="221">
        <f>ROUND(data!Q59,0)</f>
        <v>1960348</v>
      </c>
      <c r="F16" s="211">
        <f>ROUND(data!Q60,2)</f>
        <v>56.23</v>
      </c>
      <c r="G16" s="221">
        <f>ROUND(data!Q61,0)</f>
        <v>8896782</v>
      </c>
      <c r="H16" s="221">
        <f>ROUND(data!Q62,0)</f>
        <v>1479251</v>
      </c>
      <c r="I16" s="221">
        <f>ROUND(data!Q63,0)</f>
        <v>0</v>
      </c>
      <c r="J16" s="221">
        <f>ROUND(data!Q64,0)</f>
        <v>749944</v>
      </c>
      <c r="K16" s="221">
        <f>ROUND(data!Q65,0)</f>
        <v>731</v>
      </c>
      <c r="L16" s="221">
        <f>ROUND(data!Q66,0)</f>
        <v>77089</v>
      </c>
      <c r="M16" s="65">
        <f>ROUND(data!Q67,0)</f>
        <v>139695</v>
      </c>
      <c r="N16" s="221">
        <f>ROUND(data!Q68,0)</f>
        <v>0</v>
      </c>
      <c r="O16" s="221">
        <f>ROUND(data!Q69,0)</f>
        <v>6374</v>
      </c>
      <c r="P16" s="221">
        <f>ROUND(data!Q70,0)</f>
        <v>0</v>
      </c>
      <c r="Q16" s="221">
        <f>ROUND(data!Q71,0)</f>
        <v>0</v>
      </c>
      <c r="R16" s="221">
        <f>ROUND(data!Q72,0)</f>
        <v>0</v>
      </c>
      <c r="S16" s="221">
        <f>ROUND(data!Q73,0)</f>
        <v>0</v>
      </c>
      <c r="T16" s="221">
        <f>ROUND(data!Q74,0)</f>
        <v>0</v>
      </c>
      <c r="U16" s="221">
        <f>ROUND(data!Q75,0)</f>
        <v>0</v>
      </c>
      <c r="V16" s="221">
        <f>ROUND(data!Q76,0)</f>
        <v>0</v>
      </c>
      <c r="W16" s="221">
        <f>ROUND(data!Q77,0)</f>
        <v>0</v>
      </c>
      <c r="X16" s="221">
        <f>ROUND(data!Q78,0)</f>
        <v>0</v>
      </c>
      <c r="Y16" s="221">
        <f>ROUND(data!Q79,0)</f>
        <v>0</v>
      </c>
      <c r="Z16" s="221">
        <f>ROUND(data!Q80,0)</f>
        <v>0</v>
      </c>
      <c r="AA16" s="221">
        <f>ROUND(data!Q81,0)</f>
        <v>0</v>
      </c>
      <c r="AB16" s="221">
        <f>ROUND(data!Q82,0)</f>
        <v>0</v>
      </c>
      <c r="AC16" s="221">
        <f>ROUND(data!Q83,0)</f>
        <v>6374</v>
      </c>
      <c r="AD16" s="221">
        <f>ROUND(data!Q84,0)</f>
        <v>0</v>
      </c>
      <c r="AE16" s="221">
        <f>ROUND(data!Q89,0)</f>
        <v>28631288</v>
      </c>
      <c r="AF16" s="221">
        <f>ROUND(data!Q87,0)</f>
        <v>5518314</v>
      </c>
      <c r="AG16" s="221">
        <f>IF(data!Q90&gt;0,ROUND(data!Q90,0),0)</f>
        <v>5119</v>
      </c>
      <c r="AH16" s="221">
        <f>IF(data!Q91&gt;0,ROUND(data!Q91,0),0)</f>
        <v>0</v>
      </c>
      <c r="AI16" s="221">
        <f>IF(data!Q92&gt;0,ROUND(data!Q92,0),0)</f>
        <v>653</v>
      </c>
      <c r="AJ16" s="221">
        <f>IF(data!Q93&gt;0,ROUND(data!Q93,0),0)</f>
        <v>0</v>
      </c>
      <c r="AK16" s="211">
        <f>IF(data!Q94&gt;0,ROUND(data!Q94,2),0)</f>
        <v>45.31</v>
      </c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65"/>
      <c r="BA16" s="65"/>
      <c r="BB16" s="65"/>
      <c r="BC16" s="65"/>
      <c r="BD16" s="65"/>
      <c r="BE16" s="65"/>
      <c r="BF16" s="65"/>
      <c r="BG16" s="65"/>
      <c r="BH16" s="65"/>
      <c r="BI16" s="65"/>
      <c r="BJ16" s="65"/>
      <c r="BK16" s="65"/>
      <c r="BL16" s="65"/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5"/>
      <c r="CA16" s="65"/>
      <c r="CB16" s="65"/>
      <c r="CC16" s="65"/>
      <c r="CD16" s="65"/>
      <c r="CE16" s="65"/>
      <c r="CF16" s="65"/>
      <c r="CG16" s="65"/>
      <c r="CH16" s="65"/>
      <c r="CI16" s="65"/>
      <c r="CJ16" s="65"/>
      <c r="CK16" s="65"/>
    </row>
    <row r="17" spans="1:89" s="11" customFormat="1" ht="12.6" customHeight="1" x14ac:dyDescent="0.25">
      <c r="A17" s="15" t="str">
        <f>RIGHT(data!$C$97,3)</f>
        <v>164</v>
      </c>
      <c r="B17" s="223" t="str">
        <f>RIGHT(data!$C$96,4)</f>
        <v>2022</v>
      </c>
      <c r="C17" s="15" t="str">
        <f>data!R$55</f>
        <v>7040</v>
      </c>
      <c r="D17" s="15" t="s">
        <v>1120</v>
      </c>
      <c r="E17" s="221">
        <f>ROUND(data!R59,0)</f>
        <v>1381181</v>
      </c>
      <c r="F17" s="211">
        <f>ROUND(data!R60,2)</f>
        <v>7.44</v>
      </c>
      <c r="G17" s="221">
        <f>ROUND(data!R61,0)</f>
        <v>761258</v>
      </c>
      <c r="H17" s="221">
        <f>ROUND(data!R62,0)</f>
        <v>77167</v>
      </c>
      <c r="I17" s="221">
        <f>ROUND(data!R63,0)</f>
        <v>0</v>
      </c>
      <c r="J17" s="221">
        <f>ROUND(data!R64,0)</f>
        <v>555702</v>
      </c>
      <c r="K17" s="221">
        <f>ROUND(data!R65,0)</f>
        <v>0</v>
      </c>
      <c r="L17" s="221">
        <f>ROUND(data!R66,0)</f>
        <v>63953</v>
      </c>
      <c r="M17" s="65">
        <f>ROUND(data!R67,0)</f>
        <v>137140</v>
      </c>
      <c r="N17" s="221">
        <f>ROUND(data!R68,0)</f>
        <v>0</v>
      </c>
      <c r="O17" s="221">
        <f>ROUND(data!R69,0)</f>
        <v>330</v>
      </c>
      <c r="P17" s="221">
        <f>ROUND(data!R70,0)</f>
        <v>0</v>
      </c>
      <c r="Q17" s="221">
        <f>ROUND(data!R71,0)</f>
        <v>0</v>
      </c>
      <c r="R17" s="221">
        <f>ROUND(data!R72,0)</f>
        <v>0</v>
      </c>
      <c r="S17" s="221">
        <f>ROUND(data!R73,0)</f>
        <v>0</v>
      </c>
      <c r="T17" s="221">
        <f>ROUND(data!R74,0)</f>
        <v>0</v>
      </c>
      <c r="U17" s="221">
        <f>ROUND(data!R75,0)</f>
        <v>0</v>
      </c>
      <c r="V17" s="221">
        <f>ROUND(data!R76,0)</f>
        <v>0</v>
      </c>
      <c r="W17" s="221">
        <f>ROUND(data!R77,0)</f>
        <v>0</v>
      </c>
      <c r="X17" s="221">
        <f>ROUND(data!R78,0)</f>
        <v>0</v>
      </c>
      <c r="Y17" s="221">
        <f>ROUND(data!R79,0)</f>
        <v>0</v>
      </c>
      <c r="Z17" s="221">
        <f>ROUND(data!R80,0)</f>
        <v>0</v>
      </c>
      <c r="AA17" s="221">
        <f>ROUND(data!R81,0)</f>
        <v>0</v>
      </c>
      <c r="AB17" s="221">
        <f>ROUND(data!R82,0)</f>
        <v>0</v>
      </c>
      <c r="AC17" s="221">
        <f>ROUND(data!R83,0)</f>
        <v>330</v>
      </c>
      <c r="AD17" s="221">
        <f>ROUND(data!R84,0)</f>
        <v>0</v>
      </c>
      <c r="AE17" s="221">
        <f>ROUND(data!R89,0)</f>
        <v>47411930</v>
      </c>
      <c r="AF17" s="221">
        <f>ROUND(data!R87,0)</f>
        <v>11867880</v>
      </c>
      <c r="AG17" s="221">
        <f>IF(data!R90&gt;0,ROUND(data!R90,0),0)</f>
        <v>651</v>
      </c>
      <c r="AH17" s="221">
        <f>IF(data!R91&gt;0,ROUND(data!R91,0),0)</f>
        <v>0</v>
      </c>
      <c r="AI17" s="221">
        <f>IF(data!R92&gt;0,ROUND(data!R92,0),0)</f>
        <v>83</v>
      </c>
      <c r="AJ17" s="221">
        <f>IF(data!R93&gt;0,ROUND(data!R93,0),0)</f>
        <v>0</v>
      </c>
      <c r="AK17" s="211">
        <f>IF(data!R94&gt;0,ROUND(data!R94,2),0)</f>
        <v>0</v>
      </c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65"/>
      <c r="BA17" s="65"/>
      <c r="BB17" s="65"/>
      <c r="BC17" s="65"/>
      <c r="BD17" s="65"/>
      <c r="BE17" s="65"/>
      <c r="BF17" s="65"/>
      <c r="BG17" s="65"/>
      <c r="BH17" s="65"/>
      <c r="BI17" s="65"/>
      <c r="BJ17" s="65"/>
      <c r="BK17" s="65"/>
      <c r="BL17" s="65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5"/>
      <c r="CA17" s="65"/>
      <c r="CB17" s="65"/>
      <c r="CC17" s="65"/>
      <c r="CD17" s="65"/>
      <c r="CE17" s="65"/>
      <c r="CF17" s="65"/>
      <c r="CG17" s="65"/>
      <c r="CH17" s="65"/>
      <c r="CI17" s="65"/>
      <c r="CJ17" s="65"/>
      <c r="CK17" s="65"/>
    </row>
    <row r="18" spans="1:89" s="11" customFormat="1" ht="12.6" customHeight="1" x14ac:dyDescent="0.25">
      <c r="A18" s="15" t="str">
        <f>RIGHT(data!$C$97,3)</f>
        <v>164</v>
      </c>
      <c r="B18" s="223" t="str">
        <f>RIGHT(data!$C$96,4)</f>
        <v>2022</v>
      </c>
      <c r="C18" s="15" t="str">
        <f>data!S$55</f>
        <v>7050</v>
      </c>
      <c r="D18" s="15" t="s">
        <v>1120</v>
      </c>
      <c r="E18" s="221"/>
      <c r="F18" s="211">
        <f>ROUND(data!S60,2)</f>
        <v>27.51</v>
      </c>
      <c r="G18" s="221">
        <f>ROUND(data!S61,0)</f>
        <v>1909871</v>
      </c>
      <c r="H18" s="221">
        <f>ROUND(data!S62,0)</f>
        <v>592832</v>
      </c>
      <c r="I18" s="221">
        <f>ROUND(data!S63,0)</f>
        <v>0</v>
      </c>
      <c r="J18" s="221">
        <f>ROUND(data!S64,0)</f>
        <v>818059</v>
      </c>
      <c r="K18" s="221">
        <f>ROUND(data!S65,0)</f>
        <v>0</v>
      </c>
      <c r="L18" s="221">
        <f>ROUND(data!S66,0)</f>
        <v>127259</v>
      </c>
      <c r="M18" s="65">
        <f>ROUND(data!S67,0)</f>
        <v>323889</v>
      </c>
      <c r="N18" s="221">
        <f>ROUND(data!S68,0)</f>
        <v>0</v>
      </c>
      <c r="O18" s="221">
        <f>ROUND(data!S69,0)</f>
        <v>579</v>
      </c>
      <c r="P18" s="221">
        <f>ROUND(data!S70,0)</f>
        <v>0</v>
      </c>
      <c r="Q18" s="221">
        <f>ROUND(data!S71,0)</f>
        <v>0</v>
      </c>
      <c r="R18" s="221">
        <f>ROUND(data!S72,0)</f>
        <v>0</v>
      </c>
      <c r="S18" s="221">
        <f>ROUND(data!S73,0)</f>
        <v>0</v>
      </c>
      <c r="T18" s="221">
        <f>ROUND(data!S74,0)</f>
        <v>0</v>
      </c>
      <c r="U18" s="221">
        <f>ROUND(data!S75,0)</f>
        <v>0</v>
      </c>
      <c r="V18" s="221">
        <f>ROUND(data!S76,0)</f>
        <v>0</v>
      </c>
      <c r="W18" s="221">
        <f>ROUND(data!S77,0)</f>
        <v>0</v>
      </c>
      <c r="X18" s="221">
        <f>ROUND(data!S78,0)</f>
        <v>0</v>
      </c>
      <c r="Y18" s="221">
        <f>ROUND(data!S79,0)</f>
        <v>0</v>
      </c>
      <c r="Z18" s="221">
        <f>ROUND(data!S80,0)</f>
        <v>0</v>
      </c>
      <c r="AA18" s="221">
        <f>ROUND(data!S81,0)</f>
        <v>0</v>
      </c>
      <c r="AB18" s="221">
        <f>ROUND(data!S82,0)</f>
        <v>0</v>
      </c>
      <c r="AC18" s="221">
        <f>ROUND(data!S83,0)</f>
        <v>579</v>
      </c>
      <c r="AD18" s="221">
        <f>ROUND(data!S84,0)</f>
        <v>0</v>
      </c>
      <c r="AE18" s="221">
        <f>ROUND(data!S89,0)</f>
        <v>0</v>
      </c>
      <c r="AF18" s="221">
        <f>ROUND(data!S87,0)</f>
        <v>0</v>
      </c>
      <c r="AG18" s="221">
        <f>IF(data!S90&gt;0,ROUND(data!S90,0),0)</f>
        <v>10270</v>
      </c>
      <c r="AH18" s="221">
        <f>IF(data!S91&gt;0,ROUND(data!S91,0),0)</f>
        <v>0</v>
      </c>
      <c r="AI18" s="221">
        <f>IF(data!S92&gt;0,ROUND(data!S92,0),0)</f>
        <v>1310</v>
      </c>
      <c r="AJ18" s="221">
        <f>IF(data!S93&gt;0,ROUND(data!S93,0),0)</f>
        <v>14841</v>
      </c>
      <c r="AK18" s="211">
        <f>IF(data!S94&gt;0,ROUND(data!S94,2),0)</f>
        <v>0</v>
      </c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5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5"/>
      <c r="CA18" s="65"/>
      <c r="CB18" s="65"/>
      <c r="CC18" s="65"/>
      <c r="CD18" s="65"/>
      <c r="CE18" s="65"/>
      <c r="CF18" s="65"/>
      <c r="CG18" s="65"/>
      <c r="CH18" s="65"/>
      <c r="CI18" s="65"/>
      <c r="CJ18" s="65"/>
      <c r="CK18" s="65"/>
    </row>
    <row r="19" spans="1:89" s="11" customFormat="1" ht="12.6" customHeight="1" x14ac:dyDescent="0.25">
      <c r="A19" s="15" t="str">
        <f>RIGHT(data!$C$97,3)</f>
        <v>164</v>
      </c>
      <c r="B19" s="223" t="str">
        <f>RIGHT(data!$C$96,4)</f>
        <v>2022</v>
      </c>
      <c r="C19" s="15" t="str">
        <f>data!T$55</f>
        <v>7060</v>
      </c>
      <c r="D19" s="15" t="s">
        <v>1120</v>
      </c>
      <c r="E19" s="221"/>
      <c r="F19" s="211">
        <f>ROUND(data!T60,2)</f>
        <v>0</v>
      </c>
      <c r="G19" s="221">
        <f>ROUND(data!T61,0)</f>
        <v>0</v>
      </c>
      <c r="H19" s="221">
        <f>ROUND(data!T62,0)</f>
        <v>0</v>
      </c>
      <c r="I19" s="221">
        <f>ROUND(data!T63,0)</f>
        <v>0</v>
      </c>
      <c r="J19" s="221">
        <f>ROUND(data!T64,0)</f>
        <v>0</v>
      </c>
      <c r="K19" s="221">
        <f>ROUND(data!T65,0)</f>
        <v>0</v>
      </c>
      <c r="L19" s="221">
        <f>ROUND(data!T66,0)</f>
        <v>0</v>
      </c>
      <c r="M19" s="65">
        <f>ROUND(data!T67,0)</f>
        <v>0</v>
      </c>
      <c r="N19" s="221">
        <f>ROUND(data!T68,0)</f>
        <v>0</v>
      </c>
      <c r="O19" s="221">
        <f>ROUND(data!T69,0)</f>
        <v>0</v>
      </c>
      <c r="P19" s="221">
        <f>ROUND(data!T70,0)</f>
        <v>0</v>
      </c>
      <c r="Q19" s="221">
        <f>ROUND(data!T71,0)</f>
        <v>0</v>
      </c>
      <c r="R19" s="221">
        <f>ROUND(data!T72,0)</f>
        <v>0</v>
      </c>
      <c r="S19" s="221">
        <f>ROUND(data!T73,0)</f>
        <v>0</v>
      </c>
      <c r="T19" s="221">
        <f>ROUND(data!T74,0)</f>
        <v>0</v>
      </c>
      <c r="U19" s="221">
        <f>ROUND(data!T75,0)</f>
        <v>0</v>
      </c>
      <c r="V19" s="221">
        <f>ROUND(data!T76,0)</f>
        <v>0</v>
      </c>
      <c r="W19" s="221">
        <f>ROUND(data!T77,0)</f>
        <v>0</v>
      </c>
      <c r="X19" s="221">
        <f>ROUND(data!T78,0)</f>
        <v>0</v>
      </c>
      <c r="Y19" s="221">
        <f>ROUND(data!T79,0)</f>
        <v>0</v>
      </c>
      <c r="Z19" s="221">
        <f>ROUND(data!T80,0)</f>
        <v>0</v>
      </c>
      <c r="AA19" s="221">
        <f>ROUND(data!T81,0)</f>
        <v>0</v>
      </c>
      <c r="AB19" s="221">
        <f>ROUND(data!T82,0)</f>
        <v>0</v>
      </c>
      <c r="AC19" s="221">
        <f>ROUND(data!T83,0)</f>
        <v>0</v>
      </c>
      <c r="AD19" s="221">
        <f>ROUND(data!T84,0)</f>
        <v>0</v>
      </c>
      <c r="AE19" s="221">
        <f>ROUND(data!T89,0)</f>
        <v>0</v>
      </c>
      <c r="AF19" s="221">
        <f>ROUND(data!T87,0)</f>
        <v>0</v>
      </c>
      <c r="AG19" s="221">
        <f>IF(data!T90&gt;0,ROUND(data!T90,0),0)</f>
        <v>0</v>
      </c>
      <c r="AH19" s="221">
        <f>IF(data!T91&gt;0,ROUND(data!T91,0),0)</f>
        <v>0</v>
      </c>
      <c r="AI19" s="221">
        <f>IF(data!T92&gt;0,ROUND(data!T92,0),0)</f>
        <v>0</v>
      </c>
      <c r="AJ19" s="221">
        <f>IF(data!T93&gt;0,ROUND(data!T93,0),0)</f>
        <v>0</v>
      </c>
      <c r="AK19" s="211">
        <f>IF(data!T94&gt;0,ROUND(data!T94,2),0)</f>
        <v>0</v>
      </c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5"/>
      <c r="CH19" s="65"/>
      <c r="CI19" s="65"/>
      <c r="CJ19" s="65"/>
      <c r="CK19" s="65"/>
    </row>
    <row r="20" spans="1:89" s="11" customFormat="1" ht="12.6" customHeight="1" x14ac:dyDescent="0.25">
      <c r="A20" s="15" t="str">
        <f>RIGHT(data!$C$97,3)</f>
        <v>164</v>
      </c>
      <c r="B20" s="223" t="str">
        <f>RIGHT(data!$C$96,4)</f>
        <v>2022</v>
      </c>
      <c r="C20" s="15" t="str">
        <f>data!U$55</f>
        <v>7070</v>
      </c>
      <c r="D20" s="15" t="s">
        <v>1120</v>
      </c>
      <c r="E20" s="221">
        <f>ROUND(data!U59,0)</f>
        <v>1040369</v>
      </c>
      <c r="F20" s="211">
        <f>ROUND(data!U60,2)</f>
        <v>77.06</v>
      </c>
      <c r="G20" s="221">
        <f>ROUND(data!U61,0)</f>
        <v>6700373</v>
      </c>
      <c r="H20" s="221">
        <f>ROUND(data!U62,0)</f>
        <v>1619077</v>
      </c>
      <c r="I20" s="221">
        <f>ROUND(data!U63,0)</f>
        <v>56534</v>
      </c>
      <c r="J20" s="221">
        <f>ROUND(data!U64,0)</f>
        <v>6846539</v>
      </c>
      <c r="K20" s="221">
        <f>ROUND(data!U65,0)</f>
        <v>0</v>
      </c>
      <c r="L20" s="221">
        <f>ROUND(data!U66,0)</f>
        <v>7254948</v>
      </c>
      <c r="M20" s="65">
        <f>ROUND(data!U67,0)</f>
        <v>417019</v>
      </c>
      <c r="N20" s="221">
        <f>ROUND(data!U68,0)</f>
        <v>2059</v>
      </c>
      <c r="O20" s="221">
        <f>ROUND(data!U69,0)</f>
        <v>4582</v>
      </c>
      <c r="P20" s="221">
        <f>ROUND(data!U70,0)</f>
        <v>0</v>
      </c>
      <c r="Q20" s="221">
        <f>ROUND(data!U71,0)</f>
        <v>0</v>
      </c>
      <c r="R20" s="221">
        <f>ROUND(data!U72,0)</f>
        <v>0</v>
      </c>
      <c r="S20" s="221">
        <f>ROUND(data!U73,0)</f>
        <v>0</v>
      </c>
      <c r="T20" s="221">
        <f>ROUND(data!U74,0)</f>
        <v>0</v>
      </c>
      <c r="U20" s="221">
        <f>ROUND(data!U75,0)</f>
        <v>0</v>
      </c>
      <c r="V20" s="221">
        <f>ROUND(data!U76,0)</f>
        <v>0</v>
      </c>
      <c r="W20" s="221">
        <f>ROUND(data!U77,0)</f>
        <v>0</v>
      </c>
      <c r="X20" s="221">
        <f>ROUND(data!U78,0)</f>
        <v>0</v>
      </c>
      <c r="Y20" s="221">
        <f>ROUND(data!U79,0)</f>
        <v>0</v>
      </c>
      <c r="Z20" s="221">
        <f>ROUND(data!U80,0)</f>
        <v>0</v>
      </c>
      <c r="AA20" s="221">
        <f>ROUND(data!U81,0)</f>
        <v>0</v>
      </c>
      <c r="AB20" s="221">
        <f>ROUND(data!U82,0)</f>
        <v>0</v>
      </c>
      <c r="AC20" s="221">
        <f>ROUND(data!U83,0)</f>
        <v>4582</v>
      </c>
      <c r="AD20" s="221">
        <f>ROUND(data!U84,0)</f>
        <v>532079</v>
      </c>
      <c r="AE20" s="221">
        <f>ROUND(data!U89,0)</f>
        <v>152999093</v>
      </c>
      <c r="AF20" s="221">
        <f>ROUND(data!U87,0)</f>
        <v>84163526</v>
      </c>
      <c r="AG20" s="221">
        <f>IF(data!U90&gt;0,ROUND(data!U90,0),0)</f>
        <v>15470</v>
      </c>
      <c r="AH20" s="221">
        <f>IF(data!U91&gt;0,ROUND(data!U91,0),0)</f>
        <v>0</v>
      </c>
      <c r="AI20" s="221">
        <f>IF(data!U92&gt;0,ROUND(data!U92,0),0)</f>
        <v>1973</v>
      </c>
      <c r="AJ20" s="221">
        <f>IF(data!U93&gt;0,ROUND(data!U93,0),0)</f>
        <v>1788</v>
      </c>
      <c r="AK20" s="211">
        <f>IF(data!U94&gt;0,ROUND(data!U94,2),0)</f>
        <v>0.54</v>
      </c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65"/>
      <c r="BE20" s="65"/>
      <c r="BF20" s="65"/>
      <c r="BG20" s="65"/>
      <c r="BH20" s="65"/>
      <c r="BI20" s="65"/>
      <c r="BJ20" s="65"/>
      <c r="BK20" s="65"/>
      <c r="BL20" s="65"/>
      <c r="BM20" s="65"/>
      <c r="BN20" s="65"/>
      <c r="BO20" s="65"/>
      <c r="BP20" s="65"/>
      <c r="BQ20" s="65"/>
      <c r="BR20" s="65"/>
      <c r="BS20" s="65"/>
      <c r="BT20" s="65"/>
      <c r="BU20" s="65"/>
      <c r="BV20" s="65"/>
      <c r="BW20" s="65"/>
      <c r="BX20" s="65"/>
      <c r="BY20" s="65"/>
      <c r="BZ20" s="65"/>
      <c r="CA20" s="65"/>
      <c r="CB20" s="65"/>
      <c r="CC20" s="65"/>
      <c r="CD20" s="65"/>
      <c r="CE20" s="65"/>
      <c r="CF20" s="65"/>
      <c r="CG20" s="65"/>
      <c r="CH20" s="65"/>
      <c r="CI20" s="65"/>
      <c r="CJ20" s="65"/>
      <c r="CK20" s="65"/>
    </row>
    <row r="21" spans="1:89" s="11" customFormat="1" ht="12.6" customHeight="1" x14ac:dyDescent="0.25">
      <c r="A21" s="15" t="str">
        <f>RIGHT(data!$C$97,3)</f>
        <v>164</v>
      </c>
      <c r="B21" s="223" t="str">
        <f>RIGHT(data!$C$96,4)</f>
        <v>2022</v>
      </c>
      <c r="C21" s="15" t="str">
        <f>data!V$55</f>
        <v>7110</v>
      </c>
      <c r="D21" s="15" t="s">
        <v>1120</v>
      </c>
      <c r="E21" s="221">
        <f>ROUND(data!V59,0)</f>
        <v>0</v>
      </c>
      <c r="F21" s="211">
        <f>ROUND(data!V60,2)</f>
        <v>2.81</v>
      </c>
      <c r="G21" s="221">
        <f>ROUND(data!V61,0)</f>
        <v>189582</v>
      </c>
      <c r="H21" s="221">
        <f>ROUND(data!V62,0)</f>
        <v>50249</v>
      </c>
      <c r="I21" s="221">
        <f>ROUND(data!V63,0)</f>
        <v>3300</v>
      </c>
      <c r="J21" s="221">
        <f>ROUND(data!V64,0)</f>
        <v>47970</v>
      </c>
      <c r="K21" s="221">
        <f>ROUND(data!V65,0)</f>
        <v>0</v>
      </c>
      <c r="L21" s="221">
        <f>ROUND(data!V66,0)</f>
        <v>960</v>
      </c>
      <c r="M21" s="65">
        <f>ROUND(data!V67,0)</f>
        <v>8222</v>
      </c>
      <c r="N21" s="221">
        <f>ROUND(data!V68,0)</f>
        <v>0</v>
      </c>
      <c r="O21" s="221">
        <f>ROUND(data!V69,0)</f>
        <v>0</v>
      </c>
      <c r="P21" s="221">
        <f>ROUND(data!V70,0)</f>
        <v>0</v>
      </c>
      <c r="Q21" s="221">
        <f>ROUND(data!V71,0)</f>
        <v>0</v>
      </c>
      <c r="R21" s="221">
        <f>ROUND(data!V72,0)</f>
        <v>0</v>
      </c>
      <c r="S21" s="221">
        <f>ROUND(data!V73,0)</f>
        <v>0</v>
      </c>
      <c r="T21" s="221">
        <f>ROUND(data!V74,0)</f>
        <v>0</v>
      </c>
      <c r="U21" s="221">
        <f>ROUND(data!V75,0)</f>
        <v>0</v>
      </c>
      <c r="V21" s="221">
        <f>ROUND(data!V76,0)</f>
        <v>0</v>
      </c>
      <c r="W21" s="221">
        <f>ROUND(data!V77,0)</f>
        <v>0</v>
      </c>
      <c r="X21" s="221">
        <f>ROUND(data!V78,0)</f>
        <v>0</v>
      </c>
      <c r="Y21" s="221">
        <f>ROUND(data!V79,0)</f>
        <v>0</v>
      </c>
      <c r="Z21" s="221">
        <f>ROUND(data!V80,0)</f>
        <v>0</v>
      </c>
      <c r="AA21" s="221">
        <f>ROUND(data!V81,0)</f>
        <v>0</v>
      </c>
      <c r="AB21" s="221">
        <f>ROUND(data!V82,0)</f>
        <v>0</v>
      </c>
      <c r="AC21" s="221">
        <f>ROUND(data!V83,0)</f>
        <v>0</v>
      </c>
      <c r="AD21" s="221">
        <f>ROUND(data!V84,0)</f>
        <v>3027</v>
      </c>
      <c r="AE21" s="221">
        <f>ROUND(data!V89,0)</f>
        <v>2768111</v>
      </c>
      <c r="AF21" s="221">
        <f>ROUND(data!V87,0)</f>
        <v>2037366</v>
      </c>
      <c r="AG21" s="221">
        <f>IF(data!V90&gt;0,ROUND(data!V90,0),0)</f>
        <v>298</v>
      </c>
      <c r="AH21" s="221">
        <f>IF(data!V91&gt;0,ROUND(data!V91,0),0)</f>
        <v>0</v>
      </c>
      <c r="AI21" s="221">
        <f>IF(data!V92&gt;0,ROUND(data!V92,0),0)</f>
        <v>38</v>
      </c>
      <c r="AJ21" s="221">
        <f>IF(data!V93&gt;0,ROUND(data!V93,0),0)</f>
        <v>0</v>
      </c>
      <c r="AK21" s="211">
        <f>IF(data!V94&gt;0,ROUND(data!V94,2),0)</f>
        <v>0</v>
      </c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65"/>
      <c r="BA21" s="65"/>
      <c r="BB21" s="65"/>
      <c r="BC21" s="65"/>
      <c r="BD21" s="65"/>
      <c r="BE21" s="65"/>
      <c r="BF21" s="65"/>
      <c r="BG21" s="65"/>
      <c r="BH21" s="65"/>
      <c r="BI21" s="65"/>
      <c r="BJ21" s="65"/>
      <c r="BK21" s="65"/>
      <c r="BL21" s="65"/>
      <c r="BM21" s="65"/>
      <c r="BN21" s="65"/>
      <c r="BO21" s="65"/>
      <c r="BP21" s="65"/>
      <c r="BQ21" s="65"/>
      <c r="BR21" s="65"/>
      <c r="BS21" s="65"/>
      <c r="BT21" s="65"/>
      <c r="BU21" s="65"/>
      <c r="BV21" s="65"/>
      <c r="BW21" s="65"/>
      <c r="BX21" s="65"/>
      <c r="BY21" s="65"/>
      <c r="BZ21" s="65"/>
      <c r="CA21" s="65"/>
      <c r="CB21" s="65"/>
      <c r="CC21" s="65"/>
      <c r="CD21" s="65"/>
      <c r="CE21" s="65"/>
      <c r="CF21" s="65"/>
      <c r="CG21" s="65"/>
      <c r="CH21" s="65"/>
      <c r="CI21" s="65"/>
      <c r="CJ21" s="65"/>
      <c r="CK21" s="65"/>
    </row>
    <row r="22" spans="1:89" s="11" customFormat="1" ht="12.6" customHeight="1" x14ac:dyDescent="0.25">
      <c r="A22" s="15" t="str">
        <f>RIGHT(data!$C$97,3)</f>
        <v>164</v>
      </c>
      <c r="B22" s="223" t="str">
        <f>RIGHT(data!$C$96,4)</f>
        <v>2022</v>
      </c>
      <c r="C22" s="15" t="str">
        <f>data!W$55</f>
        <v>7120</v>
      </c>
      <c r="D22" s="15" t="s">
        <v>1120</v>
      </c>
      <c r="E22" s="221">
        <f>ROUND(data!W59,0)</f>
        <v>36221</v>
      </c>
      <c r="F22" s="211">
        <f>ROUND(data!W60,2)</f>
        <v>5.9</v>
      </c>
      <c r="G22" s="221">
        <f>ROUND(data!W61,0)</f>
        <v>853499</v>
      </c>
      <c r="H22" s="221">
        <f>ROUND(data!W62,0)</f>
        <v>139854</v>
      </c>
      <c r="I22" s="221">
        <f>ROUND(data!W63,0)</f>
        <v>0</v>
      </c>
      <c r="J22" s="221">
        <f>ROUND(data!W64,0)</f>
        <v>198040</v>
      </c>
      <c r="K22" s="221">
        <f>ROUND(data!W65,0)</f>
        <v>0</v>
      </c>
      <c r="L22" s="221">
        <f>ROUND(data!W66,0)</f>
        <v>183326</v>
      </c>
      <c r="M22" s="65">
        <f>ROUND(data!W67,0)</f>
        <v>133896</v>
      </c>
      <c r="N22" s="221">
        <f>ROUND(data!W68,0)</f>
        <v>0</v>
      </c>
      <c r="O22" s="221">
        <f>ROUND(data!W69,0)</f>
        <v>2303</v>
      </c>
      <c r="P22" s="221">
        <f>ROUND(data!W70,0)</f>
        <v>0</v>
      </c>
      <c r="Q22" s="221">
        <f>ROUND(data!W71,0)</f>
        <v>0</v>
      </c>
      <c r="R22" s="221">
        <f>ROUND(data!W72,0)</f>
        <v>0</v>
      </c>
      <c r="S22" s="221">
        <f>ROUND(data!W73,0)</f>
        <v>0</v>
      </c>
      <c r="T22" s="221">
        <f>ROUND(data!W74,0)</f>
        <v>0</v>
      </c>
      <c r="U22" s="221">
        <f>ROUND(data!W75,0)</f>
        <v>0</v>
      </c>
      <c r="V22" s="221">
        <f>ROUND(data!W76,0)</f>
        <v>0</v>
      </c>
      <c r="W22" s="221">
        <f>ROUND(data!W77,0)</f>
        <v>0</v>
      </c>
      <c r="X22" s="221">
        <f>ROUND(data!W78,0)</f>
        <v>0</v>
      </c>
      <c r="Y22" s="221">
        <f>ROUND(data!W79,0)</f>
        <v>0</v>
      </c>
      <c r="Z22" s="221">
        <f>ROUND(data!W80,0)</f>
        <v>0</v>
      </c>
      <c r="AA22" s="221">
        <f>ROUND(data!W81,0)</f>
        <v>0</v>
      </c>
      <c r="AB22" s="221">
        <f>ROUND(data!W82,0)</f>
        <v>0</v>
      </c>
      <c r="AC22" s="221">
        <f>ROUND(data!W83,0)</f>
        <v>2303</v>
      </c>
      <c r="AD22" s="221">
        <f>ROUND(data!W84,0)</f>
        <v>0</v>
      </c>
      <c r="AE22" s="221">
        <f>ROUND(data!W89,0)</f>
        <v>16991081</v>
      </c>
      <c r="AF22" s="221">
        <f>ROUND(data!W87,0)</f>
        <v>6714441</v>
      </c>
      <c r="AG22" s="221">
        <f>IF(data!W90&gt;0,ROUND(data!W90,0),0)</f>
        <v>3104</v>
      </c>
      <c r="AH22" s="221">
        <f>IF(data!W91&gt;0,ROUND(data!W91,0),0)</f>
        <v>0</v>
      </c>
      <c r="AI22" s="221">
        <f>IF(data!W92&gt;0,ROUND(data!W92,0),0)</f>
        <v>396</v>
      </c>
      <c r="AJ22" s="221">
        <f>IF(data!W93&gt;0,ROUND(data!W93,0),0)</f>
        <v>21313</v>
      </c>
      <c r="AK22" s="211">
        <f>IF(data!W94&gt;0,ROUND(data!W94,2),0)</f>
        <v>0</v>
      </c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65"/>
      <c r="BE22" s="65"/>
      <c r="BF22" s="65"/>
      <c r="BG22" s="65"/>
      <c r="BH22" s="65"/>
      <c r="BI22" s="65"/>
      <c r="BJ22" s="65"/>
      <c r="BK22" s="65"/>
      <c r="BL22" s="65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5"/>
      <c r="CA22" s="65"/>
      <c r="CB22" s="65"/>
      <c r="CC22" s="65"/>
      <c r="CD22" s="65"/>
      <c r="CE22" s="65"/>
      <c r="CF22" s="65"/>
      <c r="CG22" s="65"/>
      <c r="CH22" s="65"/>
      <c r="CI22" s="65"/>
      <c r="CJ22" s="65"/>
      <c r="CK22" s="65"/>
    </row>
    <row r="23" spans="1:89" s="11" customFormat="1" ht="12.6" customHeight="1" x14ac:dyDescent="0.25">
      <c r="A23" s="15" t="str">
        <f>RIGHT(data!$C$97,3)</f>
        <v>164</v>
      </c>
      <c r="B23" s="223" t="str">
        <f>RIGHT(data!$C$96,4)</f>
        <v>2022</v>
      </c>
      <c r="C23" s="15" t="str">
        <f>data!X$55</f>
        <v>7130</v>
      </c>
      <c r="D23" s="15" t="s">
        <v>1120</v>
      </c>
      <c r="E23" s="221">
        <f>ROUND(data!X59,0)</f>
        <v>196604</v>
      </c>
      <c r="F23" s="211">
        <f>ROUND(data!X60,2)</f>
        <v>13.9</v>
      </c>
      <c r="G23" s="221">
        <f>ROUND(data!X61,0)</f>
        <v>1777433</v>
      </c>
      <c r="H23" s="221">
        <f>ROUND(data!X62,0)</f>
        <v>282459</v>
      </c>
      <c r="I23" s="221">
        <f>ROUND(data!X63,0)</f>
        <v>0</v>
      </c>
      <c r="J23" s="221">
        <f>ROUND(data!X64,0)</f>
        <v>465641</v>
      </c>
      <c r="K23" s="221">
        <f>ROUND(data!X65,0)</f>
        <v>0</v>
      </c>
      <c r="L23" s="221">
        <f>ROUND(data!X66,0)</f>
        <v>468812</v>
      </c>
      <c r="M23" s="65">
        <f>ROUND(data!X67,0)</f>
        <v>191088</v>
      </c>
      <c r="N23" s="221">
        <f>ROUND(data!X68,0)</f>
        <v>0</v>
      </c>
      <c r="O23" s="221">
        <f>ROUND(data!X69,0)</f>
        <v>6176</v>
      </c>
      <c r="P23" s="221">
        <f>ROUND(data!X70,0)</f>
        <v>0</v>
      </c>
      <c r="Q23" s="221">
        <f>ROUND(data!X71,0)</f>
        <v>0</v>
      </c>
      <c r="R23" s="221">
        <f>ROUND(data!X72,0)</f>
        <v>0</v>
      </c>
      <c r="S23" s="221">
        <f>ROUND(data!X73,0)</f>
        <v>0</v>
      </c>
      <c r="T23" s="221">
        <f>ROUND(data!X74,0)</f>
        <v>0</v>
      </c>
      <c r="U23" s="221">
        <f>ROUND(data!X75,0)</f>
        <v>0</v>
      </c>
      <c r="V23" s="221">
        <f>ROUND(data!X76,0)</f>
        <v>0</v>
      </c>
      <c r="W23" s="221">
        <f>ROUND(data!X77,0)</f>
        <v>0</v>
      </c>
      <c r="X23" s="221">
        <f>ROUND(data!X78,0)</f>
        <v>0</v>
      </c>
      <c r="Y23" s="221">
        <f>ROUND(data!X79,0)</f>
        <v>0</v>
      </c>
      <c r="Z23" s="221">
        <f>ROUND(data!X80,0)</f>
        <v>0</v>
      </c>
      <c r="AA23" s="221">
        <f>ROUND(data!X81,0)</f>
        <v>0</v>
      </c>
      <c r="AB23" s="221">
        <f>ROUND(data!X82,0)</f>
        <v>0</v>
      </c>
      <c r="AC23" s="221">
        <f>ROUND(data!X83,0)</f>
        <v>6176</v>
      </c>
      <c r="AD23" s="221">
        <f>ROUND(data!X84,0)</f>
        <v>0</v>
      </c>
      <c r="AE23" s="221">
        <f>ROUND(data!X89,0)</f>
        <v>84162005</v>
      </c>
      <c r="AF23" s="221">
        <f>ROUND(data!X87,0)</f>
        <v>28413356</v>
      </c>
      <c r="AG23" s="221">
        <f>IF(data!X90&gt;0,ROUND(data!X90,0),0)</f>
        <v>3166</v>
      </c>
      <c r="AH23" s="221">
        <f>IF(data!X91&gt;0,ROUND(data!X91,0),0)</f>
        <v>0</v>
      </c>
      <c r="AI23" s="221">
        <f>IF(data!X92&gt;0,ROUND(data!X92,0),0)</f>
        <v>404</v>
      </c>
      <c r="AJ23" s="221">
        <f>IF(data!X93&gt;0,ROUND(data!X93,0),0)</f>
        <v>0</v>
      </c>
      <c r="AK23" s="211">
        <f>IF(data!X94&gt;0,ROUND(data!X94,2),0)</f>
        <v>0</v>
      </c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5"/>
      <c r="BB23" s="65"/>
      <c r="BC23" s="65"/>
      <c r="BD23" s="65"/>
      <c r="BE23" s="65"/>
      <c r="BF23" s="65"/>
      <c r="BG23" s="65"/>
      <c r="BH23" s="65"/>
      <c r="BI23" s="65"/>
      <c r="BJ23" s="65"/>
      <c r="BK23" s="65"/>
      <c r="BL23" s="65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65"/>
      <c r="CA23" s="65"/>
      <c r="CB23" s="65"/>
      <c r="CC23" s="65"/>
      <c r="CD23" s="65"/>
      <c r="CE23" s="65"/>
      <c r="CF23" s="65"/>
      <c r="CG23" s="65"/>
      <c r="CH23" s="65"/>
      <c r="CI23" s="65"/>
      <c r="CJ23" s="65"/>
      <c r="CK23" s="65"/>
    </row>
    <row r="24" spans="1:89" s="11" customFormat="1" ht="12.6" customHeight="1" x14ac:dyDescent="0.25">
      <c r="A24" s="15" t="str">
        <f>RIGHT(data!$C$97,3)</f>
        <v>164</v>
      </c>
      <c r="B24" s="223" t="str">
        <f>RIGHT(data!$C$96,4)</f>
        <v>2022</v>
      </c>
      <c r="C24" s="15" t="str">
        <f>data!Y$55</f>
        <v>7140</v>
      </c>
      <c r="D24" s="15" t="s">
        <v>1120</v>
      </c>
      <c r="E24" s="221">
        <f>ROUND(data!Y59,0)</f>
        <v>459249</v>
      </c>
      <c r="F24" s="211">
        <f>ROUND(data!Y60,2)</f>
        <v>156.49</v>
      </c>
      <c r="G24" s="221">
        <f>ROUND(data!Y61,0)</f>
        <v>17952437</v>
      </c>
      <c r="H24" s="221">
        <f>ROUND(data!Y62,0)</f>
        <v>3970022</v>
      </c>
      <c r="I24" s="221">
        <f>ROUND(data!Y63,0)</f>
        <v>109756</v>
      </c>
      <c r="J24" s="221">
        <f>ROUND(data!Y64,0)</f>
        <v>7957173</v>
      </c>
      <c r="K24" s="221">
        <f>ROUND(data!Y65,0)</f>
        <v>13267</v>
      </c>
      <c r="L24" s="221">
        <f>ROUND(data!Y66,0)</f>
        <v>5376836</v>
      </c>
      <c r="M24" s="65">
        <f>ROUND(data!Y67,0)</f>
        <v>3383885</v>
      </c>
      <c r="N24" s="221">
        <f>ROUND(data!Y68,0)</f>
        <v>99071</v>
      </c>
      <c r="O24" s="221">
        <f>ROUND(data!Y69,0)</f>
        <v>38688</v>
      </c>
      <c r="P24" s="221">
        <f>ROUND(data!Y70,0)</f>
        <v>0</v>
      </c>
      <c r="Q24" s="221">
        <f>ROUND(data!Y71,0)</f>
        <v>0</v>
      </c>
      <c r="R24" s="221">
        <f>ROUND(data!Y72,0)</f>
        <v>0</v>
      </c>
      <c r="S24" s="221">
        <f>ROUND(data!Y73,0)</f>
        <v>0</v>
      </c>
      <c r="T24" s="221">
        <f>ROUND(data!Y74,0)</f>
        <v>0</v>
      </c>
      <c r="U24" s="221">
        <f>ROUND(data!Y75,0)</f>
        <v>0</v>
      </c>
      <c r="V24" s="221">
        <f>ROUND(data!Y76,0)</f>
        <v>0</v>
      </c>
      <c r="W24" s="221">
        <f>ROUND(data!Y77,0)</f>
        <v>0</v>
      </c>
      <c r="X24" s="221">
        <f>ROUND(data!Y78,0)</f>
        <v>0</v>
      </c>
      <c r="Y24" s="221">
        <f>ROUND(data!Y79,0)</f>
        <v>0</v>
      </c>
      <c r="Z24" s="221">
        <f>ROUND(data!Y80,0)</f>
        <v>0</v>
      </c>
      <c r="AA24" s="221">
        <f>ROUND(data!Y81,0)</f>
        <v>0</v>
      </c>
      <c r="AB24" s="221">
        <f>ROUND(data!Y82,0)</f>
        <v>0</v>
      </c>
      <c r="AC24" s="221">
        <f>ROUND(data!Y83,0)</f>
        <v>38688</v>
      </c>
      <c r="AD24" s="221">
        <f>ROUND(data!Y84,0)</f>
        <v>9339</v>
      </c>
      <c r="AE24" s="221">
        <f>ROUND(data!Y89,0)</f>
        <v>191029362</v>
      </c>
      <c r="AF24" s="221">
        <f>ROUND(data!Y87,0)</f>
        <v>49766591</v>
      </c>
      <c r="AG24" s="221">
        <f>IF(data!Y90&gt;0,ROUND(data!Y90,0),0)</f>
        <v>50628</v>
      </c>
      <c r="AH24" s="221">
        <f>IF(data!Y91&gt;0,ROUND(data!Y91,0),0)</f>
        <v>36</v>
      </c>
      <c r="AI24" s="221">
        <f>IF(data!Y92&gt;0,ROUND(data!Y92,0),0)</f>
        <v>6457</v>
      </c>
      <c r="AJ24" s="221">
        <f>IF(data!Y93&gt;0,ROUND(data!Y93,0),0)</f>
        <v>265937</v>
      </c>
      <c r="AK24" s="211">
        <f>IF(data!Y94&gt;0,ROUND(data!Y94,2),0)</f>
        <v>30.47</v>
      </c>
      <c r="AL24" s="65"/>
      <c r="AM24" s="65"/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65"/>
      <c r="AY24" s="65"/>
      <c r="AZ24" s="65"/>
      <c r="BA24" s="65"/>
      <c r="BB24" s="65"/>
      <c r="BC24" s="65"/>
      <c r="BD24" s="65"/>
      <c r="BE24" s="65"/>
      <c r="BF24" s="65"/>
      <c r="BG24" s="65"/>
      <c r="BH24" s="65"/>
      <c r="BI24" s="65"/>
      <c r="BJ24" s="65"/>
      <c r="BK24" s="65"/>
      <c r="BL24" s="65"/>
      <c r="BM24" s="65"/>
      <c r="BN24" s="65"/>
      <c r="BO24" s="65"/>
      <c r="BP24" s="65"/>
      <c r="BQ24" s="65"/>
      <c r="BR24" s="65"/>
      <c r="BS24" s="65"/>
      <c r="BT24" s="65"/>
      <c r="BU24" s="65"/>
      <c r="BV24" s="65"/>
      <c r="BW24" s="65"/>
      <c r="BX24" s="65"/>
      <c r="BY24" s="65"/>
      <c r="BZ24" s="65"/>
      <c r="CA24" s="65"/>
      <c r="CB24" s="65"/>
      <c r="CC24" s="65"/>
      <c r="CD24" s="65"/>
      <c r="CE24" s="65"/>
      <c r="CF24" s="65"/>
      <c r="CG24" s="65"/>
      <c r="CH24" s="65"/>
      <c r="CI24" s="65"/>
      <c r="CJ24" s="65"/>
      <c r="CK24" s="65"/>
    </row>
    <row r="25" spans="1:89" s="11" customFormat="1" ht="12.6" customHeight="1" x14ac:dyDescent="0.25">
      <c r="A25" s="15" t="str">
        <f>RIGHT(data!$C$97,3)</f>
        <v>164</v>
      </c>
      <c r="B25" s="223" t="str">
        <f>RIGHT(data!$C$96,4)</f>
        <v>2022</v>
      </c>
      <c r="C25" s="15" t="str">
        <f>data!Z$55</f>
        <v>7150</v>
      </c>
      <c r="D25" s="15" t="s">
        <v>1120</v>
      </c>
      <c r="E25" s="221">
        <f>ROUND(data!Z59,0)</f>
        <v>59774</v>
      </c>
      <c r="F25" s="211">
        <f>ROUND(data!Z60,2)</f>
        <v>21.48</v>
      </c>
      <c r="G25" s="221">
        <f>ROUND(data!Z61,0)</f>
        <v>4606900</v>
      </c>
      <c r="H25" s="221">
        <f>ROUND(data!Z62,0)</f>
        <v>802668</v>
      </c>
      <c r="I25" s="221">
        <f>ROUND(data!Z63,0)</f>
        <v>0</v>
      </c>
      <c r="J25" s="221">
        <f>ROUND(data!Z64,0)</f>
        <v>684531</v>
      </c>
      <c r="K25" s="221">
        <f>ROUND(data!Z65,0)</f>
        <v>2154</v>
      </c>
      <c r="L25" s="221">
        <f>ROUND(data!Z66,0)</f>
        <v>1390804</v>
      </c>
      <c r="M25" s="65">
        <f>ROUND(data!Z67,0)</f>
        <v>910224</v>
      </c>
      <c r="N25" s="221">
        <f>ROUND(data!Z68,0)</f>
        <v>0</v>
      </c>
      <c r="O25" s="221">
        <f>ROUND(data!Z69,0)</f>
        <v>27166</v>
      </c>
      <c r="P25" s="221">
        <f>ROUND(data!Z70,0)</f>
        <v>0</v>
      </c>
      <c r="Q25" s="221">
        <f>ROUND(data!Z71,0)</f>
        <v>0</v>
      </c>
      <c r="R25" s="221">
        <f>ROUND(data!Z72,0)</f>
        <v>0</v>
      </c>
      <c r="S25" s="221">
        <f>ROUND(data!Z73,0)</f>
        <v>0</v>
      </c>
      <c r="T25" s="221">
        <f>ROUND(data!Z74,0)</f>
        <v>0</v>
      </c>
      <c r="U25" s="221">
        <f>ROUND(data!Z75,0)</f>
        <v>0</v>
      </c>
      <c r="V25" s="221">
        <f>ROUND(data!Z76,0)</f>
        <v>0</v>
      </c>
      <c r="W25" s="221">
        <f>ROUND(data!Z77,0)</f>
        <v>0</v>
      </c>
      <c r="X25" s="221">
        <f>ROUND(data!Z78,0)</f>
        <v>0</v>
      </c>
      <c r="Y25" s="221">
        <f>ROUND(data!Z79,0)</f>
        <v>0</v>
      </c>
      <c r="Z25" s="221">
        <f>ROUND(data!Z80,0)</f>
        <v>0</v>
      </c>
      <c r="AA25" s="221">
        <f>ROUND(data!Z81,0)</f>
        <v>0</v>
      </c>
      <c r="AB25" s="221">
        <f>ROUND(data!Z82,0)</f>
        <v>0</v>
      </c>
      <c r="AC25" s="221">
        <f>ROUND(data!Z83,0)</f>
        <v>27166</v>
      </c>
      <c r="AD25" s="221">
        <f>ROUND(data!Z84,0)</f>
        <v>15280</v>
      </c>
      <c r="AE25" s="221">
        <f>ROUND(data!Z89,0)</f>
        <v>41411490</v>
      </c>
      <c r="AF25" s="221">
        <f>ROUND(data!Z87,0)</f>
        <v>1085404</v>
      </c>
      <c r="AG25" s="221">
        <f>IF(data!Z90&gt;0,ROUND(data!Z90,0),0)</f>
        <v>16493</v>
      </c>
      <c r="AH25" s="221">
        <f>IF(data!Z91&gt;0,ROUND(data!Z91,0),0)</f>
        <v>0</v>
      </c>
      <c r="AI25" s="221">
        <f>IF(data!Z92&gt;0,ROUND(data!Z92,0),0)</f>
        <v>2104</v>
      </c>
      <c r="AJ25" s="221">
        <f>IF(data!Z93&gt;0,ROUND(data!Z93,0),0)</f>
        <v>43780</v>
      </c>
      <c r="AK25" s="211">
        <f>IF(data!Z94&gt;0,ROUND(data!Z94,2),0)</f>
        <v>4.5599999999999996</v>
      </c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5"/>
      <c r="BL25" s="65"/>
      <c r="BM25" s="65"/>
      <c r="BN25" s="65"/>
      <c r="BO25" s="65"/>
      <c r="BP25" s="65"/>
      <c r="BQ25" s="65"/>
      <c r="BR25" s="65"/>
      <c r="BS25" s="65"/>
      <c r="BT25" s="65"/>
      <c r="BU25" s="65"/>
      <c r="BV25" s="65"/>
      <c r="BW25" s="65"/>
      <c r="BX25" s="65"/>
      <c r="BY25" s="65"/>
      <c r="BZ25" s="65"/>
      <c r="CA25" s="65"/>
      <c r="CB25" s="65"/>
      <c r="CC25" s="65"/>
      <c r="CD25" s="65"/>
      <c r="CE25" s="65"/>
      <c r="CF25" s="65"/>
      <c r="CG25" s="65"/>
      <c r="CH25" s="65"/>
      <c r="CI25" s="65"/>
      <c r="CJ25" s="65"/>
      <c r="CK25" s="65"/>
    </row>
    <row r="26" spans="1:89" s="11" customFormat="1" ht="12.6" customHeight="1" x14ac:dyDescent="0.25">
      <c r="A26" s="15" t="str">
        <f>RIGHT(data!$C$97,3)</f>
        <v>164</v>
      </c>
      <c r="B26" s="223" t="str">
        <f>RIGHT(data!$C$96,4)</f>
        <v>2022</v>
      </c>
      <c r="C26" s="15" t="str">
        <f>data!AA$55</f>
        <v>7160</v>
      </c>
      <c r="D26" s="15" t="s">
        <v>1120</v>
      </c>
      <c r="E26" s="221">
        <f>ROUND(data!AA59,0)</f>
        <v>15244</v>
      </c>
      <c r="F26" s="211">
        <f>ROUND(data!AA60,2)</f>
        <v>2.97</v>
      </c>
      <c r="G26" s="221">
        <f>ROUND(data!AA61,0)</f>
        <v>419236</v>
      </c>
      <c r="H26" s="221">
        <f>ROUND(data!AA62,0)</f>
        <v>97709</v>
      </c>
      <c r="I26" s="221">
        <f>ROUND(data!AA63,0)</f>
        <v>0</v>
      </c>
      <c r="J26" s="221">
        <f>ROUND(data!AA64,0)</f>
        <v>440199</v>
      </c>
      <c r="K26" s="221">
        <f>ROUND(data!AA65,0)</f>
        <v>0</v>
      </c>
      <c r="L26" s="221">
        <f>ROUND(data!AA66,0)</f>
        <v>51417</v>
      </c>
      <c r="M26" s="65">
        <f>ROUND(data!AA67,0)</f>
        <v>37590</v>
      </c>
      <c r="N26" s="221">
        <f>ROUND(data!AA68,0)</f>
        <v>0</v>
      </c>
      <c r="O26" s="221">
        <f>ROUND(data!AA69,0)</f>
        <v>13880</v>
      </c>
      <c r="P26" s="221">
        <f>ROUND(data!AA70,0)</f>
        <v>0</v>
      </c>
      <c r="Q26" s="221">
        <f>ROUND(data!AA71,0)</f>
        <v>0</v>
      </c>
      <c r="R26" s="221">
        <f>ROUND(data!AA72,0)</f>
        <v>0</v>
      </c>
      <c r="S26" s="221">
        <f>ROUND(data!AA73,0)</f>
        <v>0</v>
      </c>
      <c r="T26" s="221">
        <f>ROUND(data!AA74,0)</f>
        <v>0</v>
      </c>
      <c r="U26" s="221">
        <f>ROUND(data!AA75,0)</f>
        <v>0</v>
      </c>
      <c r="V26" s="221">
        <f>ROUND(data!AA76,0)</f>
        <v>0</v>
      </c>
      <c r="W26" s="221">
        <f>ROUND(data!AA77,0)</f>
        <v>0</v>
      </c>
      <c r="X26" s="221">
        <f>ROUND(data!AA78,0)</f>
        <v>0</v>
      </c>
      <c r="Y26" s="221">
        <f>ROUND(data!AA79,0)</f>
        <v>0</v>
      </c>
      <c r="Z26" s="221">
        <f>ROUND(data!AA80,0)</f>
        <v>0</v>
      </c>
      <c r="AA26" s="221">
        <f>ROUND(data!AA81,0)</f>
        <v>0</v>
      </c>
      <c r="AB26" s="221">
        <f>ROUND(data!AA82,0)</f>
        <v>0</v>
      </c>
      <c r="AC26" s="221">
        <f>ROUND(data!AA83,0)</f>
        <v>13880</v>
      </c>
      <c r="AD26" s="221">
        <f>ROUND(data!AA84,0)</f>
        <v>0</v>
      </c>
      <c r="AE26" s="221">
        <f>ROUND(data!AA89,0)</f>
        <v>5266722</v>
      </c>
      <c r="AF26" s="221">
        <f>ROUND(data!AA87,0)</f>
        <v>918396</v>
      </c>
      <c r="AG26" s="221">
        <f>IF(data!AA90&gt;0,ROUND(data!AA90,0),0)</f>
        <v>1139</v>
      </c>
      <c r="AH26" s="221">
        <f>IF(data!AA91&gt;0,ROUND(data!AA91,0),0)</f>
        <v>0</v>
      </c>
      <c r="AI26" s="221">
        <f>IF(data!AA92&gt;0,ROUND(data!AA92,0),0)</f>
        <v>145</v>
      </c>
      <c r="AJ26" s="221">
        <f>IF(data!AA93&gt;0,ROUND(data!AA93,0),0)</f>
        <v>0</v>
      </c>
      <c r="AK26" s="211">
        <f>IF(data!AA94&gt;0,ROUND(data!AA94,2),0)</f>
        <v>0</v>
      </c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  <c r="BM26" s="65"/>
      <c r="BN26" s="65"/>
      <c r="BO26" s="65"/>
      <c r="BP26" s="65"/>
      <c r="BQ26" s="65"/>
      <c r="BR26" s="65"/>
      <c r="BS26" s="65"/>
      <c r="BT26" s="65"/>
      <c r="BU26" s="65"/>
      <c r="BV26" s="65"/>
      <c r="BW26" s="65"/>
      <c r="BX26" s="65"/>
      <c r="BY26" s="65"/>
      <c r="BZ26" s="65"/>
      <c r="CA26" s="65"/>
      <c r="CB26" s="65"/>
      <c r="CC26" s="65"/>
      <c r="CD26" s="65"/>
      <c r="CE26" s="65"/>
      <c r="CF26" s="65"/>
      <c r="CG26" s="65"/>
      <c r="CH26" s="65"/>
      <c r="CI26" s="65"/>
      <c r="CJ26" s="65"/>
      <c r="CK26" s="65"/>
    </row>
    <row r="27" spans="1:89" s="11" customFormat="1" ht="12.6" customHeight="1" x14ac:dyDescent="0.25">
      <c r="A27" s="15" t="str">
        <f>RIGHT(data!$C$97,3)</f>
        <v>164</v>
      </c>
      <c r="B27" s="223" t="str">
        <f>RIGHT(data!$C$96,4)</f>
        <v>2022</v>
      </c>
      <c r="C27" s="15" t="str">
        <f>data!AB$55</f>
        <v>7170</v>
      </c>
      <c r="D27" s="15" t="s">
        <v>1120</v>
      </c>
      <c r="E27" s="221"/>
      <c r="F27" s="211">
        <f>ROUND(data!AB60,2)</f>
        <v>61.24</v>
      </c>
      <c r="G27" s="221">
        <f>ROUND(data!AB61,0)</f>
        <v>7478486</v>
      </c>
      <c r="H27" s="221">
        <f>ROUND(data!AB62,0)</f>
        <v>1545735</v>
      </c>
      <c r="I27" s="221">
        <f>ROUND(data!AB63,0)</f>
        <v>0</v>
      </c>
      <c r="J27" s="221">
        <f>ROUND(data!AB64,0)</f>
        <v>19613804</v>
      </c>
      <c r="K27" s="221">
        <f>ROUND(data!AB65,0)</f>
        <v>0</v>
      </c>
      <c r="L27" s="221">
        <f>ROUND(data!AB66,0)</f>
        <v>282331</v>
      </c>
      <c r="M27" s="65">
        <f>ROUND(data!AB67,0)</f>
        <v>308189</v>
      </c>
      <c r="N27" s="221">
        <f>ROUND(data!AB68,0)</f>
        <v>60954</v>
      </c>
      <c r="O27" s="221">
        <f>ROUND(data!AB69,0)</f>
        <v>45049</v>
      </c>
      <c r="P27" s="221">
        <f>ROUND(data!AB70,0)</f>
        <v>0</v>
      </c>
      <c r="Q27" s="221">
        <f>ROUND(data!AB71,0)</f>
        <v>0</v>
      </c>
      <c r="R27" s="221">
        <f>ROUND(data!AB72,0)</f>
        <v>0</v>
      </c>
      <c r="S27" s="221">
        <f>ROUND(data!AB73,0)</f>
        <v>0</v>
      </c>
      <c r="T27" s="221">
        <f>ROUND(data!AB74,0)</f>
        <v>0</v>
      </c>
      <c r="U27" s="221">
        <f>ROUND(data!AB75,0)</f>
        <v>0</v>
      </c>
      <c r="V27" s="221">
        <f>ROUND(data!AB76,0)</f>
        <v>0</v>
      </c>
      <c r="W27" s="221">
        <f>ROUND(data!AB77,0)</f>
        <v>0</v>
      </c>
      <c r="X27" s="221">
        <f>ROUND(data!AB78,0)</f>
        <v>0</v>
      </c>
      <c r="Y27" s="221">
        <f>ROUND(data!AB79,0)</f>
        <v>0</v>
      </c>
      <c r="Z27" s="221">
        <f>ROUND(data!AB80,0)</f>
        <v>0</v>
      </c>
      <c r="AA27" s="221">
        <f>ROUND(data!AB81,0)</f>
        <v>0</v>
      </c>
      <c r="AB27" s="221">
        <f>ROUND(data!AB82,0)</f>
        <v>0</v>
      </c>
      <c r="AC27" s="221">
        <f>ROUND(data!AB83,0)</f>
        <v>45049</v>
      </c>
      <c r="AD27" s="221">
        <f>ROUND(data!AB84,0)</f>
        <v>500</v>
      </c>
      <c r="AE27" s="221">
        <f>ROUND(data!AB89,0)</f>
        <v>160737847</v>
      </c>
      <c r="AF27" s="221">
        <f>ROUND(data!AB87,0)</f>
        <v>84600751</v>
      </c>
      <c r="AG27" s="221">
        <f>IF(data!AB90&gt;0,ROUND(data!AB90,0),0)</f>
        <v>7695</v>
      </c>
      <c r="AH27" s="221">
        <f>IF(data!AB91&gt;0,ROUND(data!AB91,0),0)</f>
        <v>0</v>
      </c>
      <c r="AI27" s="221">
        <f>IF(data!AB92&gt;0,ROUND(data!AB92,0),0)</f>
        <v>981</v>
      </c>
      <c r="AJ27" s="221">
        <f>IF(data!AB93&gt;0,ROUND(data!AB93,0),0)</f>
        <v>0</v>
      </c>
      <c r="AK27" s="211">
        <f>IF(data!AB94&gt;0,ROUND(data!AB94,2),0)</f>
        <v>0</v>
      </c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65"/>
      <c r="BK27" s="65"/>
      <c r="BL27" s="65"/>
      <c r="BM27" s="65"/>
      <c r="BN27" s="65"/>
      <c r="BO27" s="65"/>
      <c r="BP27" s="65"/>
      <c r="BQ27" s="65"/>
      <c r="BR27" s="65"/>
      <c r="BS27" s="65"/>
      <c r="BT27" s="65"/>
      <c r="BU27" s="65"/>
      <c r="BV27" s="65"/>
      <c r="BW27" s="65"/>
      <c r="BX27" s="65"/>
      <c r="BY27" s="65"/>
      <c r="BZ27" s="65"/>
      <c r="CA27" s="65"/>
      <c r="CB27" s="65"/>
      <c r="CC27" s="65"/>
      <c r="CD27" s="65"/>
      <c r="CE27" s="65"/>
      <c r="CF27" s="65"/>
      <c r="CG27" s="65"/>
      <c r="CH27" s="65"/>
      <c r="CI27" s="65"/>
      <c r="CJ27" s="65"/>
      <c r="CK27" s="65"/>
    </row>
    <row r="28" spans="1:89" s="11" customFormat="1" ht="12.6" customHeight="1" x14ac:dyDescent="0.25">
      <c r="A28" s="15" t="str">
        <f>RIGHT(data!$C$97,3)</f>
        <v>164</v>
      </c>
      <c r="B28" s="223" t="str">
        <f>RIGHT(data!$C$96,4)</f>
        <v>2022</v>
      </c>
      <c r="C28" s="15" t="str">
        <f>data!AC$55</f>
        <v>7180</v>
      </c>
      <c r="D28" s="15" t="s">
        <v>1120</v>
      </c>
      <c r="E28" s="221">
        <f>ROUND(data!AC59,0)</f>
        <v>0</v>
      </c>
      <c r="F28" s="211">
        <f>ROUND(data!AC60,2)</f>
        <v>24.61</v>
      </c>
      <c r="G28" s="221">
        <f>ROUND(data!AC61,0)</f>
        <v>3048287</v>
      </c>
      <c r="H28" s="221">
        <f>ROUND(data!AC62,0)</f>
        <v>646699</v>
      </c>
      <c r="I28" s="221">
        <f>ROUND(data!AC63,0)</f>
        <v>0</v>
      </c>
      <c r="J28" s="221">
        <f>ROUND(data!AC64,0)</f>
        <v>338727</v>
      </c>
      <c r="K28" s="221">
        <f>ROUND(data!AC65,0)</f>
        <v>0</v>
      </c>
      <c r="L28" s="221">
        <f>ROUND(data!AC66,0)</f>
        <v>73810</v>
      </c>
      <c r="M28" s="65">
        <f>ROUND(data!AC67,0)</f>
        <v>41262</v>
      </c>
      <c r="N28" s="221">
        <f>ROUND(data!AC68,0)</f>
        <v>0</v>
      </c>
      <c r="O28" s="221">
        <f>ROUND(data!AC69,0)</f>
        <v>468</v>
      </c>
      <c r="P28" s="221">
        <f>ROUND(data!AC70,0)</f>
        <v>0</v>
      </c>
      <c r="Q28" s="221">
        <f>ROUND(data!AC71,0)</f>
        <v>0</v>
      </c>
      <c r="R28" s="221">
        <f>ROUND(data!AC72,0)</f>
        <v>0</v>
      </c>
      <c r="S28" s="221">
        <f>ROUND(data!AC73,0)</f>
        <v>0</v>
      </c>
      <c r="T28" s="221">
        <f>ROUND(data!AC74,0)</f>
        <v>0</v>
      </c>
      <c r="U28" s="221">
        <f>ROUND(data!AC75,0)</f>
        <v>0</v>
      </c>
      <c r="V28" s="221">
        <f>ROUND(data!AC76,0)</f>
        <v>0</v>
      </c>
      <c r="W28" s="221">
        <f>ROUND(data!AC77,0)</f>
        <v>0</v>
      </c>
      <c r="X28" s="221">
        <f>ROUND(data!AC78,0)</f>
        <v>0</v>
      </c>
      <c r="Y28" s="221">
        <f>ROUND(data!AC79,0)</f>
        <v>0</v>
      </c>
      <c r="Z28" s="221">
        <f>ROUND(data!AC80,0)</f>
        <v>0</v>
      </c>
      <c r="AA28" s="221">
        <f>ROUND(data!AC81,0)</f>
        <v>0</v>
      </c>
      <c r="AB28" s="221">
        <f>ROUND(data!AC82,0)</f>
        <v>0</v>
      </c>
      <c r="AC28" s="221">
        <f>ROUND(data!AC83,0)</f>
        <v>468</v>
      </c>
      <c r="AD28" s="221">
        <f>ROUND(data!AC84,0)</f>
        <v>0</v>
      </c>
      <c r="AE28" s="221">
        <f>ROUND(data!AC89,0)</f>
        <v>22238281</v>
      </c>
      <c r="AF28" s="221">
        <f>ROUND(data!AC87,0)</f>
        <v>21258467</v>
      </c>
      <c r="AG28" s="221">
        <f>IF(data!AC90&gt;0,ROUND(data!AC90,0),0)</f>
        <v>2635</v>
      </c>
      <c r="AH28" s="221">
        <f>IF(data!AC91&gt;0,ROUND(data!AC91,0),0)</f>
        <v>0</v>
      </c>
      <c r="AI28" s="221">
        <f>IF(data!AC92&gt;0,ROUND(data!AC92,0),0)</f>
        <v>336</v>
      </c>
      <c r="AJ28" s="221">
        <f>IF(data!AC93&gt;0,ROUND(data!AC93,0),0)</f>
        <v>0</v>
      </c>
      <c r="AK28" s="211">
        <f>IF(data!AC94&gt;0,ROUND(data!AC94,2),0)</f>
        <v>0.05</v>
      </c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65"/>
      <c r="BM28" s="65"/>
      <c r="BN28" s="65"/>
      <c r="BO28" s="65"/>
      <c r="BP28" s="65"/>
      <c r="BQ28" s="65"/>
      <c r="BR28" s="65"/>
      <c r="BS28" s="65"/>
      <c r="BT28" s="65"/>
      <c r="BU28" s="65"/>
      <c r="BV28" s="65"/>
      <c r="BW28" s="65"/>
      <c r="BX28" s="65"/>
      <c r="BY28" s="65"/>
      <c r="BZ28" s="65"/>
      <c r="CA28" s="65"/>
      <c r="CB28" s="65"/>
      <c r="CC28" s="65"/>
      <c r="CD28" s="65"/>
      <c r="CE28" s="65"/>
      <c r="CF28" s="65"/>
      <c r="CG28" s="65"/>
      <c r="CH28" s="65"/>
      <c r="CI28" s="65"/>
      <c r="CJ28" s="65"/>
      <c r="CK28" s="65"/>
    </row>
    <row r="29" spans="1:89" s="11" customFormat="1" ht="12.6" customHeight="1" x14ac:dyDescent="0.25">
      <c r="A29" s="15" t="str">
        <f>RIGHT(data!$C$97,3)</f>
        <v>164</v>
      </c>
      <c r="B29" s="223" t="str">
        <f>RIGHT(data!$C$96,4)</f>
        <v>2022</v>
      </c>
      <c r="C29" s="15" t="str">
        <f>data!AD$55</f>
        <v>7190</v>
      </c>
      <c r="D29" s="15" t="s">
        <v>1120</v>
      </c>
      <c r="E29" s="221">
        <f>ROUND(data!AD59,0)</f>
        <v>0</v>
      </c>
      <c r="F29" s="211">
        <f>ROUND(data!AD60,2)</f>
        <v>0</v>
      </c>
      <c r="G29" s="221">
        <f>ROUND(data!AD61,0)</f>
        <v>0</v>
      </c>
      <c r="H29" s="221">
        <f>ROUND(data!AD62,0)</f>
        <v>0</v>
      </c>
      <c r="I29" s="221">
        <f>ROUND(data!AD63,0)</f>
        <v>0</v>
      </c>
      <c r="J29" s="221">
        <f>ROUND(data!AD64,0)</f>
        <v>0</v>
      </c>
      <c r="K29" s="221">
        <f>ROUND(data!AD65,0)</f>
        <v>0</v>
      </c>
      <c r="L29" s="221">
        <f>ROUND(data!AD66,0)</f>
        <v>0</v>
      </c>
      <c r="M29" s="65">
        <f>ROUND(data!AD67,0)</f>
        <v>0</v>
      </c>
      <c r="N29" s="221">
        <f>ROUND(data!AD68,0)</f>
        <v>0</v>
      </c>
      <c r="O29" s="221">
        <f>ROUND(data!AD69,0)</f>
        <v>0</v>
      </c>
      <c r="P29" s="221">
        <f>ROUND(data!AD70,0)</f>
        <v>0</v>
      </c>
      <c r="Q29" s="221">
        <f>ROUND(data!AD71,0)</f>
        <v>0</v>
      </c>
      <c r="R29" s="221">
        <f>ROUND(data!AD72,0)</f>
        <v>0</v>
      </c>
      <c r="S29" s="221">
        <f>ROUND(data!AD73,0)</f>
        <v>0</v>
      </c>
      <c r="T29" s="221">
        <f>ROUND(data!AD74,0)</f>
        <v>0</v>
      </c>
      <c r="U29" s="221">
        <f>ROUND(data!AD75,0)</f>
        <v>0</v>
      </c>
      <c r="V29" s="221">
        <f>ROUND(data!AD76,0)</f>
        <v>0</v>
      </c>
      <c r="W29" s="221">
        <f>ROUND(data!AD77,0)</f>
        <v>0</v>
      </c>
      <c r="X29" s="221">
        <f>ROUND(data!AD78,0)</f>
        <v>0</v>
      </c>
      <c r="Y29" s="221">
        <f>ROUND(data!AD79,0)</f>
        <v>0</v>
      </c>
      <c r="Z29" s="221">
        <f>ROUND(data!AD80,0)</f>
        <v>0</v>
      </c>
      <c r="AA29" s="221">
        <f>ROUND(data!AD81,0)</f>
        <v>0</v>
      </c>
      <c r="AB29" s="221">
        <f>ROUND(data!AD82,0)</f>
        <v>0</v>
      </c>
      <c r="AC29" s="221">
        <f>ROUND(data!AD83,0)</f>
        <v>0</v>
      </c>
      <c r="AD29" s="221">
        <f>ROUND(data!AD84,0)</f>
        <v>0</v>
      </c>
      <c r="AE29" s="221">
        <f>ROUND(data!AD89,0)</f>
        <v>0</v>
      </c>
      <c r="AF29" s="221">
        <f>ROUND(data!AD87,0)</f>
        <v>0</v>
      </c>
      <c r="AG29" s="221">
        <f>IF(data!AD90&gt;0,ROUND(data!AD90,0),0)</f>
        <v>0</v>
      </c>
      <c r="AH29" s="221">
        <f>IF(data!AD91&gt;0,ROUND(data!AD91,0),0)</f>
        <v>0</v>
      </c>
      <c r="AI29" s="221">
        <f>IF(data!AD92&gt;0,ROUND(data!AD92,0),0)</f>
        <v>0</v>
      </c>
      <c r="AJ29" s="221">
        <f>IF(data!AD93&gt;0,ROUND(data!AD93,0),0)</f>
        <v>0</v>
      </c>
      <c r="AK29" s="211">
        <f>IF(data!AD94&gt;0,ROUND(data!AD94,2),0)</f>
        <v>0</v>
      </c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5"/>
      <c r="BM29" s="65"/>
      <c r="BN29" s="65"/>
      <c r="BO29" s="65"/>
      <c r="BP29" s="65"/>
      <c r="BQ29" s="65"/>
      <c r="BR29" s="65"/>
      <c r="BS29" s="65"/>
      <c r="BT29" s="65"/>
      <c r="BU29" s="65"/>
      <c r="BV29" s="65"/>
      <c r="BW29" s="65"/>
      <c r="BX29" s="65"/>
      <c r="BY29" s="65"/>
      <c r="BZ29" s="65"/>
      <c r="CA29" s="65"/>
      <c r="CB29" s="65"/>
      <c r="CC29" s="65"/>
      <c r="CD29" s="65"/>
      <c r="CE29" s="65"/>
      <c r="CF29" s="65"/>
      <c r="CG29" s="65"/>
      <c r="CH29" s="65"/>
      <c r="CI29" s="65"/>
      <c r="CJ29" s="65"/>
      <c r="CK29" s="65"/>
    </row>
    <row r="30" spans="1:89" s="11" customFormat="1" ht="12.6" customHeight="1" x14ac:dyDescent="0.25">
      <c r="A30" s="15" t="str">
        <f>RIGHT(data!$C$97,3)</f>
        <v>164</v>
      </c>
      <c r="B30" s="223" t="str">
        <f>RIGHT(data!$C$96,4)</f>
        <v>2022</v>
      </c>
      <c r="C30" s="15" t="str">
        <f>data!AE$55</f>
        <v>7200</v>
      </c>
      <c r="D30" s="15" t="s">
        <v>1120</v>
      </c>
      <c r="E30" s="221">
        <f>ROUND(data!AE59,0)</f>
        <v>45187</v>
      </c>
      <c r="F30" s="211">
        <f>ROUND(data!AE60,2)</f>
        <v>67.03</v>
      </c>
      <c r="G30" s="221">
        <f>ROUND(data!AE61,0)</f>
        <v>6304612</v>
      </c>
      <c r="H30" s="221">
        <f>ROUND(data!AE62,0)</f>
        <v>1488326</v>
      </c>
      <c r="I30" s="221">
        <f>ROUND(data!AE63,0)</f>
        <v>0</v>
      </c>
      <c r="J30" s="221">
        <f>ROUND(data!AE64,0)</f>
        <v>135859</v>
      </c>
      <c r="K30" s="221">
        <f>ROUND(data!AE65,0)</f>
        <v>6454</v>
      </c>
      <c r="L30" s="221">
        <f>ROUND(data!AE66,0)</f>
        <v>878295</v>
      </c>
      <c r="M30" s="65">
        <f>ROUND(data!AE67,0)</f>
        <v>295288</v>
      </c>
      <c r="N30" s="221">
        <f>ROUND(data!AE68,0)</f>
        <v>30669</v>
      </c>
      <c r="O30" s="221">
        <f>ROUND(data!AE69,0)</f>
        <v>27406</v>
      </c>
      <c r="P30" s="221">
        <f>ROUND(data!AE70,0)</f>
        <v>0</v>
      </c>
      <c r="Q30" s="221">
        <f>ROUND(data!AE71,0)</f>
        <v>0</v>
      </c>
      <c r="R30" s="221">
        <f>ROUND(data!AE72,0)</f>
        <v>0</v>
      </c>
      <c r="S30" s="221">
        <f>ROUND(data!AE73,0)</f>
        <v>0</v>
      </c>
      <c r="T30" s="221">
        <f>ROUND(data!AE74,0)</f>
        <v>0</v>
      </c>
      <c r="U30" s="221">
        <f>ROUND(data!AE75,0)</f>
        <v>0</v>
      </c>
      <c r="V30" s="221">
        <f>ROUND(data!AE76,0)</f>
        <v>0</v>
      </c>
      <c r="W30" s="221">
        <f>ROUND(data!AE77,0)</f>
        <v>0</v>
      </c>
      <c r="X30" s="221">
        <f>ROUND(data!AE78,0)</f>
        <v>0</v>
      </c>
      <c r="Y30" s="221">
        <f>ROUND(data!AE79,0)</f>
        <v>0</v>
      </c>
      <c r="Z30" s="221">
        <f>ROUND(data!AE80,0)</f>
        <v>0</v>
      </c>
      <c r="AA30" s="221">
        <f>ROUND(data!AE81,0)</f>
        <v>0</v>
      </c>
      <c r="AB30" s="221">
        <f>ROUND(data!AE82,0)</f>
        <v>0</v>
      </c>
      <c r="AC30" s="221">
        <f>ROUND(data!AE83,0)</f>
        <v>27406</v>
      </c>
      <c r="AD30" s="221">
        <f>ROUND(data!AE84,0)</f>
        <v>7245</v>
      </c>
      <c r="AE30" s="221">
        <f>ROUND(data!AE89,0)</f>
        <v>39025022</v>
      </c>
      <c r="AF30" s="221">
        <f>ROUND(data!AE87,0)</f>
        <v>14740468</v>
      </c>
      <c r="AG30" s="221">
        <f>IF(data!AE90&gt;0,ROUND(data!AE90,0),0)</f>
        <v>17259</v>
      </c>
      <c r="AH30" s="221">
        <f>IF(data!AE91&gt;0,ROUND(data!AE91,0),0)</f>
        <v>0</v>
      </c>
      <c r="AI30" s="221">
        <f>IF(data!AE92&gt;0,ROUND(data!AE92,0),0)</f>
        <v>2236</v>
      </c>
      <c r="AJ30" s="221">
        <f>IF(data!AE93&gt;0,ROUND(data!AE93,0),0)</f>
        <v>0</v>
      </c>
      <c r="AK30" s="211">
        <f>IF(data!AE94&gt;0,ROUND(data!AE94,2),0)</f>
        <v>0</v>
      </c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65"/>
      <c r="BL30" s="65"/>
      <c r="BM30" s="65"/>
      <c r="BN30" s="65"/>
      <c r="BO30" s="65"/>
      <c r="BP30" s="65"/>
      <c r="BQ30" s="65"/>
      <c r="BR30" s="65"/>
      <c r="BS30" s="65"/>
      <c r="BT30" s="65"/>
      <c r="BU30" s="65"/>
      <c r="BV30" s="65"/>
      <c r="BW30" s="65"/>
      <c r="BX30" s="65"/>
      <c r="BY30" s="65"/>
      <c r="BZ30" s="65"/>
      <c r="CA30" s="65"/>
      <c r="CB30" s="65"/>
      <c r="CC30" s="65"/>
      <c r="CD30" s="65"/>
      <c r="CE30" s="65"/>
      <c r="CF30" s="65"/>
      <c r="CG30" s="65"/>
      <c r="CH30" s="65"/>
      <c r="CI30" s="65"/>
      <c r="CJ30" s="65"/>
      <c r="CK30" s="65"/>
    </row>
    <row r="31" spans="1:89" s="11" customFormat="1" ht="12.6" customHeight="1" x14ac:dyDescent="0.25">
      <c r="A31" s="15" t="str">
        <f>RIGHT(data!$C$97,3)</f>
        <v>164</v>
      </c>
      <c r="B31" s="223" t="str">
        <f>RIGHT(data!$C$96,4)</f>
        <v>2022</v>
      </c>
      <c r="C31" s="15" t="str">
        <f>data!AF$55</f>
        <v>7220</v>
      </c>
      <c r="D31" s="15" t="s">
        <v>1120</v>
      </c>
      <c r="E31" s="221">
        <f>ROUND(data!AF59,0)</f>
        <v>0</v>
      </c>
      <c r="F31" s="211">
        <f>ROUND(data!AF60,2)</f>
        <v>0</v>
      </c>
      <c r="G31" s="221">
        <f>ROUND(data!AF61,0)</f>
        <v>0</v>
      </c>
      <c r="H31" s="221">
        <f>ROUND(data!AF62,0)</f>
        <v>0</v>
      </c>
      <c r="I31" s="221">
        <f>ROUND(data!AF63,0)</f>
        <v>0</v>
      </c>
      <c r="J31" s="221">
        <f>ROUND(data!AF64,0)</f>
        <v>0</v>
      </c>
      <c r="K31" s="221">
        <f>ROUND(data!AF65,0)</f>
        <v>0</v>
      </c>
      <c r="L31" s="221">
        <f>ROUND(data!AF66,0)</f>
        <v>0</v>
      </c>
      <c r="M31" s="65">
        <f>ROUND(data!AF67,0)</f>
        <v>0</v>
      </c>
      <c r="N31" s="221">
        <f>ROUND(data!AF68,0)</f>
        <v>0</v>
      </c>
      <c r="O31" s="221">
        <f>ROUND(data!AF69,0)</f>
        <v>0</v>
      </c>
      <c r="P31" s="221">
        <f>ROUND(data!AF70,0)</f>
        <v>0</v>
      </c>
      <c r="Q31" s="221">
        <f>ROUND(data!AF71,0)</f>
        <v>0</v>
      </c>
      <c r="R31" s="221">
        <f>ROUND(data!AF72,0)</f>
        <v>0</v>
      </c>
      <c r="S31" s="221">
        <f>ROUND(data!AF73,0)</f>
        <v>0</v>
      </c>
      <c r="T31" s="221">
        <f>ROUND(data!AF74,0)</f>
        <v>0</v>
      </c>
      <c r="U31" s="221">
        <f>ROUND(data!AF75,0)</f>
        <v>0</v>
      </c>
      <c r="V31" s="221">
        <f>ROUND(data!AF76,0)</f>
        <v>0</v>
      </c>
      <c r="W31" s="221">
        <f>ROUND(data!AF77,0)</f>
        <v>0</v>
      </c>
      <c r="X31" s="221">
        <f>ROUND(data!AF78,0)</f>
        <v>0</v>
      </c>
      <c r="Y31" s="221">
        <f>ROUND(data!AF79,0)</f>
        <v>0</v>
      </c>
      <c r="Z31" s="221">
        <f>ROUND(data!AF80,0)</f>
        <v>0</v>
      </c>
      <c r="AA31" s="221">
        <f>ROUND(data!AF81,0)</f>
        <v>0</v>
      </c>
      <c r="AB31" s="221">
        <f>ROUND(data!AF82,0)</f>
        <v>0</v>
      </c>
      <c r="AC31" s="221">
        <f>ROUND(data!AF83,0)</f>
        <v>0</v>
      </c>
      <c r="AD31" s="221">
        <f>ROUND(data!AF84,0)</f>
        <v>0</v>
      </c>
      <c r="AE31" s="221">
        <f>ROUND(data!AF89,0)</f>
        <v>0</v>
      </c>
      <c r="AF31" s="221">
        <f>ROUND(data!AF87,0)</f>
        <v>0</v>
      </c>
      <c r="AG31" s="221">
        <f>IF(data!AF90&gt;0,ROUND(data!AF90,0),0)</f>
        <v>0</v>
      </c>
      <c r="AH31" s="221">
        <f>IF(data!AF91&gt;0,ROUND(data!AF91,0),0)</f>
        <v>0</v>
      </c>
      <c r="AI31" s="221">
        <f>IF(data!AF92&gt;0,ROUND(data!AF92,0),0)</f>
        <v>0</v>
      </c>
      <c r="AJ31" s="221">
        <f>IF(data!AF93&gt;0,ROUND(data!AF93,0),0)</f>
        <v>0</v>
      </c>
      <c r="AK31" s="211">
        <f>IF(data!AF94&gt;0,ROUND(data!AF94,2),0)</f>
        <v>0</v>
      </c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5"/>
      <c r="BM31" s="65"/>
      <c r="BN31" s="65"/>
      <c r="BO31" s="65"/>
      <c r="BP31" s="65"/>
      <c r="BQ31" s="65"/>
      <c r="BR31" s="65"/>
      <c r="BS31" s="65"/>
      <c r="BT31" s="65"/>
      <c r="BU31" s="65"/>
      <c r="BV31" s="65"/>
      <c r="BW31" s="65"/>
      <c r="BX31" s="65"/>
      <c r="BY31" s="65"/>
      <c r="BZ31" s="65"/>
      <c r="CA31" s="65"/>
      <c r="CB31" s="65"/>
      <c r="CC31" s="65"/>
      <c r="CD31" s="65"/>
      <c r="CE31" s="65"/>
      <c r="CF31" s="65"/>
      <c r="CG31" s="65"/>
      <c r="CH31" s="65"/>
      <c r="CI31" s="65"/>
      <c r="CJ31" s="65"/>
      <c r="CK31" s="65"/>
    </row>
    <row r="32" spans="1:89" s="11" customFormat="1" ht="12.6" customHeight="1" x14ac:dyDescent="0.25">
      <c r="A32" s="15" t="str">
        <f>RIGHT(data!$C$97,3)</f>
        <v>164</v>
      </c>
      <c r="B32" s="223" t="str">
        <f>RIGHT(data!$C$96,4)</f>
        <v>2022</v>
      </c>
      <c r="C32" s="15" t="str">
        <f>data!AG$55</f>
        <v>7230</v>
      </c>
      <c r="D32" s="15" t="s">
        <v>1120</v>
      </c>
      <c r="E32" s="221">
        <f>ROUND(data!AG59,0)</f>
        <v>124924</v>
      </c>
      <c r="F32" s="211">
        <f>ROUND(data!AG60,2)</f>
        <v>113.5</v>
      </c>
      <c r="G32" s="221">
        <f>ROUND(data!AG61,0)</f>
        <v>14333535</v>
      </c>
      <c r="H32" s="221">
        <f>ROUND(data!AG62,0)</f>
        <v>2823414</v>
      </c>
      <c r="I32" s="221">
        <f>ROUND(data!AG63,0)</f>
        <v>322807</v>
      </c>
      <c r="J32" s="221">
        <f>ROUND(data!AG64,0)</f>
        <v>1866443</v>
      </c>
      <c r="K32" s="221">
        <f>ROUND(data!AG65,0)</f>
        <v>2494</v>
      </c>
      <c r="L32" s="221">
        <f>ROUND(data!AG66,0)</f>
        <v>686559</v>
      </c>
      <c r="M32" s="65">
        <f>ROUND(data!AG67,0)</f>
        <v>1635377</v>
      </c>
      <c r="N32" s="221">
        <f>ROUND(data!AG68,0)</f>
        <v>55450</v>
      </c>
      <c r="O32" s="221">
        <f>ROUND(data!AG69,0)</f>
        <v>16775</v>
      </c>
      <c r="P32" s="221">
        <f>ROUND(data!AG70,0)</f>
        <v>0</v>
      </c>
      <c r="Q32" s="221">
        <f>ROUND(data!AG71,0)</f>
        <v>0</v>
      </c>
      <c r="R32" s="221">
        <f>ROUND(data!AG72,0)</f>
        <v>0</v>
      </c>
      <c r="S32" s="221">
        <f>ROUND(data!AG73,0)</f>
        <v>0</v>
      </c>
      <c r="T32" s="221">
        <f>ROUND(data!AG74,0)</f>
        <v>0</v>
      </c>
      <c r="U32" s="221">
        <f>ROUND(data!AG75,0)</f>
        <v>0</v>
      </c>
      <c r="V32" s="221">
        <f>ROUND(data!AG76,0)</f>
        <v>0</v>
      </c>
      <c r="W32" s="221">
        <f>ROUND(data!AG77,0)</f>
        <v>0</v>
      </c>
      <c r="X32" s="221">
        <f>ROUND(data!AG78,0)</f>
        <v>0</v>
      </c>
      <c r="Y32" s="221">
        <f>ROUND(data!AG79,0)</f>
        <v>0</v>
      </c>
      <c r="Z32" s="221">
        <f>ROUND(data!AG80,0)</f>
        <v>0</v>
      </c>
      <c r="AA32" s="221">
        <f>ROUND(data!AG81,0)</f>
        <v>0</v>
      </c>
      <c r="AB32" s="221">
        <f>ROUND(data!AG82,0)</f>
        <v>0</v>
      </c>
      <c r="AC32" s="221">
        <f>ROUND(data!AG83,0)</f>
        <v>16775</v>
      </c>
      <c r="AD32" s="221">
        <f>ROUND(data!AG84,0)</f>
        <v>4013</v>
      </c>
      <c r="AE32" s="221">
        <f>ROUND(data!AG89,0)</f>
        <v>176910047</v>
      </c>
      <c r="AF32" s="221">
        <f>ROUND(data!AG87,0)</f>
        <v>42607149</v>
      </c>
      <c r="AG32" s="221">
        <f>IF(data!AG90&gt;0,ROUND(data!AG90,0),0)</f>
        <v>55060</v>
      </c>
      <c r="AH32" s="221">
        <f>IF(data!AG91&gt;0,ROUND(data!AG91,0),0)</f>
        <v>5923</v>
      </c>
      <c r="AI32" s="221">
        <f>IF(data!AG92&gt;0,ROUND(data!AG92,0),0)</f>
        <v>7022</v>
      </c>
      <c r="AJ32" s="221">
        <f>IF(data!AG93&gt;0,ROUND(data!AG93,0),0)</f>
        <v>348593</v>
      </c>
      <c r="AK32" s="211">
        <f>IF(data!AG94&gt;0,ROUND(data!AG94,2),0)</f>
        <v>68.22</v>
      </c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5"/>
      <c r="BM32" s="65"/>
      <c r="BN32" s="65"/>
      <c r="BO32" s="65"/>
      <c r="BP32" s="65"/>
      <c r="BQ32" s="65"/>
      <c r="BR32" s="65"/>
      <c r="BS32" s="65"/>
      <c r="BT32" s="65"/>
      <c r="BU32" s="65"/>
      <c r="BV32" s="65"/>
      <c r="BW32" s="65"/>
      <c r="BX32" s="65"/>
      <c r="BY32" s="65"/>
      <c r="BZ32" s="65"/>
      <c r="CA32" s="65"/>
      <c r="CB32" s="65"/>
      <c r="CC32" s="65"/>
      <c r="CD32" s="65"/>
      <c r="CE32" s="65"/>
      <c r="CF32" s="65"/>
      <c r="CG32" s="65"/>
      <c r="CH32" s="65"/>
      <c r="CI32" s="65"/>
      <c r="CJ32" s="65"/>
      <c r="CK32" s="65"/>
    </row>
    <row r="33" spans="1:89" s="11" customFormat="1" ht="12.6" customHeight="1" x14ac:dyDescent="0.25">
      <c r="A33" s="15" t="str">
        <f>RIGHT(data!$C$97,3)</f>
        <v>164</v>
      </c>
      <c r="B33" s="223" t="str">
        <f>RIGHT(data!$C$96,4)</f>
        <v>2022</v>
      </c>
      <c r="C33" s="15" t="str">
        <f>data!AH$55</f>
        <v>7240</v>
      </c>
      <c r="D33" s="15" t="s">
        <v>1120</v>
      </c>
      <c r="E33" s="221">
        <f>ROUND(data!AH59,0)</f>
        <v>0</v>
      </c>
      <c r="F33" s="211">
        <f>ROUND(data!AH60,2)</f>
        <v>0</v>
      </c>
      <c r="G33" s="221">
        <f>ROUND(data!AH61,0)</f>
        <v>0</v>
      </c>
      <c r="H33" s="221">
        <f>ROUND(data!AH62,0)</f>
        <v>0</v>
      </c>
      <c r="I33" s="221">
        <f>ROUND(data!AH63,0)</f>
        <v>0</v>
      </c>
      <c r="J33" s="221">
        <f>ROUND(data!AH64,0)</f>
        <v>0</v>
      </c>
      <c r="K33" s="221">
        <f>ROUND(data!AH65,0)</f>
        <v>0</v>
      </c>
      <c r="L33" s="221">
        <f>ROUND(data!AH66,0)</f>
        <v>0</v>
      </c>
      <c r="M33" s="65">
        <f>ROUND(data!AH67,0)</f>
        <v>0</v>
      </c>
      <c r="N33" s="221">
        <f>ROUND(data!AH68,0)</f>
        <v>0</v>
      </c>
      <c r="O33" s="221">
        <f>ROUND(data!AH69,0)</f>
        <v>0</v>
      </c>
      <c r="P33" s="221">
        <f>ROUND(data!AH70,0)</f>
        <v>0</v>
      </c>
      <c r="Q33" s="221">
        <f>ROUND(data!AH71,0)</f>
        <v>0</v>
      </c>
      <c r="R33" s="221">
        <f>ROUND(data!AH72,0)</f>
        <v>0</v>
      </c>
      <c r="S33" s="221">
        <f>ROUND(data!AH73,0)</f>
        <v>0</v>
      </c>
      <c r="T33" s="221">
        <f>ROUND(data!AH74,0)</f>
        <v>0</v>
      </c>
      <c r="U33" s="221">
        <f>ROUND(data!AH75,0)</f>
        <v>0</v>
      </c>
      <c r="V33" s="221">
        <f>ROUND(data!AH76,0)</f>
        <v>0</v>
      </c>
      <c r="W33" s="221">
        <f>ROUND(data!AH77,0)</f>
        <v>0</v>
      </c>
      <c r="X33" s="221">
        <f>ROUND(data!AH78,0)</f>
        <v>0</v>
      </c>
      <c r="Y33" s="221">
        <f>ROUND(data!AH79,0)</f>
        <v>0</v>
      </c>
      <c r="Z33" s="221">
        <f>ROUND(data!AH80,0)</f>
        <v>0</v>
      </c>
      <c r="AA33" s="221">
        <f>ROUND(data!AH81,0)</f>
        <v>0</v>
      </c>
      <c r="AB33" s="221">
        <f>ROUND(data!AH82,0)</f>
        <v>0</v>
      </c>
      <c r="AC33" s="221">
        <f>ROUND(data!AH83,0)</f>
        <v>0</v>
      </c>
      <c r="AD33" s="221">
        <f>ROUND(data!AH84,0)</f>
        <v>0</v>
      </c>
      <c r="AE33" s="221">
        <f>ROUND(data!AH89,0)</f>
        <v>0</v>
      </c>
      <c r="AF33" s="221">
        <f>ROUND(data!AH87,0)</f>
        <v>0</v>
      </c>
      <c r="AG33" s="221">
        <f>IF(data!AH90&gt;0,ROUND(data!AH90,0),0)</f>
        <v>0</v>
      </c>
      <c r="AH33" s="221">
        <f>IF(data!AH91&gt;0,ROUND(data!AH91,0),0)</f>
        <v>0</v>
      </c>
      <c r="AI33" s="221">
        <f>IF(data!AH92&gt;0,ROUND(data!AH92,0),0)</f>
        <v>0</v>
      </c>
      <c r="AJ33" s="221">
        <f>IF(data!AH93&gt;0,ROUND(data!AH93,0),0)</f>
        <v>0</v>
      </c>
      <c r="AK33" s="211">
        <f>IF(data!AH94&gt;0,ROUND(data!AH94,2),0)</f>
        <v>0</v>
      </c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5"/>
      <c r="BM33" s="65"/>
      <c r="BN33" s="65"/>
      <c r="BO33" s="65"/>
      <c r="BP33" s="65"/>
      <c r="BQ33" s="65"/>
      <c r="BR33" s="65"/>
      <c r="BS33" s="65"/>
      <c r="BT33" s="65"/>
      <c r="BU33" s="65"/>
      <c r="BV33" s="65"/>
      <c r="BW33" s="65"/>
      <c r="BX33" s="65"/>
      <c r="BY33" s="65"/>
      <c r="BZ33" s="65"/>
      <c r="CA33" s="65"/>
      <c r="CB33" s="65"/>
      <c r="CC33" s="65"/>
      <c r="CD33" s="65"/>
      <c r="CE33" s="65"/>
      <c r="CF33" s="65"/>
      <c r="CG33" s="65"/>
      <c r="CH33" s="65"/>
      <c r="CI33" s="65"/>
      <c r="CJ33" s="65"/>
      <c r="CK33" s="65"/>
    </row>
    <row r="34" spans="1:89" s="11" customFormat="1" ht="12.6" customHeight="1" x14ac:dyDescent="0.25">
      <c r="A34" s="15" t="str">
        <f>RIGHT(data!$C$97,3)</f>
        <v>164</v>
      </c>
      <c r="B34" s="223" t="str">
        <f>RIGHT(data!$C$96,4)</f>
        <v>2022</v>
      </c>
      <c r="C34" s="15" t="str">
        <f>data!AI$55</f>
        <v>7250</v>
      </c>
      <c r="D34" s="15" t="s">
        <v>1120</v>
      </c>
      <c r="E34" s="221">
        <f>ROUND(data!AI59,0)</f>
        <v>0</v>
      </c>
      <c r="F34" s="211">
        <f>ROUND(data!AI60,2)</f>
        <v>0</v>
      </c>
      <c r="G34" s="221">
        <f>ROUND(data!AI61,0)</f>
        <v>0</v>
      </c>
      <c r="H34" s="221">
        <f>ROUND(data!AI62,0)</f>
        <v>0</v>
      </c>
      <c r="I34" s="221">
        <f>ROUND(data!AI63,0)</f>
        <v>0</v>
      </c>
      <c r="J34" s="221">
        <f>ROUND(data!AI64,0)</f>
        <v>0</v>
      </c>
      <c r="K34" s="221">
        <f>ROUND(data!AI65,0)</f>
        <v>0</v>
      </c>
      <c r="L34" s="221">
        <f>ROUND(data!AI66,0)</f>
        <v>0</v>
      </c>
      <c r="M34" s="65">
        <f>ROUND(data!AI67,0)</f>
        <v>0</v>
      </c>
      <c r="N34" s="221">
        <f>ROUND(data!AI68,0)</f>
        <v>0</v>
      </c>
      <c r="O34" s="221">
        <f>ROUND(data!AI69,0)</f>
        <v>0</v>
      </c>
      <c r="P34" s="221">
        <f>ROUND(data!AI70,0)</f>
        <v>0</v>
      </c>
      <c r="Q34" s="221">
        <f>ROUND(data!AI71,0)</f>
        <v>0</v>
      </c>
      <c r="R34" s="221">
        <f>ROUND(data!AI72,0)</f>
        <v>0</v>
      </c>
      <c r="S34" s="221">
        <f>ROUND(data!AI73,0)</f>
        <v>0</v>
      </c>
      <c r="T34" s="221">
        <f>ROUND(data!AI74,0)</f>
        <v>0</v>
      </c>
      <c r="U34" s="221">
        <f>ROUND(data!AI75,0)</f>
        <v>0</v>
      </c>
      <c r="V34" s="221">
        <f>ROUND(data!AI76,0)</f>
        <v>0</v>
      </c>
      <c r="W34" s="221">
        <f>ROUND(data!AI77,0)</f>
        <v>0</v>
      </c>
      <c r="X34" s="221">
        <f>ROUND(data!AI78,0)</f>
        <v>0</v>
      </c>
      <c r="Y34" s="221">
        <f>ROUND(data!AI79,0)</f>
        <v>0</v>
      </c>
      <c r="Z34" s="221">
        <f>ROUND(data!AI80,0)</f>
        <v>0</v>
      </c>
      <c r="AA34" s="221">
        <f>ROUND(data!AI81,0)</f>
        <v>0</v>
      </c>
      <c r="AB34" s="221">
        <f>ROUND(data!AI82,0)</f>
        <v>0</v>
      </c>
      <c r="AC34" s="221">
        <f>ROUND(data!AI83,0)</f>
        <v>0</v>
      </c>
      <c r="AD34" s="221">
        <f>ROUND(data!AI84,0)</f>
        <v>0</v>
      </c>
      <c r="AE34" s="221">
        <f>ROUND(data!AI89,0)</f>
        <v>0</v>
      </c>
      <c r="AF34" s="221">
        <f>ROUND(data!AI87,0)</f>
        <v>0</v>
      </c>
      <c r="AG34" s="221">
        <f>IF(data!AI90&gt;0,ROUND(data!AI90,0),0)</f>
        <v>0</v>
      </c>
      <c r="AH34" s="221">
        <f>IF(data!AI91&gt;0,ROUND(data!AI91,0),0)</f>
        <v>0</v>
      </c>
      <c r="AI34" s="221">
        <f>IF(data!AI92&gt;0,ROUND(data!AI92,0),0)</f>
        <v>0</v>
      </c>
      <c r="AJ34" s="221">
        <f>IF(data!AI93&gt;0,ROUND(data!AI93,0),0)</f>
        <v>0</v>
      </c>
      <c r="AK34" s="211">
        <f>IF(data!AI94&gt;0,ROUND(data!AI94,2),0)</f>
        <v>0</v>
      </c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  <c r="BG34" s="65"/>
      <c r="BH34" s="65"/>
      <c r="BI34" s="65"/>
      <c r="BJ34" s="65"/>
      <c r="BK34" s="65"/>
      <c r="BL34" s="65"/>
      <c r="BM34" s="65"/>
      <c r="BN34" s="65"/>
      <c r="BO34" s="65"/>
      <c r="BP34" s="65"/>
      <c r="BQ34" s="65"/>
      <c r="BR34" s="65"/>
      <c r="BS34" s="65"/>
      <c r="BT34" s="65"/>
      <c r="BU34" s="65"/>
      <c r="BV34" s="65"/>
      <c r="BW34" s="65"/>
      <c r="BX34" s="65"/>
      <c r="BY34" s="65"/>
      <c r="BZ34" s="65"/>
      <c r="CA34" s="65"/>
      <c r="CB34" s="65"/>
      <c r="CC34" s="65"/>
      <c r="CD34" s="65"/>
      <c r="CE34" s="65"/>
      <c r="CF34" s="65"/>
      <c r="CG34" s="65"/>
      <c r="CH34" s="65"/>
      <c r="CI34" s="65"/>
      <c r="CJ34" s="65"/>
      <c r="CK34" s="65"/>
    </row>
    <row r="35" spans="1:89" s="11" customFormat="1" ht="12.6" customHeight="1" x14ac:dyDescent="0.25">
      <c r="A35" s="15" t="str">
        <f>RIGHT(data!$C$97,3)</f>
        <v>164</v>
      </c>
      <c r="B35" s="223" t="str">
        <f>RIGHT(data!$C$96,4)</f>
        <v>2022</v>
      </c>
      <c r="C35" s="15" t="str">
        <f>data!AJ$55</f>
        <v>7260</v>
      </c>
      <c r="D35" s="15" t="s">
        <v>1120</v>
      </c>
      <c r="E35" s="221">
        <f>ROUND(data!AJ59,0)</f>
        <v>274398</v>
      </c>
      <c r="F35" s="211">
        <f>ROUND(data!AJ60,2)</f>
        <v>488.18</v>
      </c>
      <c r="G35" s="221">
        <f>ROUND(data!AJ61,0)</f>
        <v>84227672</v>
      </c>
      <c r="H35" s="221">
        <f>ROUND(data!AJ62,0)</f>
        <v>14902105</v>
      </c>
      <c r="I35" s="221">
        <f>ROUND(data!AJ63,0)</f>
        <v>800599</v>
      </c>
      <c r="J35" s="221">
        <f>ROUND(data!AJ64,0)</f>
        <v>5653745</v>
      </c>
      <c r="K35" s="221">
        <f>ROUND(data!AJ65,0)</f>
        <v>130402</v>
      </c>
      <c r="L35" s="221">
        <f>ROUND(data!AJ66,0)</f>
        <v>1261447</v>
      </c>
      <c r="M35" s="65">
        <f>ROUND(data!AJ67,0)</f>
        <v>2873171</v>
      </c>
      <c r="N35" s="221">
        <f>ROUND(data!AJ68,0)</f>
        <v>104723</v>
      </c>
      <c r="O35" s="221">
        <f>ROUND(data!AJ69,0)</f>
        <v>1307409</v>
      </c>
      <c r="P35" s="221">
        <f>ROUND(data!AJ70,0)</f>
        <v>0</v>
      </c>
      <c r="Q35" s="221">
        <f>ROUND(data!AJ71,0)</f>
        <v>0</v>
      </c>
      <c r="R35" s="221">
        <f>ROUND(data!AJ72,0)</f>
        <v>0</v>
      </c>
      <c r="S35" s="221">
        <f>ROUND(data!AJ73,0)</f>
        <v>0</v>
      </c>
      <c r="T35" s="221">
        <f>ROUND(data!AJ74,0)</f>
        <v>0</v>
      </c>
      <c r="U35" s="221">
        <f>ROUND(data!AJ75,0)</f>
        <v>0</v>
      </c>
      <c r="V35" s="221">
        <f>ROUND(data!AJ76,0)</f>
        <v>0</v>
      </c>
      <c r="W35" s="221">
        <f>ROUND(data!AJ77,0)</f>
        <v>0</v>
      </c>
      <c r="X35" s="221">
        <f>ROUND(data!AJ78,0)</f>
        <v>0</v>
      </c>
      <c r="Y35" s="221">
        <f>ROUND(data!AJ79,0)</f>
        <v>0</v>
      </c>
      <c r="Z35" s="221">
        <f>ROUND(data!AJ80,0)</f>
        <v>0</v>
      </c>
      <c r="AA35" s="221">
        <f>ROUND(data!AJ81,0)</f>
        <v>0</v>
      </c>
      <c r="AB35" s="221">
        <f>ROUND(data!AJ82,0)</f>
        <v>0</v>
      </c>
      <c r="AC35" s="221">
        <f>ROUND(data!AJ83,0)</f>
        <v>1307409</v>
      </c>
      <c r="AD35" s="221">
        <f>ROUND(data!AJ84,0)</f>
        <v>4639048</v>
      </c>
      <c r="AE35" s="221">
        <f>ROUND(data!AJ89,0)</f>
        <v>197843263</v>
      </c>
      <c r="AF35" s="221">
        <f>ROUND(data!AJ87,0)</f>
        <v>28140496</v>
      </c>
      <c r="AG35" s="221">
        <f>IF(data!AJ90&gt;0,ROUND(data!AJ90,0),0)</f>
        <v>144637</v>
      </c>
      <c r="AH35" s="221">
        <f>IF(data!AJ91&gt;0,ROUND(data!AJ91,0),0)</f>
        <v>0</v>
      </c>
      <c r="AI35" s="221">
        <f>IF(data!AJ92&gt;0,ROUND(data!AJ92,0),0)</f>
        <v>18447</v>
      </c>
      <c r="AJ35" s="221">
        <f>IF(data!AJ93&gt;0,ROUND(data!AJ93,0),0)</f>
        <v>60463</v>
      </c>
      <c r="AK35" s="211">
        <f>IF(data!AJ94&gt;0,ROUND(data!AJ94,2),0)</f>
        <v>56.68</v>
      </c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  <c r="BM35" s="65"/>
      <c r="BN35" s="65"/>
      <c r="BO35" s="65"/>
      <c r="BP35" s="65"/>
      <c r="BQ35" s="65"/>
      <c r="BR35" s="65"/>
      <c r="BS35" s="65"/>
      <c r="BT35" s="65"/>
      <c r="BU35" s="65"/>
      <c r="BV35" s="65"/>
      <c r="BW35" s="65"/>
      <c r="BX35" s="65"/>
      <c r="BY35" s="65"/>
      <c r="BZ35" s="65"/>
      <c r="CA35" s="65"/>
      <c r="CB35" s="65"/>
      <c r="CC35" s="65"/>
      <c r="CD35" s="65"/>
      <c r="CE35" s="65"/>
      <c r="CF35" s="65"/>
      <c r="CG35" s="65"/>
      <c r="CH35" s="65"/>
      <c r="CI35" s="65"/>
      <c r="CJ35" s="65"/>
      <c r="CK35" s="65"/>
    </row>
    <row r="36" spans="1:89" s="11" customFormat="1" ht="12.6" customHeight="1" x14ac:dyDescent="0.25">
      <c r="A36" s="15" t="str">
        <f>RIGHT(data!$C$97,3)</f>
        <v>164</v>
      </c>
      <c r="B36" s="223" t="str">
        <f>RIGHT(data!$C$96,4)</f>
        <v>2022</v>
      </c>
      <c r="C36" s="15" t="str">
        <f>data!AK$55</f>
        <v>7310</v>
      </c>
      <c r="D36" s="15" t="s">
        <v>1120</v>
      </c>
      <c r="E36" s="221">
        <f>ROUND(data!AK59,0)</f>
        <v>0</v>
      </c>
      <c r="F36" s="211">
        <f>ROUND(data!AK60,2)</f>
        <v>0</v>
      </c>
      <c r="G36" s="221">
        <f>ROUND(data!AK61,0)</f>
        <v>0</v>
      </c>
      <c r="H36" s="221">
        <f>ROUND(data!AK62,0)</f>
        <v>0</v>
      </c>
      <c r="I36" s="221">
        <f>ROUND(data!AK63,0)</f>
        <v>0</v>
      </c>
      <c r="J36" s="221">
        <f>ROUND(data!AK64,0)</f>
        <v>0</v>
      </c>
      <c r="K36" s="221">
        <f>ROUND(data!AK65,0)</f>
        <v>0</v>
      </c>
      <c r="L36" s="221">
        <f>ROUND(data!AK66,0)</f>
        <v>455</v>
      </c>
      <c r="M36" s="65">
        <f>ROUND(data!AK67,0)</f>
        <v>0</v>
      </c>
      <c r="N36" s="221">
        <f>ROUND(data!AK68,0)</f>
        <v>0</v>
      </c>
      <c r="O36" s="221">
        <f>ROUND(data!AK69,0)</f>
        <v>888</v>
      </c>
      <c r="P36" s="221">
        <f>ROUND(data!AK70,0)</f>
        <v>0</v>
      </c>
      <c r="Q36" s="221">
        <f>ROUND(data!AK71,0)</f>
        <v>0</v>
      </c>
      <c r="R36" s="221">
        <f>ROUND(data!AK72,0)</f>
        <v>0</v>
      </c>
      <c r="S36" s="221">
        <f>ROUND(data!AK73,0)</f>
        <v>0</v>
      </c>
      <c r="T36" s="221">
        <f>ROUND(data!AK74,0)</f>
        <v>0</v>
      </c>
      <c r="U36" s="221">
        <f>ROUND(data!AK75,0)</f>
        <v>0</v>
      </c>
      <c r="V36" s="221">
        <f>ROUND(data!AK76,0)</f>
        <v>0</v>
      </c>
      <c r="W36" s="221">
        <f>ROUND(data!AK77,0)</f>
        <v>0</v>
      </c>
      <c r="X36" s="221">
        <f>ROUND(data!AK78,0)</f>
        <v>0</v>
      </c>
      <c r="Y36" s="221">
        <f>ROUND(data!AK79,0)</f>
        <v>0</v>
      </c>
      <c r="Z36" s="221">
        <f>ROUND(data!AK80,0)</f>
        <v>0</v>
      </c>
      <c r="AA36" s="221">
        <f>ROUND(data!AK81,0)</f>
        <v>0</v>
      </c>
      <c r="AB36" s="221">
        <f>ROUND(data!AK82,0)</f>
        <v>0</v>
      </c>
      <c r="AC36" s="221">
        <f>ROUND(data!AK83,0)</f>
        <v>888</v>
      </c>
      <c r="AD36" s="221">
        <f>ROUND(data!AK84,0)</f>
        <v>0</v>
      </c>
      <c r="AE36" s="221">
        <f>ROUND(data!AK89,0)</f>
        <v>0</v>
      </c>
      <c r="AF36" s="221">
        <f>ROUND(data!AK87,0)</f>
        <v>0</v>
      </c>
      <c r="AG36" s="221">
        <f>IF(data!AK90&gt;0,ROUND(data!AK90,0),0)</f>
        <v>0</v>
      </c>
      <c r="AH36" s="221">
        <f>IF(data!AK91&gt;0,ROUND(data!AK91,0),0)</f>
        <v>0</v>
      </c>
      <c r="AI36" s="221">
        <f>IF(data!AK92&gt;0,ROUND(data!AK92,0),0)</f>
        <v>0</v>
      </c>
      <c r="AJ36" s="221">
        <f>IF(data!AK93&gt;0,ROUND(data!AK93,0),0)</f>
        <v>0</v>
      </c>
      <c r="AK36" s="211">
        <f>IF(data!AK94&gt;0,ROUND(data!AK94,2),0)</f>
        <v>0</v>
      </c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65"/>
      <c r="BG36" s="65"/>
      <c r="BH36" s="65"/>
      <c r="BI36" s="65"/>
      <c r="BJ36" s="65"/>
      <c r="BK36" s="65"/>
      <c r="BL36" s="65"/>
      <c r="BM36" s="65"/>
      <c r="BN36" s="65"/>
      <c r="BO36" s="65"/>
      <c r="BP36" s="65"/>
      <c r="BQ36" s="65"/>
      <c r="BR36" s="65"/>
      <c r="BS36" s="65"/>
      <c r="BT36" s="65"/>
      <c r="BU36" s="65"/>
      <c r="BV36" s="65"/>
      <c r="BW36" s="65"/>
      <c r="BX36" s="65"/>
      <c r="BY36" s="65"/>
      <c r="BZ36" s="65"/>
      <c r="CA36" s="65"/>
      <c r="CB36" s="65"/>
      <c r="CC36" s="65"/>
      <c r="CD36" s="65"/>
      <c r="CE36" s="65"/>
      <c r="CF36" s="65"/>
      <c r="CG36" s="65"/>
      <c r="CH36" s="65"/>
      <c r="CI36" s="65"/>
      <c r="CJ36" s="65"/>
      <c r="CK36" s="65"/>
    </row>
    <row r="37" spans="1:89" s="11" customFormat="1" ht="12.6" customHeight="1" x14ac:dyDescent="0.25">
      <c r="A37" s="15" t="str">
        <f>RIGHT(data!$C$97,3)</f>
        <v>164</v>
      </c>
      <c r="B37" s="223" t="str">
        <f>RIGHT(data!$C$96,4)</f>
        <v>2022</v>
      </c>
      <c r="C37" s="15" t="str">
        <f>data!AL$55</f>
        <v>7320</v>
      </c>
      <c r="D37" s="15" t="s">
        <v>1120</v>
      </c>
      <c r="E37" s="221">
        <f>ROUND(data!AL59,0)</f>
        <v>0</v>
      </c>
      <c r="F37" s="211">
        <f>ROUND(data!AL60,2)</f>
        <v>0</v>
      </c>
      <c r="G37" s="221">
        <f>ROUND(data!AL61,0)</f>
        <v>0</v>
      </c>
      <c r="H37" s="221">
        <f>ROUND(data!AL62,0)</f>
        <v>0</v>
      </c>
      <c r="I37" s="221">
        <f>ROUND(data!AL63,0)</f>
        <v>0</v>
      </c>
      <c r="J37" s="221">
        <f>ROUND(data!AL64,0)</f>
        <v>0</v>
      </c>
      <c r="K37" s="221">
        <f>ROUND(data!AL65,0)</f>
        <v>0</v>
      </c>
      <c r="L37" s="221">
        <f>ROUND(data!AL66,0)</f>
        <v>0</v>
      </c>
      <c r="M37" s="65">
        <f>ROUND(data!AL67,0)</f>
        <v>0</v>
      </c>
      <c r="N37" s="221">
        <f>ROUND(data!AL68,0)</f>
        <v>0</v>
      </c>
      <c r="O37" s="221">
        <f>ROUND(data!AL69,0)</f>
        <v>0</v>
      </c>
      <c r="P37" s="221">
        <f>ROUND(data!AL70,0)</f>
        <v>0</v>
      </c>
      <c r="Q37" s="221">
        <f>ROUND(data!AL71,0)</f>
        <v>0</v>
      </c>
      <c r="R37" s="221">
        <f>ROUND(data!AL72,0)</f>
        <v>0</v>
      </c>
      <c r="S37" s="221">
        <f>ROUND(data!AL73,0)</f>
        <v>0</v>
      </c>
      <c r="T37" s="221">
        <f>ROUND(data!AL74,0)</f>
        <v>0</v>
      </c>
      <c r="U37" s="221">
        <f>ROUND(data!AL75,0)</f>
        <v>0</v>
      </c>
      <c r="V37" s="221">
        <f>ROUND(data!AL76,0)</f>
        <v>0</v>
      </c>
      <c r="W37" s="221">
        <f>ROUND(data!AL77,0)</f>
        <v>0</v>
      </c>
      <c r="X37" s="221">
        <f>ROUND(data!AL78,0)</f>
        <v>0</v>
      </c>
      <c r="Y37" s="221">
        <f>ROUND(data!AL79,0)</f>
        <v>0</v>
      </c>
      <c r="Z37" s="221">
        <f>ROUND(data!AL80,0)</f>
        <v>0</v>
      </c>
      <c r="AA37" s="221">
        <f>ROUND(data!AL81,0)</f>
        <v>0</v>
      </c>
      <c r="AB37" s="221">
        <f>ROUND(data!AL82,0)</f>
        <v>0</v>
      </c>
      <c r="AC37" s="221">
        <f>ROUND(data!AL83,0)</f>
        <v>0</v>
      </c>
      <c r="AD37" s="221">
        <f>ROUND(data!AL84,0)</f>
        <v>0</v>
      </c>
      <c r="AE37" s="221">
        <f>ROUND(data!AL89,0)</f>
        <v>0</v>
      </c>
      <c r="AF37" s="221">
        <f>ROUND(data!AL87,0)</f>
        <v>0</v>
      </c>
      <c r="AG37" s="221">
        <f>IF(data!AL90&gt;0,ROUND(data!AL90,0),0)</f>
        <v>0</v>
      </c>
      <c r="AH37" s="221">
        <f>IF(data!AL91&gt;0,ROUND(data!AL91,0),0)</f>
        <v>0</v>
      </c>
      <c r="AI37" s="221">
        <f>IF(data!AL92&gt;0,ROUND(data!AL92,0),0)</f>
        <v>0</v>
      </c>
      <c r="AJ37" s="221">
        <f>IF(data!AL93&gt;0,ROUND(data!AL93,0),0)</f>
        <v>0</v>
      </c>
      <c r="AK37" s="211">
        <f>IF(data!AL94&gt;0,ROUND(data!AL94,2),0)</f>
        <v>0</v>
      </c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65"/>
      <c r="BL37" s="65"/>
      <c r="BM37" s="65"/>
      <c r="BN37" s="65"/>
      <c r="BO37" s="65"/>
      <c r="BP37" s="65"/>
      <c r="BQ37" s="65"/>
      <c r="BR37" s="65"/>
      <c r="BS37" s="65"/>
      <c r="BT37" s="65"/>
      <c r="BU37" s="65"/>
      <c r="BV37" s="65"/>
      <c r="BW37" s="65"/>
      <c r="BX37" s="65"/>
      <c r="BY37" s="65"/>
      <c r="BZ37" s="65"/>
      <c r="CA37" s="65"/>
      <c r="CB37" s="65"/>
      <c r="CC37" s="65"/>
      <c r="CD37" s="65"/>
      <c r="CE37" s="65"/>
      <c r="CF37" s="65"/>
      <c r="CG37" s="65"/>
      <c r="CH37" s="65"/>
      <c r="CI37" s="65"/>
      <c r="CJ37" s="65"/>
      <c r="CK37" s="65"/>
    </row>
    <row r="38" spans="1:89" s="11" customFormat="1" ht="12.6" customHeight="1" x14ac:dyDescent="0.25">
      <c r="A38" s="15" t="str">
        <f>RIGHT(data!$C$97,3)</f>
        <v>164</v>
      </c>
      <c r="B38" s="223" t="str">
        <f>RIGHT(data!$C$96,4)</f>
        <v>2022</v>
      </c>
      <c r="C38" s="15" t="str">
        <f>data!AM$55</f>
        <v>7330</v>
      </c>
      <c r="D38" s="15" t="s">
        <v>1120</v>
      </c>
      <c r="E38" s="221">
        <f>ROUND(data!AM59,0)</f>
        <v>0</v>
      </c>
      <c r="F38" s="211">
        <f>ROUND(data!AM60,2)</f>
        <v>0</v>
      </c>
      <c r="G38" s="221">
        <f>ROUND(data!AM61,0)</f>
        <v>0</v>
      </c>
      <c r="H38" s="221">
        <f>ROUND(data!AM62,0)</f>
        <v>0</v>
      </c>
      <c r="I38" s="221">
        <f>ROUND(data!AM63,0)</f>
        <v>0</v>
      </c>
      <c r="J38" s="221">
        <f>ROUND(data!AM64,0)</f>
        <v>0</v>
      </c>
      <c r="K38" s="221">
        <f>ROUND(data!AM65,0)</f>
        <v>0</v>
      </c>
      <c r="L38" s="221">
        <f>ROUND(data!AM66,0)</f>
        <v>0</v>
      </c>
      <c r="M38" s="65">
        <f>ROUND(data!AM67,0)</f>
        <v>0</v>
      </c>
      <c r="N38" s="221">
        <f>ROUND(data!AM68,0)</f>
        <v>0</v>
      </c>
      <c r="O38" s="221">
        <f>ROUND(data!AM69,0)</f>
        <v>0</v>
      </c>
      <c r="P38" s="221">
        <f>ROUND(data!AM70,0)</f>
        <v>0</v>
      </c>
      <c r="Q38" s="221">
        <f>ROUND(data!AM71,0)</f>
        <v>0</v>
      </c>
      <c r="R38" s="221">
        <f>ROUND(data!AM72,0)</f>
        <v>0</v>
      </c>
      <c r="S38" s="221">
        <f>ROUND(data!AM73,0)</f>
        <v>0</v>
      </c>
      <c r="T38" s="221">
        <f>ROUND(data!AM74,0)</f>
        <v>0</v>
      </c>
      <c r="U38" s="221">
        <f>ROUND(data!AM75,0)</f>
        <v>0</v>
      </c>
      <c r="V38" s="221">
        <f>ROUND(data!AM76,0)</f>
        <v>0</v>
      </c>
      <c r="W38" s="221">
        <f>ROUND(data!AM77,0)</f>
        <v>0</v>
      </c>
      <c r="X38" s="221">
        <f>ROUND(data!AM78,0)</f>
        <v>0</v>
      </c>
      <c r="Y38" s="221">
        <f>ROUND(data!AM79,0)</f>
        <v>0</v>
      </c>
      <c r="Z38" s="221">
        <f>ROUND(data!AM80,0)</f>
        <v>0</v>
      </c>
      <c r="AA38" s="221">
        <f>ROUND(data!AM81,0)</f>
        <v>0</v>
      </c>
      <c r="AB38" s="221">
        <f>ROUND(data!AM82,0)</f>
        <v>0</v>
      </c>
      <c r="AC38" s="221">
        <f>ROUND(data!AM83,0)</f>
        <v>0</v>
      </c>
      <c r="AD38" s="221">
        <f>ROUND(data!AM84,0)</f>
        <v>0</v>
      </c>
      <c r="AE38" s="221">
        <f>ROUND(data!AM89,0)</f>
        <v>0</v>
      </c>
      <c r="AF38" s="221">
        <f>ROUND(data!AM87,0)</f>
        <v>0</v>
      </c>
      <c r="AG38" s="221">
        <f>IF(data!AM90&gt;0,ROUND(data!AM90,0),0)</f>
        <v>0</v>
      </c>
      <c r="AH38" s="221">
        <f>IF(data!AM91&gt;0,ROUND(data!AM91,0),0)</f>
        <v>0</v>
      </c>
      <c r="AI38" s="221">
        <f>IF(data!AM92&gt;0,ROUND(data!AM92,0),0)</f>
        <v>0</v>
      </c>
      <c r="AJ38" s="221">
        <f>IF(data!AM93&gt;0,ROUND(data!AM93,0),0)</f>
        <v>0</v>
      </c>
      <c r="AK38" s="211">
        <f>IF(data!AM94&gt;0,ROUND(data!AM94,2),0)</f>
        <v>0</v>
      </c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5"/>
      <c r="BJ38" s="65"/>
      <c r="BK38" s="65"/>
      <c r="BL38" s="65"/>
      <c r="BM38" s="65"/>
      <c r="BN38" s="65"/>
      <c r="BO38" s="65"/>
      <c r="BP38" s="65"/>
      <c r="BQ38" s="65"/>
      <c r="BR38" s="65"/>
      <c r="BS38" s="65"/>
      <c r="BT38" s="65"/>
      <c r="BU38" s="65"/>
      <c r="BV38" s="65"/>
      <c r="BW38" s="65"/>
      <c r="BX38" s="65"/>
      <c r="BY38" s="65"/>
      <c r="BZ38" s="65"/>
      <c r="CA38" s="65"/>
      <c r="CB38" s="65"/>
      <c r="CC38" s="65"/>
      <c r="CD38" s="65"/>
      <c r="CE38" s="65"/>
      <c r="CF38" s="65"/>
      <c r="CG38" s="65"/>
      <c r="CH38" s="65"/>
      <c r="CI38" s="65"/>
      <c r="CJ38" s="65"/>
      <c r="CK38" s="65"/>
    </row>
    <row r="39" spans="1:89" s="11" customFormat="1" ht="12.6" customHeight="1" x14ac:dyDescent="0.25">
      <c r="A39" s="15" t="str">
        <f>RIGHT(data!$C$97,3)</f>
        <v>164</v>
      </c>
      <c r="B39" s="223" t="str">
        <f>RIGHT(data!$C$96,4)</f>
        <v>2022</v>
      </c>
      <c r="C39" s="15" t="str">
        <f>data!AN$55</f>
        <v>7340</v>
      </c>
      <c r="D39" s="15" t="s">
        <v>1120</v>
      </c>
      <c r="E39" s="221">
        <f>ROUND(data!AN59,0)</f>
        <v>0</v>
      </c>
      <c r="F39" s="211">
        <f>ROUND(data!AN60,2)</f>
        <v>0</v>
      </c>
      <c r="G39" s="221">
        <f>ROUND(data!AN61,0)</f>
        <v>0</v>
      </c>
      <c r="H39" s="221">
        <f>ROUND(data!AN62,0)</f>
        <v>0</v>
      </c>
      <c r="I39" s="221">
        <f>ROUND(data!AN63,0)</f>
        <v>0</v>
      </c>
      <c r="J39" s="221">
        <f>ROUND(data!AN64,0)</f>
        <v>0</v>
      </c>
      <c r="K39" s="221">
        <f>ROUND(data!AN65,0)</f>
        <v>0</v>
      </c>
      <c r="L39" s="221">
        <f>ROUND(data!AN66,0)</f>
        <v>0</v>
      </c>
      <c r="M39" s="65">
        <f>ROUND(data!AN67,0)</f>
        <v>0</v>
      </c>
      <c r="N39" s="221">
        <f>ROUND(data!AN68,0)</f>
        <v>0</v>
      </c>
      <c r="O39" s="221">
        <f>ROUND(data!AN69,0)</f>
        <v>0</v>
      </c>
      <c r="P39" s="221">
        <f>ROUND(data!AN70,0)</f>
        <v>0</v>
      </c>
      <c r="Q39" s="221">
        <f>ROUND(data!AN71,0)</f>
        <v>0</v>
      </c>
      <c r="R39" s="221">
        <f>ROUND(data!AN72,0)</f>
        <v>0</v>
      </c>
      <c r="S39" s="221">
        <f>ROUND(data!AN73,0)</f>
        <v>0</v>
      </c>
      <c r="T39" s="221">
        <f>ROUND(data!AN74,0)</f>
        <v>0</v>
      </c>
      <c r="U39" s="221">
        <f>ROUND(data!AN75,0)</f>
        <v>0</v>
      </c>
      <c r="V39" s="221">
        <f>ROUND(data!AN76,0)</f>
        <v>0</v>
      </c>
      <c r="W39" s="221">
        <f>ROUND(data!AN77,0)</f>
        <v>0</v>
      </c>
      <c r="X39" s="221">
        <f>ROUND(data!AN78,0)</f>
        <v>0</v>
      </c>
      <c r="Y39" s="221">
        <f>ROUND(data!AN79,0)</f>
        <v>0</v>
      </c>
      <c r="Z39" s="221">
        <f>ROUND(data!AN80,0)</f>
        <v>0</v>
      </c>
      <c r="AA39" s="221">
        <f>ROUND(data!AN81,0)</f>
        <v>0</v>
      </c>
      <c r="AB39" s="221">
        <f>ROUND(data!AN82,0)</f>
        <v>0</v>
      </c>
      <c r="AC39" s="221">
        <f>ROUND(data!AN83,0)</f>
        <v>0</v>
      </c>
      <c r="AD39" s="221">
        <f>ROUND(data!AN84,0)</f>
        <v>0</v>
      </c>
      <c r="AE39" s="221">
        <f>ROUND(data!AN89,0)</f>
        <v>0</v>
      </c>
      <c r="AF39" s="221">
        <f>ROUND(data!AN87,0)</f>
        <v>0</v>
      </c>
      <c r="AG39" s="221">
        <f>IF(data!AN90&gt;0,ROUND(data!AN90,0),0)</f>
        <v>0</v>
      </c>
      <c r="AH39" s="221">
        <f>IF(data!AN91&gt;0,ROUND(data!AN91,0),0)</f>
        <v>0</v>
      </c>
      <c r="AI39" s="221">
        <f>IF(data!AN92&gt;0,ROUND(data!AN92,0),0)</f>
        <v>0</v>
      </c>
      <c r="AJ39" s="221">
        <f>IF(data!AN93&gt;0,ROUND(data!AN93,0),0)</f>
        <v>0</v>
      </c>
      <c r="AK39" s="211">
        <f>IF(data!AN94&gt;0,ROUND(data!AN94,2),0)</f>
        <v>0</v>
      </c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65"/>
      <c r="BF39" s="65"/>
      <c r="BG39" s="65"/>
      <c r="BH39" s="65"/>
      <c r="BI39" s="65"/>
      <c r="BJ39" s="65"/>
      <c r="BK39" s="65"/>
      <c r="BL39" s="65"/>
      <c r="BM39" s="65"/>
      <c r="BN39" s="65"/>
      <c r="BO39" s="65"/>
      <c r="BP39" s="65"/>
      <c r="BQ39" s="65"/>
      <c r="BR39" s="65"/>
      <c r="BS39" s="65"/>
      <c r="BT39" s="65"/>
      <c r="BU39" s="65"/>
      <c r="BV39" s="65"/>
      <c r="BW39" s="65"/>
      <c r="BX39" s="65"/>
      <c r="BY39" s="65"/>
      <c r="BZ39" s="65"/>
      <c r="CA39" s="65"/>
      <c r="CB39" s="65"/>
      <c r="CC39" s="65"/>
      <c r="CD39" s="65"/>
      <c r="CE39" s="65"/>
      <c r="CF39" s="65"/>
      <c r="CG39" s="65"/>
      <c r="CH39" s="65"/>
      <c r="CI39" s="65"/>
      <c r="CJ39" s="65"/>
      <c r="CK39" s="65"/>
    </row>
    <row r="40" spans="1:89" s="11" customFormat="1" ht="12.6" customHeight="1" x14ac:dyDescent="0.25">
      <c r="A40" s="15" t="str">
        <f>RIGHT(data!$C$97,3)</f>
        <v>164</v>
      </c>
      <c r="B40" s="223" t="str">
        <f>RIGHT(data!$C$96,4)</f>
        <v>2022</v>
      </c>
      <c r="C40" s="15" t="str">
        <f>data!AO$55</f>
        <v>7350</v>
      </c>
      <c r="D40" s="15" t="s">
        <v>1120</v>
      </c>
      <c r="E40" s="221">
        <f>ROUND(data!AO59,0)</f>
        <v>0</v>
      </c>
      <c r="F40" s="211">
        <f>ROUND(data!AO60,2)</f>
        <v>0</v>
      </c>
      <c r="G40" s="221">
        <f>ROUND(data!AO61,0)</f>
        <v>0</v>
      </c>
      <c r="H40" s="221">
        <f>ROUND(data!AO62,0)</f>
        <v>0</v>
      </c>
      <c r="I40" s="221">
        <f>ROUND(data!AO63,0)</f>
        <v>0</v>
      </c>
      <c r="J40" s="221">
        <f>ROUND(data!AO64,0)</f>
        <v>0</v>
      </c>
      <c r="K40" s="221">
        <f>ROUND(data!AO65,0)</f>
        <v>0</v>
      </c>
      <c r="L40" s="221">
        <f>ROUND(data!AO66,0)</f>
        <v>0</v>
      </c>
      <c r="M40" s="65">
        <f>ROUND(data!AO67,0)</f>
        <v>0</v>
      </c>
      <c r="N40" s="221">
        <f>ROUND(data!AO68,0)</f>
        <v>0</v>
      </c>
      <c r="O40" s="221">
        <f>ROUND(data!AO69,0)</f>
        <v>0</v>
      </c>
      <c r="P40" s="221">
        <f>ROUND(data!AO70,0)</f>
        <v>0</v>
      </c>
      <c r="Q40" s="221">
        <f>ROUND(data!AO71,0)</f>
        <v>0</v>
      </c>
      <c r="R40" s="221">
        <f>ROUND(data!AO72,0)</f>
        <v>0</v>
      </c>
      <c r="S40" s="221">
        <f>ROUND(data!AO73,0)</f>
        <v>0</v>
      </c>
      <c r="T40" s="221">
        <f>ROUND(data!AO74,0)</f>
        <v>0</v>
      </c>
      <c r="U40" s="221">
        <f>ROUND(data!AO75,0)</f>
        <v>0</v>
      </c>
      <c r="V40" s="221">
        <f>ROUND(data!AO76,0)</f>
        <v>0</v>
      </c>
      <c r="W40" s="221">
        <f>ROUND(data!AO77,0)</f>
        <v>0</v>
      </c>
      <c r="X40" s="221">
        <f>ROUND(data!AO78,0)</f>
        <v>0</v>
      </c>
      <c r="Y40" s="221">
        <f>ROUND(data!AO79,0)</f>
        <v>0</v>
      </c>
      <c r="Z40" s="221">
        <f>ROUND(data!AO80,0)</f>
        <v>0</v>
      </c>
      <c r="AA40" s="221">
        <f>ROUND(data!AO81,0)</f>
        <v>0</v>
      </c>
      <c r="AB40" s="221">
        <f>ROUND(data!AO82,0)</f>
        <v>0</v>
      </c>
      <c r="AC40" s="221">
        <f>ROUND(data!AO83,0)</f>
        <v>0</v>
      </c>
      <c r="AD40" s="221">
        <f>ROUND(data!AO84,0)</f>
        <v>0</v>
      </c>
      <c r="AE40" s="221">
        <f>ROUND(data!AO89,0)</f>
        <v>0</v>
      </c>
      <c r="AF40" s="221">
        <f>ROUND(data!AO87,0)</f>
        <v>0</v>
      </c>
      <c r="AG40" s="221">
        <f>IF(data!AO90&gt;0,ROUND(data!AO90,0),0)</f>
        <v>0</v>
      </c>
      <c r="AH40" s="221">
        <f>IF(data!AO91&gt;0,ROUND(data!AO91,0),0)</f>
        <v>0</v>
      </c>
      <c r="AI40" s="221">
        <f>IF(data!AO92&gt;0,ROUND(data!AO92,0),0)</f>
        <v>0</v>
      </c>
      <c r="AJ40" s="221">
        <f>IF(data!AO93&gt;0,ROUND(data!AO93,0),0)</f>
        <v>0</v>
      </c>
      <c r="AK40" s="211">
        <f>IF(data!AO94&gt;0,ROUND(data!AO94,2),0)</f>
        <v>0</v>
      </c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5"/>
      <c r="BM40" s="65"/>
      <c r="BN40" s="65"/>
      <c r="BO40" s="65"/>
      <c r="BP40" s="65"/>
      <c r="BQ40" s="65"/>
      <c r="BR40" s="65"/>
      <c r="BS40" s="65"/>
      <c r="BT40" s="65"/>
      <c r="BU40" s="65"/>
      <c r="BV40" s="65"/>
      <c r="BW40" s="65"/>
      <c r="BX40" s="65"/>
      <c r="BY40" s="65"/>
      <c r="BZ40" s="65"/>
      <c r="CA40" s="65"/>
      <c r="CB40" s="65"/>
      <c r="CC40" s="65"/>
      <c r="CD40" s="65"/>
      <c r="CE40" s="65"/>
      <c r="CF40" s="65"/>
      <c r="CG40" s="65"/>
      <c r="CH40" s="65"/>
      <c r="CI40" s="65"/>
      <c r="CJ40" s="65"/>
      <c r="CK40" s="65"/>
    </row>
    <row r="41" spans="1:89" s="11" customFormat="1" ht="12.6" customHeight="1" x14ac:dyDescent="0.25">
      <c r="A41" s="15" t="str">
        <f>RIGHT(data!$C$97,3)</f>
        <v>164</v>
      </c>
      <c r="B41" s="223" t="str">
        <f>RIGHT(data!$C$96,4)</f>
        <v>2022</v>
      </c>
      <c r="C41" s="15" t="str">
        <f>data!AP$55</f>
        <v>7380</v>
      </c>
      <c r="D41" s="15" t="s">
        <v>1120</v>
      </c>
      <c r="E41" s="221">
        <f>ROUND(data!AP59,0)</f>
        <v>371484</v>
      </c>
      <c r="F41" s="211">
        <f>ROUND(data!AP60,2)</f>
        <v>389.88</v>
      </c>
      <c r="G41" s="221">
        <f>ROUND(data!AP61,0)</f>
        <v>52807580</v>
      </c>
      <c r="H41" s="221">
        <f>ROUND(data!AP62,0)</f>
        <v>10785873</v>
      </c>
      <c r="I41" s="221">
        <f>ROUND(data!AP63,0)</f>
        <v>6581891</v>
      </c>
      <c r="J41" s="221">
        <f>ROUND(data!AP64,0)</f>
        <v>8077516</v>
      </c>
      <c r="K41" s="221">
        <f>ROUND(data!AP65,0)</f>
        <v>211753</v>
      </c>
      <c r="L41" s="221">
        <f>ROUND(data!AP66,0)</f>
        <v>1616490</v>
      </c>
      <c r="M41" s="65">
        <f>ROUND(data!AP67,0)</f>
        <v>7393473</v>
      </c>
      <c r="N41" s="221">
        <f>ROUND(data!AP68,0)</f>
        <v>2063151</v>
      </c>
      <c r="O41" s="221">
        <f>ROUND(data!AP69,0)</f>
        <v>1108418</v>
      </c>
      <c r="P41" s="221">
        <f>ROUND(data!AP70,0)</f>
        <v>0</v>
      </c>
      <c r="Q41" s="221">
        <f>ROUND(data!AP71,0)</f>
        <v>0</v>
      </c>
      <c r="R41" s="221">
        <f>ROUND(data!AP72,0)</f>
        <v>0</v>
      </c>
      <c r="S41" s="221">
        <f>ROUND(data!AP73,0)</f>
        <v>0</v>
      </c>
      <c r="T41" s="221">
        <f>ROUND(data!AP74,0)</f>
        <v>0</v>
      </c>
      <c r="U41" s="221">
        <f>ROUND(data!AP75,0)</f>
        <v>0</v>
      </c>
      <c r="V41" s="221">
        <f>ROUND(data!AP76,0)</f>
        <v>0</v>
      </c>
      <c r="W41" s="221">
        <f>ROUND(data!AP77,0)</f>
        <v>0</v>
      </c>
      <c r="X41" s="221">
        <f>ROUND(data!AP78,0)</f>
        <v>0</v>
      </c>
      <c r="Y41" s="221">
        <f>ROUND(data!AP79,0)</f>
        <v>0</v>
      </c>
      <c r="Z41" s="221">
        <f>ROUND(data!AP80,0)</f>
        <v>0</v>
      </c>
      <c r="AA41" s="221">
        <f>ROUND(data!AP81,0)</f>
        <v>0</v>
      </c>
      <c r="AB41" s="221">
        <f>ROUND(data!AP82,0)</f>
        <v>0</v>
      </c>
      <c r="AC41" s="221">
        <f>ROUND(data!AP83,0)</f>
        <v>1108418</v>
      </c>
      <c r="AD41" s="221">
        <f>ROUND(data!AP84,0)</f>
        <v>1678455</v>
      </c>
      <c r="AE41" s="221">
        <f>ROUND(data!AP89,0)</f>
        <v>139291364</v>
      </c>
      <c r="AF41" s="221">
        <f>ROUND(data!AP87,0)</f>
        <v>3600398</v>
      </c>
      <c r="AG41" s="221">
        <f>IF(data!AP90&gt;0,ROUND(data!AP90,0),0)</f>
        <v>45968</v>
      </c>
      <c r="AH41" s="221">
        <f>IF(data!AP91&gt;0,ROUND(data!AP91,0),0)</f>
        <v>0</v>
      </c>
      <c r="AI41" s="221">
        <f>IF(data!AP92&gt;0,ROUND(data!AP92,0),0)</f>
        <v>5863</v>
      </c>
      <c r="AJ41" s="221">
        <f>IF(data!AP93&gt;0,ROUND(data!AP93,0),0)</f>
        <v>0</v>
      </c>
      <c r="AK41" s="211">
        <f>IF(data!AP94&gt;0,ROUND(data!AP94,2),0)</f>
        <v>16.23</v>
      </c>
      <c r="AL41" s="65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  <c r="AX41" s="65"/>
      <c r="AY41" s="65"/>
      <c r="AZ41" s="65"/>
      <c r="BA41" s="65"/>
      <c r="BB41" s="65"/>
      <c r="BC41" s="65"/>
      <c r="BD41" s="65"/>
      <c r="BE41" s="65"/>
      <c r="BF41" s="65"/>
      <c r="BG41" s="65"/>
      <c r="BH41" s="65"/>
      <c r="BI41" s="65"/>
      <c r="BJ41" s="65"/>
      <c r="BK41" s="65"/>
      <c r="BL41" s="65"/>
      <c r="BM41" s="65"/>
      <c r="BN41" s="65"/>
      <c r="BO41" s="65"/>
      <c r="BP41" s="65"/>
      <c r="BQ41" s="65"/>
      <c r="BR41" s="65"/>
      <c r="BS41" s="65"/>
      <c r="BT41" s="65"/>
      <c r="BU41" s="65"/>
      <c r="BV41" s="65"/>
      <c r="BW41" s="65"/>
      <c r="BX41" s="65"/>
      <c r="BY41" s="65"/>
      <c r="BZ41" s="65"/>
      <c r="CA41" s="65"/>
      <c r="CB41" s="65"/>
      <c r="CC41" s="65"/>
      <c r="CD41" s="65"/>
      <c r="CE41" s="65"/>
      <c r="CF41" s="65"/>
      <c r="CG41" s="65"/>
      <c r="CH41" s="65"/>
      <c r="CI41" s="65"/>
      <c r="CJ41" s="65"/>
      <c r="CK41" s="65"/>
    </row>
    <row r="42" spans="1:89" s="11" customFormat="1" ht="12.6" customHeight="1" x14ac:dyDescent="0.25">
      <c r="A42" s="15" t="str">
        <f>RIGHT(data!$C$97,3)</f>
        <v>164</v>
      </c>
      <c r="B42" s="223" t="str">
        <f>RIGHT(data!$C$96,4)</f>
        <v>2022</v>
      </c>
      <c r="C42" s="15" t="str">
        <f>data!AQ$55</f>
        <v>7390</v>
      </c>
      <c r="D42" s="15" t="s">
        <v>1120</v>
      </c>
      <c r="E42" s="221">
        <f>ROUND(data!AQ59,0)</f>
        <v>0</v>
      </c>
      <c r="F42" s="211">
        <f>ROUND(data!AQ60,2)</f>
        <v>0</v>
      </c>
      <c r="G42" s="221">
        <f>ROUND(data!AQ61,0)</f>
        <v>0</v>
      </c>
      <c r="H42" s="221">
        <f>ROUND(data!AQ62,0)</f>
        <v>0</v>
      </c>
      <c r="I42" s="221">
        <f>ROUND(data!AQ63,0)</f>
        <v>0</v>
      </c>
      <c r="J42" s="221">
        <f>ROUND(data!AQ64,0)</f>
        <v>0</v>
      </c>
      <c r="K42" s="221">
        <f>ROUND(data!AQ65,0)</f>
        <v>0</v>
      </c>
      <c r="L42" s="221">
        <f>ROUND(data!AQ66,0)</f>
        <v>0</v>
      </c>
      <c r="M42" s="65">
        <f>ROUND(data!AQ67,0)</f>
        <v>0</v>
      </c>
      <c r="N42" s="221">
        <f>ROUND(data!AQ68,0)</f>
        <v>0</v>
      </c>
      <c r="O42" s="221">
        <f>ROUND(data!AQ69,0)</f>
        <v>0</v>
      </c>
      <c r="P42" s="221">
        <f>ROUND(data!AQ70,0)</f>
        <v>0</v>
      </c>
      <c r="Q42" s="221">
        <f>ROUND(data!AQ71,0)</f>
        <v>0</v>
      </c>
      <c r="R42" s="221">
        <f>ROUND(data!AQ72,0)</f>
        <v>0</v>
      </c>
      <c r="S42" s="221">
        <f>ROUND(data!AQ73,0)</f>
        <v>0</v>
      </c>
      <c r="T42" s="221">
        <f>ROUND(data!AQ74,0)</f>
        <v>0</v>
      </c>
      <c r="U42" s="221">
        <f>ROUND(data!AQ75,0)</f>
        <v>0</v>
      </c>
      <c r="V42" s="221">
        <f>ROUND(data!AQ76,0)</f>
        <v>0</v>
      </c>
      <c r="W42" s="221">
        <f>ROUND(data!AQ77,0)</f>
        <v>0</v>
      </c>
      <c r="X42" s="221">
        <f>ROUND(data!AQ78,0)</f>
        <v>0</v>
      </c>
      <c r="Y42" s="221">
        <f>ROUND(data!AQ79,0)</f>
        <v>0</v>
      </c>
      <c r="Z42" s="221">
        <f>ROUND(data!AQ80,0)</f>
        <v>0</v>
      </c>
      <c r="AA42" s="221">
        <f>ROUND(data!AQ81,0)</f>
        <v>0</v>
      </c>
      <c r="AB42" s="221">
        <f>ROUND(data!AQ82,0)</f>
        <v>0</v>
      </c>
      <c r="AC42" s="221">
        <f>ROUND(data!AQ83,0)</f>
        <v>0</v>
      </c>
      <c r="AD42" s="221">
        <f>ROUND(data!AQ84,0)</f>
        <v>0</v>
      </c>
      <c r="AE42" s="221">
        <f>ROUND(data!AQ89,0)</f>
        <v>0</v>
      </c>
      <c r="AF42" s="221">
        <f>ROUND(data!AQ87,0)</f>
        <v>0</v>
      </c>
      <c r="AG42" s="221">
        <f>IF(data!AQ90&gt;0,ROUND(data!AQ90,0),0)</f>
        <v>0</v>
      </c>
      <c r="AH42" s="221">
        <f>IF(data!AQ91&gt;0,ROUND(data!AQ91,0),0)</f>
        <v>0</v>
      </c>
      <c r="AI42" s="221">
        <f>IF(data!AQ92&gt;0,ROUND(data!AQ92,0),0)</f>
        <v>0</v>
      </c>
      <c r="AJ42" s="221">
        <f>IF(data!AQ93&gt;0,ROUND(data!AQ93,0),0)</f>
        <v>0</v>
      </c>
      <c r="AK42" s="211">
        <f>IF(data!AQ94&gt;0,ROUND(data!AQ94,2),0)</f>
        <v>0</v>
      </c>
      <c r="AL42" s="65"/>
      <c r="AM42" s="65"/>
      <c r="AN42" s="65"/>
      <c r="AO42" s="65"/>
      <c r="AP42" s="65"/>
      <c r="AQ42" s="65"/>
      <c r="AR42" s="65"/>
      <c r="AS42" s="65"/>
      <c r="AT42" s="65"/>
      <c r="AU42" s="65"/>
      <c r="AV42" s="65"/>
      <c r="AW42" s="65"/>
      <c r="AX42" s="65"/>
      <c r="AY42" s="65"/>
      <c r="AZ42" s="65"/>
      <c r="BA42" s="65"/>
      <c r="BB42" s="65"/>
      <c r="BC42" s="65"/>
      <c r="BD42" s="65"/>
      <c r="BE42" s="65"/>
      <c r="BF42" s="65"/>
      <c r="BG42" s="65"/>
      <c r="BH42" s="65"/>
      <c r="BI42" s="65"/>
      <c r="BJ42" s="65"/>
      <c r="BK42" s="65"/>
      <c r="BL42" s="65"/>
      <c r="BM42" s="65"/>
      <c r="BN42" s="65"/>
      <c r="BO42" s="65"/>
      <c r="BP42" s="65"/>
      <c r="BQ42" s="65"/>
      <c r="BR42" s="65"/>
      <c r="BS42" s="65"/>
      <c r="BT42" s="65"/>
      <c r="BU42" s="65"/>
      <c r="BV42" s="65"/>
      <c r="BW42" s="65"/>
      <c r="BX42" s="65"/>
      <c r="BY42" s="65"/>
      <c r="BZ42" s="65"/>
      <c r="CA42" s="65"/>
      <c r="CB42" s="65"/>
      <c r="CC42" s="65"/>
      <c r="CD42" s="65"/>
      <c r="CE42" s="65"/>
      <c r="CF42" s="65"/>
      <c r="CG42" s="65"/>
      <c r="CH42" s="65"/>
      <c r="CI42" s="65"/>
      <c r="CJ42" s="65"/>
      <c r="CK42" s="65"/>
    </row>
    <row r="43" spans="1:89" s="11" customFormat="1" ht="12.6" customHeight="1" x14ac:dyDescent="0.25">
      <c r="A43" s="15" t="str">
        <f>RIGHT(data!$C$97,3)</f>
        <v>164</v>
      </c>
      <c r="B43" s="223" t="str">
        <f>RIGHT(data!$C$96,4)</f>
        <v>2022</v>
      </c>
      <c r="C43" s="15" t="str">
        <f>data!AR$55</f>
        <v>7400</v>
      </c>
      <c r="D43" s="15" t="s">
        <v>1120</v>
      </c>
      <c r="E43" s="221">
        <f>ROUND(data!AR59,0)</f>
        <v>264553</v>
      </c>
      <c r="F43" s="211">
        <f>ROUND(data!AR60,2)</f>
        <v>492.01</v>
      </c>
      <c r="G43" s="221">
        <f>ROUND(data!AR61,0)</f>
        <v>54988836</v>
      </c>
      <c r="H43" s="221">
        <f>ROUND(data!AR62,0)</f>
        <v>13068153</v>
      </c>
      <c r="I43" s="221">
        <f>ROUND(data!AR63,0)</f>
        <v>6722</v>
      </c>
      <c r="J43" s="221">
        <f>ROUND(data!AR64,0)</f>
        <v>3882863</v>
      </c>
      <c r="K43" s="221">
        <f>ROUND(data!AR65,0)</f>
        <v>313374</v>
      </c>
      <c r="L43" s="221">
        <f>ROUND(data!AR66,0)</f>
        <v>2341750</v>
      </c>
      <c r="M43" s="65">
        <f>ROUND(data!AR67,0)</f>
        <v>587586</v>
      </c>
      <c r="N43" s="221">
        <f>ROUND(data!AR68,0)</f>
        <v>1007970</v>
      </c>
      <c r="O43" s="221">
        <f>ROUND(data!AR69,0)</f>
        <v>1337368</v>
      </c>
      <c r="P43" s="221">
        <f>ROUND(data!AR70,0)</f>
        <v>0</v>
      </c>
      <c r="Q43" s="221">
        <f>ROUND(data!AR71,0)</f>
        <v>0</v>
      </c>
      <c r="R43" s="221">
        <f>ROUND(data!AR72,0)</f>
        <v>0</v>
      </c>
      <c r="S43" s="221">
        <f>ROUND(data!AR73,0)</f>
        <v>0</v>
      </c>
      <c r="T43" s="221">
        <f>ROUND(data!AR74,0)</f>
        <v>0</v>
      </c>
      <c r="U43" s="221">
        <f>ROUND(data!AR75,0)</f>
        <v>0</v>
      </c>
      <c r="V43" s="221">
        <f>ROUND(data!AR76,0)</f>
        <v>0</v>
      </c>
      <c r="W43" s="221">
        <f>ROUND(data!AR77,0)</f>
        <v>0</v>
      </c>
      <c r="X43" s="221">
        <f>ROUND(data!AR78,0)</f>
        <v>0</v>
      </c>
      <c r="Y43" s="221">
        <f>ROUND(data!AR79,0)</f>
        <v>0</v>
      </c>
      <c r="Z43" s="221">
        <f>ROUND(data!AR80,0)</f>
        <v>0</v>
      </c>
      <c r="AA43" s="221">
        <f>ROUND(data!AR81,0)</f>
        <v>0</v>
      </c>
      <c r="AB43" s="221">
        <f>ROUND(data!AR82,0)</f>
        <v>0</v>
      </c>
      <c r="AC43" s="221">
        <f>ROUND(data!AR83,0)</f>
        <v>1337368</v>
      </c>
      <c r="AD43" s="221">
        <f>ROUND(data!AR84,0)</f>
        <v>46314</v>
      </c>
      <c r="AE43" s="221">
        <f>ROUND(data!AR89,0)</f>
        <v>141860935</v>
      </c>
      <c r="AF43" s="221">
        <f>ROUND(data!AR87,0)</f>
        <v>1992</v>
      </c>
      <c r="AG43" s="221">
        <f>IF(data!AR90&gt;0,ROUND(data!AR90,0),0)</f>
        <v>0</v>
      </c>
      <c r="AH43" s="221">
        <f>IF(data!AR91&gt;0,ROUND(data!AR91,0),0)</f>
        <v>0</v>
      </c>
      <c r="AI43" s="221">
        <f>IF(data!AR92&gt;0,ROUND(data!AR92,0),0)</f>
        <v>0</v>
      </c>
      <c r="AJ43" s="221">
        <f>IF(data!AR93&gt;0,ROUND(data!AR93,0),0)</f>
        <v>0</v>
      </c>
      <c r="AK43" s="211">
        <f>IF(data!AR94&gt;0,ROUND(data!AR94,2),0)</f>
        <v>175.07</v>
      </c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65"/>
      <c r="BB43" s="65"/>
      <c r="BC43" s="65"/>
      <c r="BD43" s="65"/>
      <c r="BE43" s="65"/>
      <c r="BF43" s="65"/>
      <c r="BG43" s="65"/>
      <c r="BH43" s="65"/>
      <c r="BI43" s="65"/>
      <c r="BJ43" s="65"/>
      <c r="BK43" s="65"/>
      <c r="BL43" s="65"/>
      <c r="BM43" s="65"/>
      <c r="BN43" s="65"/>
      <c r="BO43" s="65"/>
      <c r="BP43" s="65"/>
      <c r="BQ43" s="65"/>
      <c r="BR43" s="65"/>
      <c r="BS43" s="65"/>
      <c r="BT43" s="65"/>
      <c r="BU43" s="65"/>
      <c r="BV43" s="65"/>
      <c r="BW43" s="65"/>
      <c r="BX43" s="65"/>
      <c r="BY43" s="65"/>
      <c r="BZ43" s="65"/>
      <c r="CA43" s="65"/>
      <c r="CB43" s="65"/>
      <c r="CC43" s="65"/>
      <c r="CD43" s="65"/>
      <c r="CE43" s="65"/>
      <c r="CF43" s="65"/>
      <c r="CG43" s="65"/>
      <c r="CH43" s="65"/>
      <c r="CI43" s="65"/>
      <c r="CJ43" s="65"/>
      <c r="CK43" s="65"/>
    </row>
    <row r="44" spans="1:89" s="11" customFormat="1" ht="12.6" customHeight="1" x14ac:dyDescent="0.25">
      <c r="A44" s="15" t="str">
        <f>RIGHT(data!$C$97,3)</f>
        <v>164</v>
      </c>
      <c r="B44" s="223" t="str">
        <f>RIGHT(data!$C$96,4)</f>
        <v>2022</v>
      </c>
      <c r="C44" s="15" t="str">
        <f>data!AS$55</f>
        <v>7410</v>
      </c>
      <c r="D44" s="15" t="s">
        <v>1120</v>
      </c>
      <c r="E44" s="221">
        <f>ROUND(data!AS59,0)</f>
        <v>0</v>
      </c>
      <c r="F44" s="211">
        <f>ROUND(data!AS60,2)</f>
        <v>0</v>
      </c>
      <c r="G44" s="221">
        <f>ROUND(data!AS61,0)</f>
        <v>0</v>
      </c>
      <c r="H44" s="221">
        <f>ROUND(data!AS62,0)</f>
        <v>0</v>
      </c>
      <c r="I44" s="221">
        <f>ROUND(data!AS63,0)</f>
        <v>0</v>
      </c>
      <c r="J44" s="221">
        <f>ROUND(data!AS64,0)</f>
        <v>0</v>
      </c>
      <c r="K44" s="221">
        <f>ROUND(data!AS65,0)</f>
        <v>0</v>
      </c>
      <c r="L44" s="221">
        <f>ROUND(data!AS66,0)</f>
        <v>0</v>
      </c>
      <c r="M44" s="65">
        <f>ROUND(data!AS67,0)</f>
        <v>0</v>
      </c>
      <c r="N44" s="221">
        <f>ROUND(data!AS68,0)</f>
        <v>0</v>
      </c>
      <c r="O44" s="221">
        <f>ROUND(data!AS69,0)</f>
        <v>0</v>
      </c>
      <c r="P44" s="221">
        <f>ROUND(data!AS70,0)</f>
        <v>0</v>
      </c>
      <c r="Q44" s="221">
        <f>ROUND(data!AS71,0)</f>
        <v>0</v>
      </c>
      <c r="R44" s="221">
        <f>ROUND(data!AS72,0)</f>
        <v>0</v>
      </c>
      <c r="S44" s="221">
        <f>ROUND(data!AS73,0)</f>
        <v>0</v>
      </c>
      <c r="T44" s="221">
        <f>ROUND(data!AS74,0)</f>
        <v>0</v>
      </c>
      <c r="U44" s="221">
        <f>ROUND(data!AS75,0)</f>
        <v>0</v>
      </c>
      <c r="V44" s="221">
        <f>ROUND(data!AS76,0)</f>
        <v>0</v>
      </c>
      <c r="W44" s="221">
        <f>ROUND(data!AS77,0)</f>
        <v>0</v>
      </c>
      <c r="X44" s="221">
        <f>ROUND(data!AS78,0)</f>
        <v>0</v>
      </c>
      <c r="Y44" s="221">
        <f>ROUND(data!AS79,0)</f>
        <v>0</v>
      </c>
      <c r="Z44" s="221">
        <f>ROUND(data!AS80,0)</f>
        <v>0</v>
      </c>
      <c r="AA44" s="221">
        <f>ROUND(data!AS81,0)</f>
        <v>0</v>
      </c>
      <c r="AB44" s="221">
        <f>ROUND(data!AS82,0)</f>
        <v>0</v>
      </c>
      <c r="AC44" s="221">
        <f>ROUND(data!AS83,0)</f>
        <v>0</v>
      </c>
      <c r="AD44" s="221">
        <f>ROUND(data!AS84,0)</f>
        <v>0</v>
      </c>
      <c r="AE44" s="221">
        <f>ROUND(data!AS89,0)</f>
        <v>0</v>
      </c>
      <c r="AF44" s="221">
        <f>ROUND(data!AS87,0)</f>
        <v>0</v>
      </c>
      <c r="AG44" s="221">
        <f>IF(data!AS90&gt;0,ROUND(data!AS90,0),0)</f>
        <v>0</v>
      </c>
      <c r="AH44" s="221">
        <f>IF(data!AS91&gt;0,ROUND(data!AS91,0),0)</f>
        <v>0</v>
      </c>
      <c r="AI44" s="221">
        <f>IF(data!AS92&gt;0,ROUND(data!AS92,0),0)</f>
        <v>0</v>
      </c>
      <c r="AJ44" s="221">
        <f>IF(data!AS93&gt;0,ROUND(data!AS93,0),0)</f>
        <v>0</v>
      </c>
      <c r="AK44" s="211">
        <f>IF(data!AS94&gt;0,ROUND(data!AS94,2),0)</f>
        <v>0</v>
      </c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65"/>
      <c r="AY44" s="65"/>
      <c r="AZ44" s="65"/>
      <c r="BA44" s="65"/>
      <c r="BB44" s="65"/>
      <c r="BC44" s="65"/>
      <c r="BD44" s="65"/>
      <c r="BE44" s="65"/>
      <c r="BF44" s="65"/>
      <c r="BG44" s="65"/>
      <c r="BH44" s="65"/>
      <c r="BI44" s="65"/>
      <c r="BJ44" s="65"/>
      <c r="BK44" s="65"/>
      <c r="BL44" s="65"/>
      <c r="BM44" s="65"/>
      <c r="BN44" s="65"/>
      <c r="BO44" s="65"/>
      <c r="BP44" s="65"/>
      <c r="BQ44" s="65"/>
      <c r="BR44" s="65"/>
      <c r="BS44" s="65"/>
      <c r="BT44" s="65"/>
      <c r="BU44" s="65"/>
      <c r="BV44" s="65"/>
      <c r="BW44" s="65"/>
      <c r="BX44" s="65"/>
      <c r="BY44" s="65"/>
      <c r="BZ44" s="65"/>
      <c r="CA44" s="65"/>
      <c r="CB44" s="65"/>
      <c r="CC44" s="65"/>
      <c r="CD44" s="65"/>
      <c r="CE44" s="65"/>
      <c r="CF44" s="65"/>
      <c r="CG44" s="65"/>
      <c r="CH44" s="65"/>
      <c r="CI44" s="65"/>
      <c r="CJ44" s="65"/>
      <c r="CK44" s="65"/>
    </row>
    <row r="45" spans="1:89" s="11" customFormat="1" ht="12.6" customHeight="1" x14ac:dyDescent="0.25">
      <c r="A45" s="15" t="str">
        <f>RIGHT(data!$C$97,3)</f>
        <v>164</v>
      </c>
      <c r="B45" s="223" t="str">
        <f>RIGHT(data!$C$96,4)</f>
        <v>2022</v>
      </c>
      <c r="C45" s="15" t="str">
        <f>data!AT$55</f>
        <v>7420</v>
      </c>
      <c r="D45" s="15" t="s">
        <v>1120</v>
      </c>
      <c r="E45" s="221">
        <f>ROUND(data!AT59,0)</f>
        <v>0</v>
      </c>
      <c r="F45" s="211">
        <f>ROUND(data!AT60,2)</f>
        <v>0</v>
      </c>
      <c r="G45" s="221">
        <f>ROUND(data!AT61,0)</f>
        <v>0</v>
      </c>
      <c r="H45" s="221">
        <f>ROUND(data!AT62,0)</f>
        <v>0</v>
      </c>
      <c r="I45" s="221">
        <f>ROUND(data!AT63,0)</f>
        <v>0</v>
      </c>
      <c r="J45" s="221">
        <f>ROUND(data!AT64,0)</f>
        <v>0</v>
      </c>
      <c r="K45" s="221">
        <f>ROUND(data!AT65,0)</f>
        <v>0</v>
      </c>
      <c r="L45" s="221">
        <f>ROUND(data!AT66,0)</f>
        <v>0</v>
      </c>
      <c r="M45" s="65">
        <f>ROUND(data!AT67,0)</f>
        <v>0</v>
      </c>
      <c r="N45" s="221">
        <f>ROUND(data!AT68,0)</f>
        <v>0</v>
      </c>
      <c r="O45" s="221">
        <f>ROUND(data!AT69,0)</f>
        <v>0</v>
      </c>
      <c r="P45" s="221">
        <f>ROUND(data!AT70,0)</f>
        <v>0</v>
      </c>
      <c r="Q45" s="221">
        <f>ROUND(data!AT71,0)</f>
        <v>0</v>
      </c>
      <c r="R45" s="221">
        <f>ROUND(data!AT72,0)</f>
        <v>0</v>
      </c>
      <c r="S45" s="221">
        <f>ROUND(data!AT73,0)</f>
        <v>0</v>
      </c>
      <c r="T45" s="221">
        <f>ROUND(data!AT74,0)</f>
        <v>0</v>
      </c>
      <c r="U45" s="221">
        <f>ROUND(data!AT75,0)</f>
        <v>0</v>
      </c>
      <c r="V45" s="221">
        <f>ROUND(data!AT76,0)</f>
        <v>0</v>
      </c>
      <c r="W45" s="221">
        <f>ROUND(data!AT77,0)</f>
        <v>0</v>
      </c>
      <c r="X45" s="221">
        <f>ROUND(data!AT78,0)</f>
        <v>0</v>
      </c>
      <c r="Y45" s="221">
        <f>ROUND(data!AT79,0)</f>
        <v>0</v>
      </c>
      <c r="Z45" s="221">
        <f>ROUND(data!AT80,0)</f>
        <v>0</v>
      </c>
      <c r="AA45" s="221">
        <f>ROUND(data!AT81,0)</f>
        <v>0</v>
      </c>
      <c r="AB45" s="221">
        <f>ROUND(data!AT82,0)</f>
        <v>0</v>
      </c>
      <c r="AC45" s="221">
        <f>ROUND(data!AT83,0)</f>
        <v>0</v>
      </c>
      <c r="AD45" s="221">
        <f>ROUND(data!AT84,0)</f>
        <v>0</v>
      </c>
      <c r="AE45" s="221">
        <f>ROUND(data!AT89,0)</f>
        <v>0</v>
      </c>
      <c r="AF45" s="221">
        <f>ROUND(data!AT87,0)</f>
        <v>0</v>
      </c>
      <c r="AG45" s="221">
        <f>IF(data!AT90&gt;0,ROUND(data!AT90,0),0)</f>
        <v>0</v>
      </c>
      <c r="AH45" s="221">
        <f>IF(data!AT91&gt;0,ROUND(data!AT91,0),0)</f>
        <v>0</v>
      </c>
      <c r="AI45" s="221">
        <f>IF(data!AT92&gt;0,ROUND(data!AT92,0),0)</f>
        <v>0</v>
      </c>
      <c r="AJ45" s="221">
        <f>IF(data!AT93&gt;0,ROUND(data!AT93,0),0)</f>
        <v>0</v>
      </c>
      <c r="AK45" s="211">
        <f>IF(data!AT94&gt;0,ROUND(data!AT94,2),0)</f>
        <v>0</v>
      </c>
      <c r="AL45" s="65"/>
      <c r="AM45" s="65"/>
      <c r="AN45" s="65"/>
      <c r="AO45" s="65"/>
      <c r="AP45" s="65"/>
      <c r="AQ45" s="65"/>
      <c r="AR45" s="65"/>
      <c r="AS45" s="65"/>
      <c r="AT45" s="65"/>
      <c r="AU45" s="65"/>
      <c r="AV45" s="65"/>
      <c r="AW45" s="65"/>
      <c r="AX45" s="65"/>
      <c r="AY45" s="65"/>
      <c r="AZ45" s="65"/>
      <c r="BA45" s="65"/>
      <c r="BB45" s="65"/>
      <c r="BC45" s="65"/>
      <c r="BD45" s="65"/>
      <c r="BE45" s="65"/>
      <c r="BF45" s="65"/>
      <c r="BG45" s="65"/>
      <c r="BH45" s="65"/>
      <c r="BI45" s="65"/>
      <c r="BJ45" s="65"/>
      <c r="BK45" s="65"/>
      <c r="BL45" s="65"/>
      <c r="BM45" s="65"/>
      <c r="BN45" s="65"/>
      <c r="BO45" s="65"/>
      <c r="BP45" s="65"/>
      <c r="BQ45" s="65"/>
      <c r="BR45" s="65"/>
      <c r="BS45" s="65"/>
      <c r="BT45" s="65"/>
      <c r="BU45" s="65"/>
      <c r="BV45" s="65"/>
      <c r="BW45" s="65"/>
      <c r="BX45" s="65"/>
      <c r="BY45" s="65"/>
      <c r="BZ45" s="65"/>
      <c r="CA45" s="65"/>
      <c r="CB45" s="65"/>
      <c r="CC45" s="65"/>
      <c r="CD45" s="65"/>
      <c r="CE45" s="65"/>
      <c r="CF45" s="65"/>
      <c r="CG45" s="65"/>
      <c r="CH45" s="65"/>
      <c r="CI45" s="65"/>
      <c r="CJ45" s="65"/>
      <c r="CK45" s="65"/>
    </row>
    <row r="46" spans="1:89" s="11" customFormat="1" ht="12.6" customHeight="1" x14ac:dyDescent="0.25">
      <c r="A46" s="15" t="str">
        <f>RIGHT(data!$C$97,3)</f>
        <v>164</v>
      </c>
      <c r="B46" s="223" t="str">
        <f>RIGHT(data!$C$96,4)</f>
        <v>2022</v>
      </c>
      <c r="C46" s="15" t="str">
        <f>data!AU$55</f>
        <v>7430</v>
      </c>
      <c r="D46" s="15" t="s">
        <v>1120</v>
      </c>
      <c r="E46" s="221">
        <f>ROUND(data!AU59,0)</f>
        <v>0</v>
      </c>
      <c r="F46" s="211">
        <f>ROUND(data!AU60,2)</f>
        <v>0</v>
      </c>
      <c r="G46" s="221">
        <f>ROUND(data!AU61,0)</f>
        <v>0</v>
      </c>
      <c r="H46" s="221">
        <f>ROUND(data!AU62,0)</f>
        <v>0</v>
      </c>
      <c r="I46" s="221">
        <f>ROUND(data!AU63,0)</f>
        <v>0</v>
      </c>
      <c r="J46" s="221">
        <f>ROUND(data!AU64,0)</f>
        <v>0</v>
      </c>
      <c r="K46" s="221">
        <f>ROUND(data!AU65,0)</f>
        <v>0</v>
      </c>
      <c r="L46" s="221">
        <f>ROUND(data!AU66,0)</f>
        <v>0</v>
      </c>
      <c r="M46" s="65">
        <f>ROUND(data!AU67,0)</f>
        <v>0</v>
      </c>
      <c r="N46" s="221">
        <f>ROUND(data!AU68,0)</f>
        <v>0</v>
      </c>
      <c r="O46" s="221">
        <f>ROUND(data!AU69,0)</f>
        <v>0</v>
      </c>
      <c r="P46" s="221">
        <f>ROUND(data!AU70,0)</f>
        <v>0</v>
      </c>
      <c r="Q46" s="221">
        <f>ROUND(data!AU71,0)</f>
        <v>0</v>
      </c>
      <c r="R46" s="221">
        <f>ROUND(data!AU72,0)</f>
        <v>0</v>
      </c>
      <c r="S46" s="221">
        <f>ROUND(data!AU73,0)</f>
        <v>0</v>
      </c>
      <c r="T46" s="221">
        <f>ROUND(data!AU74,0)</f>
        <v>0</v>
      </c>
      <c r="U46" s="221">
        <f>ROUND(data!AU75,0)</f>
        <v>0</v>
      </c>
      <c r="V46" s="221">
        <f>ROUND(data!AU76,0)</f>
        <v>0</v>
      </c>
      <c r="W46" s="221">
        <f>ROUND(data!AU77,0)</f>
        <v>0</v>
      </c>
      <c r="X46" s="221">
        <f>ROUND(data!AU78,0)</f>
        <v>0</v>
      </c>
      <c r="Y46" s="221">
        <f>ROUND(data!AU79,0)</f>
        <v>0</v>
      </c>
      <c r="Z46" s="221">
        <f>ROUND(data!AU80,0)</f>
        <v>0</v>
      </c>
      <c r="AA46" s="221">
        <f>ROUND(data!AU81,0)</f>
        <v>0</v>
      </c>
      <c r="AB46" s="221">
        <f>ROUND(data!AU82,0)</f>
        <v>0</v>
      </c>
      <c r="AC46" s="221">
        <f>ROUND(data!AU83,0)</f>
        <v>0</v>
      </c>
      <c r="AD46" s="221">
        <f>ROUND(data!AU84,0)</f>
        <v>0</v>
      </c>
      <c r="AE46" s="221">
        <f>ROUND(data!AU89,0)</f>
        <v>0</v>
      </c>
      <c r="AF46" s="221">
        <f>ROUND(data!AU87,0)</f>
        <v>0</v>
      </c>
      <c r="AG46" s="221">
        <f>IF(data!AU90&gt;0,ROUND(data!AU90,0),0)</f>
        <v>0</v>
      </c>
      <c r="AH46" s="221">
        <f>IF(data!AU91&gt;0,ROUND(data!AU91,0),0)</f>
        <v>0</v>
      </c>
      <c r="AI46" s="221">
        <f>IF(data!AU92&gt;0,ROUND(data!AU92,0),0)</f>
        <v>0</v>
      </c>
      <c r="AJ46" s="221">
        <f>IF(data!AU93&gt;0,ROUND(data!AU93,0),0)</f>
        <v>0</v>
      </c>
      <c r="AK46" s="211">
        <f>IF(data!AU94&gt;0,ROUND(data!AU94,2),0)</f>
        <v>0</v>
      </c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65"/>
      <c r="BB46" s="65"/>
      <c r="BC46" s="65"/>
      <c r="BD46" s="65"/>
      <c r="BE46" s="65"/>
      <c r="BF46" s="65"/>
      <c r="BG46" s="65"/>
      <c r="BH46" s="65"/>
      <c r="BI46" s="65"/>
      <c r="BJ46" s="65"/>
      <c r="BK46" s="65"/>
      <c r="BL46" s="65"/>
      <c r="BM46" s="65"/>
      <c r="BN46" s="65"/>
      <c r="BO46" s="65"/>
      <c r="BP46" s="65"/>
      <c r="BQ46" s="65"/>
      <c r="BR46" s="65"/>
      <c r="BS46" s="65"/>
      <c r="BT46" s="65"/>
      <c r="BU46" s="65"/>
      <c r="BV46" s="65"/>
      <c r="BW46" s="65"/>
      <c r="BX46" s="65"/>
      <c r="BY46" s="65"/>
      <c r="BZ46" s="65"/>
      <c r="CA46" s="65"/>
      <c r="CB46" s="65"/>
      <c r="CC46" s="65"/>
      <c r="CD46" s="65"/>
      <c r="CE46" s="65"/>
      <c r="CF46" s="65"/>
      <c r="CG46" s="65"/>
      <c r="CH46" s="65"/>
      <c r="CI46" s="65"/>
      <c r="CJ46" s="65"/>
      <c r="CK46" s="65"/>
    </row>
    <row r="47" spans="1:89" s="11" customFormat="1" ht="12.6" customHeight="1" x14ac:dyDescent="0.25">
      <c r="A47" s="15" t="str">
        <f>RIGHT(data!$C$97,3)</f>
        <v>164</v>
      </c>
      <c r="B47" s="223" t="str">
        <f>RIGHT(data!$C$96,4)</f>
        <v>2022</v>
      </c>
      <c r="C47" s="15" t="str">
        <f>data!AV$55</f>
        <v>7490</v>
      </c>
      <c r="D47" s="15" t="s">
        <v>1120</v>
      </c>
      <c r="E47" s="221"/>
      <c r="F47" s="211">
        <f>ROUND(data!AV60,2)</f>
        <v>23.97</v>
      </c>
      <c r="G47" s="221">
        <f>ROUND(data!AV61,0)</f>
        <v>2903559</v>
      </c>
      <c r="H47" s="221">
        <f>ROUND(data!AV62,0)</f>
        <v>633131</v>
      </c>
      <c r="I47" s="221">
        <f>ROUND(data!AV63,0)</f>
        <v>0</v>
      </c>
      <c r="J47" s="221">
        <f>ROUND(data!AV64,0)</f>
        <v>9143634</v>
      </c>
      <c r="K47" s="221">
        <f>ROUND(data!AV65,0)</f>
        <v>2645</v>
      </c>
      <c r="L47" s="221">
        <f>ROUND(data!AV66,0)</f>
        <v>688883</v>
      </c>
      <c r="M47" s="65">
        <f>ROUND(data!AV67,0)</f>
        <v>195144</v>
      </c>
      <c r="N47" s="221">
        <f>ROUND(data!AV68,0)</f>
        <v>604</v>
      </c>
      <c r="O47" s="221">
        <f>ROUND(data!AV69,0)</f>
        <v>7471</v>
      </c>
      <c r="P47" s="221">
        <f>ROUND(data!AV70,0)</f>
        <v>0</v>
      </c>
      <c r="Q47" s="221">
        <f>ROUND(data!AV71,0)</f>
        <v>0</v>
      </c>
      <c r="R47" s="221">
        <f>ROUND(data!AV72,0)</f>
        <v>0</v>
      </c>
      <c r="S47" s="221">
        <f>ROUND(data!AV73,0)</f>
        <v>0</v>
      </c>
      <c r="T47" s="221">
        <f>ROUND(data!AV74,0)</f>
        <v>0</v>
      </c>
      <c r="U47" s="221">
        <f>ROUND(data!AV75,0)</f>
        <v>0</v>
      </c>
      <c r="V47" s="221">
        <f>ROUND(data!AV76,0)</f>
        <v>0</v>
      </c>
      <c r="W47" s="221">
        <f>ROUND(data!AV77,0)</f>
        <v>0</v>
      </c>
      <c r="X47" s="221">
        <f>ROUND(data!AV78,0)</f>
        <v>0</v>
      </c>
      <c r="Y47" s="221">
        <f>ROUND(data!AV79,0)</f>
        <v>0</v>
      </c>
      <c r="Z47" s="221">
        <f>ROUND(data!AV80,0)</f>
        <v>0</v>
      </c>
      <c r="AA47" s="221">
        <f>ROUND(data!AV81,0)</f>
        <v>0</v>
      </c>
      <c r="AB47" s="221">
        <f>ROUND(data!AV82,0)</f>
        <v>0</v>
      </c>
      <c r="AC47" s="221">
        <f>ROUND(data!AV83,0)</f>
        <v>7471</v>
      </c>
      <c r="AD47" s="221">
        <f>ROUND(data!AV84,0)</f>
        <v>9157965</v>
      </c>
      <c r="AE47" s="221">
        <f>ROUND(data!AV89,0)</f>
        <v>30118409</v>
      </c>
      <c r="AF47" s="221">
        <f>ROUND(data!AV87,0)</f>
        <v>8091455</v>
      </c>
      <c r="AG47" s="221">
        <f>IF(data!AV90&gt;0,ROUND(data!AV90,0),0)</f>
        <v>13135</v>
      </c>
      <c r="AH47" s="221">
        <f>IF(data!AV91&gt;0,ROUND(data!AV91,0),0)</f>
        <v>0</v>
      </c>
      <c r="AI47" s="221">
        <f>IF(data!AV92&gt;0,ROUND(data!AV92,0),0)</f>
        <v>1675</v>
      </c>
      <c r="AJ47" s="221">
        <f>IF(data!AV93&gt;0,ROUND(data!AV93,0),0)</f>
        <v>29157</v>
      </c>
      <c r="AK47" s="211">
        <f>IF(data!AV94&gt;0,ROUND(data!AV94,2),0)</f>
        <v>7.71</v>
      </c>
      <c r="AL47" s="65"/>
      <c r="AM47" s="65"/>
      <c r="AN47" s="65"/>
      <c r="AO47" s="65"/>
      <c r="AP47" s="65"/>
      <c r="AQ47" s="65"/>
      <c r="AR47" s="65"/>
      <c r="AS47" s="65"/>
      <c r="AT47" s="65"/>
      <c r="AU47" s="65"/>
      <c r="AV47" s="65"/>
      <c r="AW47" s="65"/>
      <c r="AX47" s="65"/>
      <c r="AY47" s="65"/>
      <c r="AZ47" s="65"/>
      <c r="BA47" s="65"/>
      <c r="BB47" s="65"/>
      <c r="BC47" s="65"/>
      <c r="BD47" s="65"/>
      <c r="BE47" s="65"/>
      <c r="BF47" s="65"/>
      <c r="BG47" s="65"/>
      <c r="BH47" s="65"/>
      <c r="BI47" s="65"/>
      <c r="BJ47" s="65"/>
      <c r="BK47" s="65"/>
      <c r="BL47" s="65"/>
      <c r="BM47" s="65"/>
      <c r="BN47" s="65"/>
      <c r="BO47" s="65"/>
      <c r="BP47" s="65"/>
      <c r="BQ47" s="65"/>
      <c r="BR47" s="65"/>
      <c r="BS47" s="65"/>
      <c r="BT47" s="65"/>
      <c r="BU47" s="65"/>
      <c r="BV47" s="65"/>
      <c r="BW47" s="65"/>
      <c r="BX47" s="65"/>
      <c r="BY47" s="65"/>
      <c r="BZ47" s="65"/>
      <c r="CA47" s="65"/>
      <c r="CB47" s="65"/>
      <c r="CC47" s="65"/>
      <c r="CD47" s="65"/>
      <c r="CE47" s="65"/>
      <c r="CF47" s="65"/>
      <c r="CG47" s="65"/>
      <c r="CH47" s="65"/>
      <c r="CI47" s="65"/>
      <c r="CJ47" s="65"/>
      <c r="CK47" s="65"/>
    </row>
    <row r="48" spans="1:89" s="11" customFormat="1" ht="12.6" customHeight="1" x14ac:dyDescent="0.25">
      <c r="A48" s="15" t="str">
        <f>RIGHT(data!$C$97,3)</f>
        <v>164</v>
      </c>
      <c r="B48" s="223" t="str">
        <f>RIGHT(data!$C$96,4)</f>
        <v>2022</v>
      </c>
      <c r="C48" s="15" t="str">
        <f>data!AW$55</f>
        <v>8200</v>
      </c>
      <c r="D48" s="15" t="s">
        <v>1120</v>
      </c>
      <c r="E48" s="221"/>
      <c r="F48" s="211">
        <f>ROUND(data!AW60,2)</f>
        <v>22.02</v>
      </c>
      <c r="G48" s="221">
        <f>ROUND(data!AW61,0)</f>
        <v>1982988</v>
      </c>
      <c r="H48" s="221">
        <f>ROUND(data!AW62,0)</f>
        <v>390305</v>
      </c>
      <c r="I48" s="221">
        <f>ROUND(data!AW63,0)</f>
        <v>307336</v>
      </c>
      <c r="J48" s="221">
        <f>ROUND(data!AW64,0)</f>
        <v>43134</v>
      </c>
      <c r="K48" s="221">
        <f>ROUND(data!AW65,0)</f>
        <v>0</v>
      </c>
      <c r="L48" s="221">
        <f>ROUND(data!AW66,0)</f>
        <v>96716</v>
      </c>
      <c r="M48" s="65">
        <f>ROUND(data!AW67,0)</f>
        <v>34863</v>
      </c>
      <c r="N48" s="221">
        <f>ROUND(data!AW68,0)</f>
        <v>12225</v>
      </c>
      <c r="O48" s="221">
        <f>ROUND(data!AW69,0)</f>
        <v>71227</v>
      </c>
      <c r="P48" s="221">
        <f>ROUND(data!AW70,0)</f>
        <v>0</v>
      </c>
      <c r="Q48" s="221">
        <f>ROUND(data!AW71,0)</f>
        <v>0</v>
      </c>
      <c r="R48" s="221">
        <f>ROUND(data!AW72,0)</f>
        <v>0</v>
      </c>
      <c r="S48" s="221">
        <f>ROUND(data!AW73,0)</f>
        <v>0</v>
      </c>
      <c r="T48" s="221">
        <f>ROUND(data!AW74,0)</f>
        <v>0</v>
      </c>
      <c r="U48" s="221">
        <f>ROUND(data!AW75,0)</f>
        <v>0</v>
      </c>
      <c r="V48" s="221">
        <f>ROUND(data!AW76,0)</f>
        <v>0</v>
      </c>
      <c r="W48" s="221">
        <f>ROUND(data!AW77,0)</f>
        <v>0</v>
      </c>
      <c r="X48" s="221">
        <f>ROUND(data!AW78,0)</f>
        <v>0</v>
      </c>
      <c r="Y48" s="221">
        <f>ROUND(data!AW79,0)</f>
        <v>0</v>
      </c>
      <c r="Z48" s="221">
        <f>ROUND(data!AW80,0)</f>
        <v>0</v>
      </c>
      <c r="AA48" s="221">
        <f>ROUND(data!AW81,0)</f>
        <v>0</v>
      </c>
      <c r="AB48" s="221">
        <f>ROUND(data!AW82,0)</f>
        <v>0</v>
      </c>
      <c r="AC48" s="221">
        <f>ROUND(data!AW83,0)</f>
        <v>71227</v>
      </c>
      <c r="AD48" s="221">
        <f>ROUND(data!AW84,0)</f>
        <v>3587244</v>
      </c>
      <c r="AE48" s="221"/>
      <c r="AF48" s="221"/>
      <c r="AG48" s="221">
        <f>IF(data!AW90&gt;0,ROUND(data!AW90,0),0)</f>
        <v>3911</v>
      </c>
      <c r="AH48" s="221">
        <f>IF(data!AW91&gt;0,ROUND(data!AW91,0),0)</f>
        <v>0</v>
      </c>
      <c r="AI48" s="221">
        <f>IF(data!AW$92&gt;0,ROUND(data!AW$92,0),0)</f>
        <v>499</v>
      </c>
      <c r="AJ48" s="221">
        <f>IF(data!AW93&gt;0,ROUND(data!AW93,0),0)</f>
        <v>0</v>
      </c>
      <c r="AK48" s="211">
        <f>IFERROR(IF(data!AW94&gt;0,ROUND(data!AW94,2),0),0)</f>
        <v>0</v>
      </c>
      <c r="AL48" s="65"/>
      <c r="AM48" s="65"/>
      <c r="AN48" s="65"/>
      <c r="AO48" s="65"/>
      <c r="AP48" s="65"/>
      <c r="AQ48" s="65"/>
      <c r="AR48" s="65"/>
      <c r="AS48" s="65"/>
      <c r="AT48" s="65"/>
      <c r="AU48" s="65"/>
      <c r="AV48" s="65"/>
      <c r="AW48" s="65"/>
      <c r="AX48" s="65"/>
      <c r="AY48" s="65"/>
      <c r="AZ48" s="65"/>
      <c r="BA48" s="65"/>
      <c r="BB48" s="65"/>
      <c r="BC48" s="65"/>
      <c r="BD48" s="65"/>
      <c r="BE48" s="65"/>
      <c r="BF48" s="65"/>
      <c r="BG48" s="65"/>
      <c r="BH48" s="65"/>
      <c r="BI48" s="65"/>
      <c r="BJ48" s="65"/>
      <c r="BK48" s="65"/>
      <c r="BL48" s="65"/>
      <c r="BM48" s="65"/>
      <c r="BN48" s="65"/>
      <c r="BO48" s="65"/>
      <c r="BP48" s="65"/>
      <c r="BQ48" s="65"/>
      <c r="BR48" s="65"/>
      <c r="BS48" s="65"/>
      <c r="BT48" s="65"/>
      <c r="BU48" s="65"/>
      <c r="BV48" s="65"/>
      <c r="BW48" s="65"/>
      <c r="BX48" s="65"/>
      <c r="BY48" s="65"/>
      <c r="BZ48" s="65"/>
      <c r="CA48" s="65"/>
      <c r="CB48" s="65"/>
      <c r="CC48" s="65"/>
      <c r="CD48" s="65"/>
      <c r="CE48" s="65"/>
      <c r="CF48" s="65"/>
      <c r="CG48" s="65"/>
      <c r="CH48" s="65"/>
      <c r="CI48" s="65"/>
      <c r="CJ48" s="65"/>
      <c r="CK48" s="65"/>
    </row>
    <row r="49" spans="1:89" s="11" customFormat="1" ht="12.6" customHeight="1" x14ac:dyDescent="0.25">
      <c r="A49" s="15" t="str">
        <f>RIGHT(data!$C$97,3)</f>
        <v>164</v>
      </c>
      <c r="B49" s="223" t="str">
        <f>RIGHT(data!$C$96,4)</f>
        <v>2022</v>
      </c>
      <c r="C49" s="15" t="str">
        <f>data!AX$55</f>
        <v>8310</v>
      </c>
      <c r="D49" s="15" t="s">
        <v>1120</v>
      </c>
      <c r="E49" s="221"/>
      <c r="F49" s="211">
        <f>ROUND(data!AX60,2)</f>
        <v>0</v>
      </c>
      <c r="G49" s="221">
        <f>ROUND(data!AX61,0)</f>
        <v>0</v>
      </c>
      <c r="H49" s="221">
        <f>ROUND(data!AX62,0)</f>
        <v>0</v>
      </c>
      <c r="I49" s="221">
        <f>ROUND(data!AX63,0)</f>
        <v>0</v>
      </c>
      <c r="J49" s="221">
        <f>ROUND(data!AX64,0)</f>
        <v>339095</v>
      </c>
      <c r="K49" s="221">
        <f>ROUND(data!AX65,0)</f>
        <v>3358</v>
      </c>
      <c r="L49" s="221">
        <f>ROUND(data!AX66,0)</f>
        <v>825386</v>
      </c>
      <c r="M49" s="65">
        <f>ROUND(data!AX67,0)</f>
        <v>466612</v>
      </c>
      <c r="N49" s="221">
        <f>ROUND(data!AX68,0)</f>
        <v>977578</v>
      </c>
      <c r="O49" s="221">
        <f>ROUND(data!AX69,0)</f>
        <v>24243</v>
      </c>
      <c r="P49" s="221">
        <f>ROUND(data!AX70,0)</f>
        <v>0</v>
      </c>
      <c r="Q49" s="221">
        <f>ROUND(data!AX71,0)</f>
        <v>0</v>
      </c>
      <c r="R49" s="221">
        <f>ROUND(data!AX72,0)</f>
        <v>0</v>
      </c>
      <c r="S49" s="221">
        <f>ROUND(data!AX73,0)</f>
        <v>0</v>
      </c>
      <c r="T49" s="221">
        <f>ROUND(data!AX74,0)</f>
        <v>0</v>
      </c>
      <c r="U49" s="221">
        <f>ROUND(data!AX75,0)</f>
        <v>0</v>
      </c>
      <c r="V49" s="221">
        <f>ROUND(data!AX76,0)</f>
        <v>0</v>
      </c>
      <c r="W49" s="221">
        <f>ROUND(data!AX77,0)</f>
        <v>0</v>
      </c>
      <c r="X49" s="221">
        <f>ROUND(data!AX78,0)</f>
        <v>0</v>
      </c>
      <c r="Y49" s="221">
        <f>ROUND(data!AX79,0)</f>
        <v>0</v>
      </c>
      <c r="Z49" s="221">
        <f>ROUND(data!AX80,0)</f>
        <v>0</v>
      </c>
      <c r="AA49" s="221">
        <f>ROUND(data!AX81,0)</f>
        <v>0</v>
      </c>
      <c r="AB49" s="221">
        <f>ROUND(data!AX82,0)</f>
        <v>0</v>
      </c>
      <c r="AC49" s="221">
        <f>ROUND(data!AX83,0)</f>
        <v>24243</v>
      </c>
      <c r="AD49" s="221">
        <f>ROUND(data!AX84,0)</f>
        <v>0</v>
      </c>
      <c r="AE49" s="221"/>
      <c r="AF49" s="221"/>
      <c r="AG49" s="221">
        <f>IF(data!AX90&gt;0,ROUND(data!AX90,0),0)</f>
        <v>0</v>
      </c>
      <c r="AH49" s="221">
        <f>IFERROR(IF(data!AX$91&gt;0,ROUND(data!AX$91,0),0),0)</f>
        <v>0</v>
      </c>
      <c r="AI49" s="221">
        <f>IFERROR(IF(data!AX$92&gt;0,ROUND(data!AX$92,0),0),0)</f>
        <v>0</v>
      </c>
      <c r="AJ49" s="221">
        <f>IFERROR(IF(data!AX$93&gt;0,ROUND(data!AX$93,0),0),0)</f>
        <v>0</v>
      </c>
      <c r="AK49" s="211">
        <f>IFERROR(IF(data!AX$94&gt;0,ROUND(data!AX$94,2),0),0)</f>
        <v>0</v>
      </c>
      <c r="AL49" s="65"/>
      <c r="AM49" s="65"/>
      <c r="AN49" s="65"/>
      <c r="AO49" s="65"/>
      <c r="AP49" s="65"/>
      <c r="AQ49" s="65"/>
      <c r="AR49" s="65"/>
      <c r="AS49" s="65"/>
      <c r="AT49" s="65"/>
      <c r="AU49" s="65"/>
      <c r="AV49" s="65"/>
      <c r="AW49" s="65"/>
      <c r="AX49" s="65"/>
      <c r="AY49" s="65"/>
      <c r="AZ49" s="65"/>
      <c r="BA49" s="65"/>
      <c r="BB49" s="65"/>
      <c r="BC49" s="65"/>
      <c r="BD49" s="65"/>
      <c r="BE49" s="65"/>
      <c r="BF49" s="65"/>
      <c r="BG49" s="65"/>
      <c r="BH49" s="65"/>
      <c r="BI49" s="65"/>
      <c r="BJ49" s="65"/>
      <c r="BK49" s="65"/>
      <c r="BL49" s="65"/>
      <c r="BM49" s="65"/>
      <c r="BN49" s="65"/>
      <c r="BO49" s="65"/>
      <c r="BP49" s="65"/>
      <c r="BQ49" s="65"/>
      <c r="BR49" s="65"/>
      <c r="BS49" s="65"/>
      <c r="BT49" s="65"/>
      <c r="BU49" s="65"/>
      <c r="BV49" s="65"/>
      <c r="BW49" s="65"/>
      <c r="BX49" s="65"/>
      <c r="BY49" s="65"/>
      <c r="BZ49" s="65"/>
      <c r="CA49" s="65"/>
      <c r="CB49" s="65"/>
      <c r="CC49" s="65"/>
      <c r="CD49" s="65"/>
      <c r="CE49" s="65"/>
      <c r="CF49" s="65"/>
      <c r="CG49" s="65"/>
      <c r="CH49" s="65"/>
      <c r="CI49" s="65"/>
      <c r="CJ49" s="65"/>
      <c r="CK49" s="65"/>
    </row>
    <row r="50" spans="1:89" s="11" customFormat="1" ht="12.6" customHeight="1" x14ac:dyDescent="0.25">
      <c r="A50" s="15" t="str">
        <f>RIGHT(data!$C$97,3)</f>
        <v>164</v>
      </c>
      <c r="B50" s="223" t="str">
        <f>RIGHT(data!$C$96,4)</f>
        <v>2022</v>
      </c>
      <c r="C50" s="15" t="str">
        <f>data!AY$55</f>
        <v>8320</v>
      </c>
      <c r="D50" s="15" t="s">
        <v>1120</v>
      </c>
      <c r="E50" s="221">
        <f>ROUND(data!AY59,0)</f>
        <v>0</v>
      </c>
      <c r="F50" s="211">
        <f>ROUND(data!AY60,2)</f>
        <v>0</v>
      </c>
      <c r="G50" s="221">
        <f>ROUND(data!AY61,0)</f>
        <v>0</v>
      </c>
      <c r="H50" s="221">
        <f>ROUND(data!AY62,0)</f>
        <v>0</v>
      </c>
      <c r="I50" s="221">
        <f>ROUND(data!AY63,0)</f>
        <v>0</v>
      </c>
      <c r="J50" s="221">
        <f>ROUND(data!AY64,0)</f>
        <v>0</v>
      </c>
      <c r="K50" s="221">
        <f>ROUND(data!AY65,0)</f>
        <v>0</v>
      </c>
      <c r="L50" s="221">
        <f>ROUND(data!AY66,0)</f>
        <v>0</v>
      </c>
      <c r="M50" s="65">
        <f>ROUND(data!AY67,0)</f>
        <v>0</v>
      </c>
      <c r="N50" s="221">
        <f>ROUND(data!AY68,0)</f>
        <v>0</v>
      </c>
      <c r="O50" s="221">
        <f>ROUND(data!AY69,0)</f>
        <v>0</v>
      </c>
      <c r="P50" s="221">
        <f>ROUND(data!AY70,0)</f>
        <v>0</v>
      </c>
      <c r="Q50" s="221">
        <f>ROUND(data!AY71,0)</f>
        <v>0</v>
      </c>
      <c r="R50" s="221">
        <f>ROUND(data!AY72,0)</f>
        <v>0</v>
      </c>
      <c r="S50" s="221">
        <f>ROUND(data!AY73,0)</f>
        <v>0</v>
      </c>
      <c r="T50" s="221">
        <f>ROUND(data!AY74,0)</f>
        <v>0</v>
      </c>
      <c r="U50" s="221">
        <f>ROUND(data!AY75,0)</f>
        <v>0</v>
      </c>
      <c r="V50" s="221">
        <f>ROUND(data!AY76,0)</f>
        <v>0</v>
      </c>
      <c r="W50" s="221">
        <f>ROUND(data!AY77,0)</f>
        <v>0</v>
      </c>
      <c r="X50" s="221">
        <f>ROUND(data!AY78,0)</f>
        <v>0</v>
      </c>
      <c r="Y50" s="221">
        <f>ROUND(data!AY79,0)</f>
        <v>0</v>
      </c>
      <c r="Z50" s="221">
        <f>ROUND(data!AY80,0)</f>
        <v>0</v>
      </c>
      <c r="AA50" s="221">
        <f>ROUND(data!AY81,0)</f>
        <v>0</v>
      </c>
      <c r="AB50" s="221">
        <f>ROUND(data!AY82,0)</f>
        <v>0</v>
      </c>
      <c r="AC50" s="221">
        <f>ROUND(data!AY83,0)</f>
        <v>0</v>
      </c>
      <c r="AD50" s="221">
        <f>ROUND(data!AY84,0)</f>
        <v>0</v>
      </c>
      <c r="AE50" s="221"/>
      <c r="AF50" s="221"/>
      <c r="AG50" s="221">
        <f>IF(data!AY90&gt;0,ROUND(data!AY90,0),0)</f>
        <v>0</v>
      </c>
      <c r="AH50" s="221">
        <f>IFERROR(IF(data!AY$91&gt;0,ROUND(data!AY$91,0),0),0)</f>
        <v>0</v>
      </c>
      <c r="AI50" s="221">
        <f>IFERROR(IF(data!AY$92&gt;0,ROUND(data!AY$92,0),0),0)</f>
        <v>0</v>
      </c>
      <c r="AJ50" s="221">
        <f>IFERROR(IF(data!AY$93&gt;0,ROUND(data!AY$93,0),0),0)</f>
        <v>0</v>
      </c>
      <c r="AK50" s="211">
        <f>IFERROR(IF(data!AY$94&gt;0,ROUND(data!AY$94,2),0),0)</f>
        <v>0</v>
      </c>
      <c r="AL50" s="65"/>
      <c r="AM50" s="65"/>
      <c r="AN50" s="65"/>
      <c r="AO50" s="65"/>
      <c r="AP50" s="65"/>
      <c r="AQ50" s="65"/>
      <c r="AR50" s="65"/>
      <c r="AS50" s="65"/>
      <c r="AT50" s="65"/>
      <c r="AU50" s="65"/>
      <c r="AV50" s="65"/>
      <c r="AW50" s="65"/>
      <c r="AX50" s="65"/>
      <c r="AY50" s="65"/>
      <c r="AZ50" s="65"/>
      <c r="BA50" s="65"/>
      <c r="BB50" s="65"/>
      <c r="BC50" s="65"/>
      <c r="BD50" s="65"/>
      <c r="BE50" s="65"/>
      <c r="BF50" s="65"/>
      <c r="BG50" s="65"/>
      <c r="BH50" s="65"/>
      <c r="BI50" s="65"/>
      <c r="BJ50" s="65"/>
      <c r="BK50" s="65"/>
      <c r="BL50" s="65"/>
      <c r="BM50" s="65"/>
      <c r="BN50" s="65"/>
      <c r="BO50" s="65"/>
      <c r="BP50" s="65"/>
      <c r="BQ50" s="65"/>
      <c r="BR50" s="65"/>
      <c r="BS50" s="65"/>
      <c r="BT50" s="65"/>
      <c r="BU50" s="65"/>
      <c r="BV50" s="65"/>
      <c r="BW50" s="65"/>
      <c r="BX50" s="65"/>
      <c r="BY50" s="65"/>
      <c r="BZ50" s="65"/>
      <c r="CA50" s="65"/>
      <c r="CB50" s="65"/>
      <c r="CC50" s="65"/>
      <c r="CD50" s="65"/>
      <c r="CE50" s="65"/>
      <c r="CF50" s="65"/>
      <c r="CG50" s="65"/>
      <c r="CH50" s="65"/>
      <c r="CI50" s="65"/>
      <c r="CJ50" s="65"/>
      <c r="CK50" s="65"/>
    </row>
    <row r="51" spans="1:89" s="11" customFormat="1" ht="12.6" customHeight="1" x14ac:dyDescent="0.25">
      <c r="A51" s="15" t="str">
        <f>RIGHT(data!$C$97,3)</f>
        <v>164</v>
      </c>
      <c r="B51" s="223" t="str">
        <f>RIGHT(data!$C$96,4)</f>
        <v>2022</v>
      </c>
      <c r="C51" s="15" t="str">
        <f>data!AZ$55</f>
        <v>8330</v>
      </c>
      <c r="D51" s="15" t="s">
        <v>1120</v>
      </c>
      <c r="E51" s="221">
        <f>ROUND(data!AZ59,0)</f>
        <v>743097</v>
      </c>
      <c r="F51" s="211">
        <f>ROUND(data!AZ60,2)</f>
        <v>53.98</v>
      </c>
      <c r="G51" s="221">
        <f>ROUND(data!AZ61,0)</f>
        <v>2900587</v>
      </c>
      <c r="H51" s="221">
        <f>ROUND(data!AZ62,0)</f>
        <v>984284</v>
      </c>
      <c r="I51" s="221">
        <f>ROUND(data!AZ63,0)</f>
        <v>126</v>
      </c>
      <c r="J51" s="221">
        <f>ROUND(data!AZ64,0)</f>
        <v>2035359</v>
      </c>
      <c r="K51" s="221">
        <f>ROUND(data!AZ65,0)</f>
        <v>0</v>
      </c>
      <c r="L51" s="221">
        <f>ROUND(data!AZ66,0)</f>
        <v>269763</v>
      </c>
      <c r="M51" s="65">
        <f>ROUND(data!AZ67,0)</f>
        <v>745045</v>
      </c>
      <c r="N51" s="221">
        <f>ROUND(data!AZ68,0)</f>
        <v>10876</v>
      </c>
      <c r="O51" s="221">
        <f>ROUND(data!AZ69,0)</f>
        <v>197</v>
      </c>
      <c r="P51" s="221">
        <f>ROUND(data!AZ70,0)</f>
        <v>0</v>
      </c>
      <c r="Q51" s="221">
        <f>ROUND(data!AZ71,0)</f>
        <v>0</v>
      </c>
      <c r="R51" s="221">
        <f>ROUND(data!AZ72,0)</f>
        <v>0</v>
      </c>
      <c r="S51" s="221">
        <f>ROUND(data!AZ73,0)</f>
        <v>0</v>
      </c>
      <c r="T51" s="221">
        <f>ROUND(data!AZ74,0)</f>
        <v>0</v>
      </c>
      <c r="U51" s="221">
        <f>ROUND(data!AZ75,0)</f>
        <v>0</v>
      </c>
      <c r="V51" s="221">
        <f>ROUND(data!AZ76,0)</f>
        <v>0</v>
      </c>
      <c r="W51" s="221">
        <f>ROUND(data!AZ77,0)</f>
        <v>0</v>
      </c>
      <c r="X51" s="221">
        <f>ROUND(data!AZ78,0)</f>
        <v>0</v>
      </c>
      <c r="Y51" s="221">
        <f>ROUND(data!AZ79,0)</f>
        <v>0</v>
      </c>
      <c r="Z51" s="221">
        <f>ROUND(data!AZ80,0)</f>
        <v>0</v>
      </c>
      <c r="AA51" s="221">
        <f>ROUND(data!AZ81,0)</f>
        <v>0</v>
      </c>
      <c r="AB51" s="221">
        <f>ROUND(data!AZ82,0)</f>
        <v>0</v>
      </c>
      <c r="AC51" s="221">
        <f>ROUND(data!AZ83,0)</f>
        <v>197</v>
      </c>
      <c r="AD51" s="221">
        <f>ROUND(data!AZ84,0)</f>
        <v>1795500</v>
      </c>
      <c r="AE51" s="221"/>
      <c r="AF51" s="221"/>
      <c r="AG51" s="221">
        <f>IF(data!AZ90&gt;0,ROUND(data!AZ90,0),0)</f>
        <v>23579</v>
      </c>
      <c r="AH51" s="221">
        <f>IFERROR(IF(data!AZ$91&gt;0,ROUND(data!AZ$91,0),0),0)</f>
        <v>0</v>
      </c>
      <c r="AI51" s="221">
        <f>IFERROR(IF(data!AZ$92&gt;0,ROUND(data!AZ$92,0),0),0)</f>
        <v>0</v>
      </c>
      <c r="AJ51" s="221">
        <f>IFERROR(IF(data!AZ$93&gt;0,ROUND(data!AZ$93,0),0),0)</f>
        <v>0</v>
      </c>
      <c r="AK51" s="211">
        <f>IFERROR(IF(data!AZ$94&gt;0,ROUND(data!AZ$94,2),0),0)</f>
        <v>0</v>
      </c>
      <c r="AL51" s="65"/>
      <c r="AM51" s="65"/>
      <c r="AN51" s="65"/>
      <c r="AO51" s="65"/>
      <c r="AP51" s="65"/>
      <c r="AQ51" s="65"/>
      <c r="AR51" s="65"/>
      <c r="AS51" s="65"/>
      <c r="AT51" s="65"/>
      <c r="AU51" s="65"/>
      <c r="AV51" s="65"/>
      <c r="AW51" s="65"/>
      <c r="AX51" s="65"/>
      <c r="AY51" s="65"/>
      <c r="AZ51" s="65"/>
      <c r="BA51" s="65"/>
      <c r="BB51" s="65"/>
      <c r="BC51" s="65"/>
      <c r="BD51" s="65"/>
      <c r="BE51" s="65"/>
      <c r="BF51" s="65"/>
      <c r="BG51" s="65"/>
      <c r="BH51" s="65"/>
      <c r="BI51" s="65"/>
      <c r="BJ51" s="65"/>
      <c r="BK51" s="65"/>
      <c r="BL51" s="65"/>
      <c r="BM51" s="65"/>
      <c r="BN51" s="65"/>
      <c r="BO51" s="65"/>
      <c r="BP51" s="65"/>
      <c r="BQ51" s="65"/>
      <c r="BR51" s="65"/>
      <c r="BS51" s="65"/>
      <c r="BT51" s="65"/>
      <c r="BU51" s="65"/>
      <c r="BV51" s="65"/>
      <c r="BW51" s="65"/>
      <c r="BX51" s="65"/>
      <c r="BY51" s="65"/>
      <c r="BZ51" s="65"/>
      <c r="CA51" s="65"/>
      <c r="CB51" s="65"/>
      <c r="CC51" s="65"/>
      <c r="CD51" s="65"/>
      <c r="CE51" s="65"/>
      <c r="CF51" s="65"/>
      <c r="CG51" s="65"/>
      <c r="CH51" s="65"/>
      <c r="CI51" s="65"/>
      <c r="CJ51" s="65"/>
      <c r="CK51" s="65"/>
    </row>
    <row r="52" spans="1:89" s="11" customFormat="1" ht="12.6" customHeight="1" x14ac:dyDescent="0.25">
      <c r="A52" s="15" t="str">
        <f>RIGHT(data!$C$97,3)</f>
        <v>164</v>
      </c>
      <c r="B52" s="223" t="str">
        <f>RIGHT(data!$C$96,4)</f>
        <v>2022</v>
      </c>
      <c r="C52" s="15" t="str">
        <f>data!BA$55</f>
        <v>8350</v>
      </c>
      <c r="D52" s="15" t="s">
        <v>1120</v>
      </c>
      <c r="E52" s="221">
        <f>ROUND(data!BA59,0)</f>
        <v>0</v>
      </c>
      <c r="F52" s="211">
        <f>ROUND(data!BA60,2)</f>
        <v>5.46</v>
      </c>
      <c r="G52" s="221">
        <f>ROUND(data!BA61,0)</f>
        <v>266382</v>
      </c>
      <c r="H52" s="221">
        <f>ROUND(data!BA62,0)</f>
        <v>114825</v>
      </c>
      <c r="I52" s="221">
        <f>ROUND(data!BA63,0)</f>
        <v>0</v>
      </c>
      <c r="J52" s="221">
        <f>ROUND(data!BA64,0)</f>
        <v>35118</v>
      </c>
      <c r="K52" s="221">
        <f>ROUND(data!BA65,0)</f>
        <v>0</v>
      </c>
      <c r="L52" s="221">
        <f>ROUND(data!BA66,0)</f>
        <v>2</v>
      </c>
      <c r="M52" s="65">
        <f>ROUND(data!BA67,0)</f>
        <v>5511</v>
      </c>
      <c r="N52" s="221">
        <f>ROUND(data!BA68,0)</f>
        <v>0</v>
      </c>
      <c r="O52" s="221">
        <f>ROUND(data!BA69,0)</f>
        <v>0</v>
      </c>
      <c r="P52" s="221">
        <f>ROUND(data!BA70,0)</f>
        <v>0</v>
      </c>
      <c r="Q52" s="221">
        <f>ROUND(data!BA71,0)</f>
        <v>0</v>
      </c>
      <c r="R52" s="221">
        <f>ROUND(data!BA72,0)</f>
        <v>0</v>
      </c>
      <c r="S52" s="221">
        <f>ROUND(data!BA73,0)</f>
        <v>0</v>
      </c>
      <c r="T52" s="221">
        <f>ROUND(data!BA74,0)</f>
        <v>0</v>
      </c>
      <c r="U52" s="221">
        <f>ROUND(data!BA75,0)</f>
        <v>0</v>
      </c>
      <c r="V52" s="221">
        <f>ROUND(data!BA76,0)</f>
        <v>0</v>
      </c>
      <c r="W52" s="221">
        <f>ROUND(data!BA77,0)</f>
        <v>0</v>
      </c>
      <c r="X52" s="221">
        <f>ROUND(data!BA78,0)</f>
        <v>0</v>
      </c>
      <c r="Y52" s="221">
        <f>ROUND(data!BA79,0)</f>
        <v>0</v>
      </c>
      <c r="Z52" s="221">
        <f>ROUND(data!BA80,0)</f>
        <v>0</v>
      </c>
      <c r="AA52" s="221">
        <f>ROUND(data!BA81,0)</f>
        <v>0</v>
      </c>
      <c r="AB52" s="221">
        <f>ROUND(data!BA82,0)</f>
        <v>0</v>
      </c>
      <c r="AC52" s="221">
        <f>ROUND(data!BA83,0)</f>
        <v>0</v>
      </c>
      <c r="AD52" s="221">
        <f>ROUND(data!BA84,0)</f>
        <v>0</v>
      </c>
      <c r="AE52" s="221"/>
      <c r="AF52" s="221"/>
      <c r="AG52" s="221">
        <f>IF(data!BA90&gt;0,ROUND(data!BA90,0),0)</f>
        <v>3589</v>
      </c>
      <c r="AH52" s="221">
        <f>IFERROR(IF(data!BA$91&gt;0,ROUND(data!BA$91,0),0),0)</f>
        <v>0</v>
      </c>
      <c r="AI52" s="221">
        <f>IFERROR(IF(data!BA$92&gt;0,ROUND(data!BA$92,0),0),0)</f>
        <v>458</v>
      </c>
      <c r="AJ52" s="221">
        <f>IFERROR(IF(data!BA$93&gt;0,ROUND(data!BA$93,0),0),0)</f>
        <v>0</v>
      </c>
      <c r="AK52" s="211">
        <f>IFERROR(IF(data!BA$94&gt;0,ROUND(data!BA$94,2),0),0)</f>
        <v>0</v>
      </c>
      <c r="AL52" s="65"/>
      <c r="AM52" s="65"/>
      <c r="AN52" s="65"/>
      <c r="AO52" s="65"/>
      <c r="AP52" s="65"/>
      <c r="AQ52" s="65"/>
      <c r="AR52" s="65"/>
      <c r="AS52" s="65"/>
      <c r="AT52" s="65"/>
      <c r="AU52" s="65"/>
      <c r="AV52" s="65"/>
      <c r="AW52" s="65"/>
      <c r="AX52" s="65"/>
      <c r="AY52" s="65"/>
      <c r="AZ52" s="65"/>
      <c r="BA52" s="65"/>
      <c r="BB52" s="65"/>
      <c r="BC52" s="65"/>
      <c r="BD52" s="65"/>
      <c r="BE52" s="65"/>
      <c r="BF52" s="65"/>
      <c r="BG52" s="65"/>
      <c r="BH52" s="65"/>
      <c r="BI52" s="65"/>
      <c r="BJ52" s="65"/>
      <c r="BK52" s="65"/>
      <c r="BL52" s="65"/>
      <c r="BM52" s="65"/>
      <c r="BN52" s="65"/>
      <c r="BO52" s="65"/>
      <c r="BP52" s="65"/>
      <c r="BQ52" s="65"/>
      <c r="BR52" s="65"/>
      <c r="BS52" s="65"/>
      <c r="BT52" s="65"/>
      <c r="BU52" s="65"/>
      <c r="BV52" s="65"/>
      <c r="BW52" s="65"/>
      <c r="BX52" s="65"/>
      <c r="BY52" s="65"/>
      <c r="BZ52" s="65"/>
      <c r="CA52" s="65"/>
      <c r="CB52" s="65"/>
      <c r="CC52" s="65"/>
      <c r="CD52" s="65"/>
      <c r="CE52" s="65"/>
      <c r="CF52" s="65"/>
      <c r="CG52" s="65"/>
      <c r="CH52" s="65"/>
      <c r="CI52" s="65"/>
      <c r="CJ52" s="65"/>
      <c r="CK52" s="65"/>
    </row>
    <row r="53" spans="1:89" s="11" customFormat="1" ht="12.6" customHeight="1" x14ac:dyDescent="0.25">
      <c r="A53" s="15" t="str">
        <f>RIGHT(data!$C$97,3)</f>
        <v>164</v>
      </c>
      <c r="B53" s="223" t="str">
        <f>RIGHT(data!$C$96,4)</f>
        <v>2022</v>
      </c>
      <c r="C53" s="15" t="str">
        <f>data!BB$55</f>
        <v>8360</v>
      </c>
      <c r="D53" s="15" t="s">
        <v>1120</v>
      </c>
      <c r="E53" s="221"/>
      <c r="F53" s="211">
        <f>ROUND(data!BB60,2)</f>
        <v>0.5</v>
      </c>
      <c r="G53" s="221">
        <f>ROUND(data!BB61,0)</f>
        <v>84749</v>
      </c>
      <c r="H53" s="221">
        <f>ROUND(data!BB62,0)</f>
        <v>0</v>
      </c>
      <c r="I53" s="221">
        <f>ROUND(data!BB63,0)</f>
        <v>0</v>
      </c>
      <c r="J53" s="221">
        <f>ROUND(data!BB64,0)</f>
        <v>0</v>
      </c>
      <c r="K53" s="221">
        <f>ROUND(data!BB65,0)</f>
        <v>0</v>
      </c>
      <c r="L53" s="221">
        <f>ROUND(data!BB66,0)</f>
        <v>240700</v>
      </c>
      <c r="M53" s="65">
        <f>ROUND(data!BB67,0)</f>
        <v>0</v>
      </c>
      <c r="N53" s="221">
        <f>ROUND(data!BB68,0)</f>
        <v>0</v>
      </c>
      <c r="O53" s="221">
        <f>ROUND(data!BB69,0)</f>
        <v>0</v>
      </c>
      <c r="P53" s="221">
        <f>ROUND(data!BB70,0)</f>
        <v>0</v>
      </c>
      <c r="Q53" s="221">
        <f>ROUND(data!BB71,0)</f>
        <v>0</v>
      </c>
      <c r="R53" s="221">
        <f>ROUND(data!BB72,0)</f>
        <v>0</v>
      </c>
      <c r="S53" s="221">
        <f>ROUND(data!BB73,0)</f>
        <v>0</v>
      </c>
      <c r="T53" s="221">
        <f>ROUND(data!BB74,0)</f>
        <v>0</v>
      </c>
      <c r="U53" s="221">
        <f>ROUND(data!BB75,0)</f>
        <v>0</v>
      </c>
      <c r="V53" s="221">
        <f>ROUND(data!BB76,0)</f>
        <v>0</v>
      </c>
      <c r="W53" s="221">
        <f>ROUND(data!BB77,0)</f>
        <v>0</v>
      </c>
      <c r="X53" s="221">
        <f>ROUND(data!BB78,0)</f>
        <v>0</v>
      </c>
      <c r="Y53" s="221">
        <f>ROUND(data!BB79,0)</f>
        <v>0</v>
      </c>
      <c r="Z53" s="221">
        <f>ROUND(data!BB80,0)</f>
        <v>0</v>
      </c>
      <c r="AA53" s="221">
        <f>ROUND(data!BB81,0)</f>
        <v>0</v>
      </c>
      <c r="AB53" s="221">
        <f>ROUND(data!BB82,0)</f>
        <v>0</v>
      </c>
      <c r="AC53" s="221">
        <f>ROUND(data!BB83,0)</f>
        <v>0</v>
      </c>
      <c r="AD53" s="221">
        <f>ROUND(data!BB84,0)</f>
        <v>0</v>
      </c>
      <c r="AE53" s="221"/>
      <c r="AF53" s="221"/>
      <c r="AG53" s="221">
        <f>IF(data!BB90&gt;0,ROUND(data!BB90,0),0)</f>
        <v>0</v>
      </c>
      <c r="AH53" s="221">
        <f>IFERROR(IF(data!BB$91&gt;0,ROUND(data!BB$91,0),0),0)</f>
        <v>0</v>
      </c>
      <c r="AI53" s="221">
        <f>IFERROR(IF(data!BB$92&gt;0,ROUND(data!BB$92,0),0),0)</f>
        <v>0</v>
      </c>
      <c r="AJ53" s="221">
        <f>IFERROR(IF(data!BB$93&gt;0,ROUND(data!BB$93,0),0),0)</f>
        <v>0</v>
      </c>
      <c r="AK53" s="211">
        <f>IFERROR(IF(data!BB$94&gt;0,ROUND(data!BB$94,2),0),0)</f>
        <v>0</v>
      </c>
      <c r="AL53" s="65"/>
      <c r="AM53" s="65"/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65"/>
      <c r="AY53" s="65"/>
      <c r="AZ53" s="65"/>
      <c r="BA53" s="65"/>
      <c r="BB53" s="65"/>
      <c r="BC53" s="65"/>
      <c r="BD53" s="65"/>
      <c r="BE53" s="65"/>
      <c r="BF53" s="65"/>
      <c r="BG53" s="65"/>
      <c r="BH53" s="65"/>
      <c r="BI53" s="65"/>
      <c r="BJ53" s="65"/>
      <c r="BK53" s="65"/>
      <c r="BL53" s="65"/>
      <c r="BM53" s="65"/>
      <c r="BN53" s="65"/>
      <c r="BO53" s="65"/>
      <c r="BP53" s="65"/>
      <c r="BQ53" s="65"/>
      <c r="BR53" s="65"/>
      <c r="BS53" s="65"/>
      <c r="BT53" s="65"/>
      <c r="BU53" s="65"/>
      <c r="BV53" s="65"/>
      <c r="BW53" s="65"/>
      <c r="BX53" s="65"/>
      <c r="BY53" s="65"/>
      <c r="BZ53" s="65"/>
      <c r="CA53" s="65"/>
      <c r="CB53" s="65"/>
      <c r="CC53" s="65"/>
      <c r="CD53" s="65"/>
      <c r="CE53" s="65"/>
      <c r="CF53" s="65"/>
      <c r="CG53" s="65"/>
      <c r="CH53" s="65"/>
      <c r="CI53" s="65"/>
      <c r="CJ53" s="65"/>
      <c r="CK53" s="65"/>
    </row>
    <row r="54" spans="1:89" s="11" customFormat="1" ht="12.6" customHeight="1" x14ac:dyDescent="0.25">
      <c r="A54" s="15" t="str">
        <f>RIGHT(data!$C$97,3)</f>
        <v>164</v>
      </c>
      <c r="B54" s="223" t="str">
        <f>RIGHT(data!$C$96,4)</f>
        <v>2022</v>
      </c>
      <c r="C54" s="15" t="str">
        <f>data!BC$55</f>
        <v>8370</v>
      </c>
      <c r="D54" s="15" t="s">
        <v>1120</v>
      </c>
      <c r="E54" s="221"/>
      <c r="F54" s="211">
        <f>ROUND(data!BC60,2)</f>
        <v>7.8</v>
      </c>
      <c r="G54" s="221">
        <f>ROUND(data!BC61,0)</f>
        <v>390127</v>
      </c>
      <c r="H54" s="221">
        <f>ROUND(data!BC62,0)</f>
        <v>112886</v>
      </c>
      <c r="I54" s="221">
        <f>ROUND(data!BC63,0)</f>
        <v>0</v>
      </c>
      <c r="J54" s="221">
        <f>ROUND(data!BC64,0)</f>
        <v>2391</v>
      </c>
      <c r="K54" s="221">
        <f>ROUND(data!BC65,0)</f>
        <v>0</v>
      </c>
      <c r="L54" s="221">
        <f>ROUND(data!BC66,0)</f>
        <v>0</v>
      </c>
      <c r="M54" s="65">
        <f>ROUND(data!BC67,0)</f>
        <v>11595</v>
      </c>
      <c r="N54" s="221">
        <f>ROUND(data!BC68,0)</f>
        <v>0</v>
      </c>
      <c r="O54" s="221">
        <f>ROUND(data!BC69,0)</f>
        <v>0</v>
      </c>
      <c r="P54" s="221">
        <f>ROUND(data!BC70,0)</f>
        <v>0</v>
      </c>
      <c r="Q54" s="221">
        <f>ROUND(data!BC71,0)</f>
        <v>0</v>
      </c>
      <c r="R54" s="221">
        <f>ROUND(data!BC72,0)</f>
        <v>0</v>
      </c>
      <c r="S54" s="221">
        <f>ROUND(data!BC73,0)</f>
        <v>0</v>
      </c>
      <c r="T54" s="221">
        <f>ROUND(data!BC74,0)</f>
        <v>0</v>
      </c>
      <c r="U54" s="221">
        <f>ROUND(data!BC75,0)</f>
        <v>0</v>
      </c>
      <c r="V54" s="221">
        <f>ROUND(data!BC76,0)</f>
        <v>0</v>
      </c>
      <c r="W54" s="221">
        <f>ROUND(data!BC77,0)</f>
        <v>0</v>
      </c>
      <c r="X54" s="221">
        <f>ROUND(data!BC78,0)</f>
        <v>0</v>
      </c>
      <c r="Y54" s="221">
        <f>ROUND(data!BC79,0)</f>
        <v>0</v>
      </c>
      <c r="Z54" s="221">
        <f>ROUND(data!BC80,0)</f>
        <v>0</v>
      </c>
      <c r="AA54" s="221">
        <f>ROUND(data!BC81,0)</f>
        <v>0</v>
      </c>
      <c r="AB54" s="221">
        <f>ROUND(data!BC82,0)</f>
        <v>0</v>
      </c>
      <c r="AC54" s="221">
        <f>ROUND(data!BC83,0)</f>
        <v>0</v>
      </c>
      <c r="AD54" s="221">
        <f>ROUND(data!BC84,0)</f>
        <v>0</v>
      </c>
      <c r="AE54" s="221"/>
      <c r="AF54" s="221"/>
      <c r="AG54" s="221">
        <f>IF(data!BC90&gt;0,ROUND(data!BC90,0),0)</f>
        <v>0</v>
      </c>
      <c r="AH54" s="221">
        <f>IFERROR(IF(data!BC$91&gt;0,ROUND(data!BC$91,0),0),0)</f>
        <v>0</v>
      </c>
      <c r="AI54" s="221">
        <f>IFERROR(IF(data!BC$92&gt;0,ROUND(data!BC$92,0),0),0)</f>
        <v>0</v>
      </c>
      <c r="AJ54" s="221">
        <f>IFERROR(IF(data!BC$93&gt;0,ROUND(data!BC$93,0),0),0)</f>
        <v>0</v>
      </c>
      <c r="AK54" s="211">
        <f>IFERROR(IF(data!BC$94&gt;0,ROUND(data!BC$94,2),0),0)</f>
        <v>0</v>
      </c>
      <c r="AL54" s="65"/>
      <c r="AM54" s="65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  <c r="AY54" s="65"/>
      <c r="AZ54" s="65"/>
      <c r="BA54" s="65"/>
      <c r="BB54" s="65"/>
      <c r="BC54" s="65"/>
      <c r="BD54" s="65"/>
      <c r="BE54" s="65"/>
      <c r="BF54" s="65"/>
      <c r="BG54" s="65"/>
      <c r="BH54" s="65"/>
      <c r="BI54" s="65"/>
      <c r="BJ54" s="65"/>
      <c r="BK54" s="65"/>
      <c r="BL54" s="65"/>
      <c r="BM54" s="65"/>
      <c r="BN54" s="65"/>
      <c r="BO54" s="65"/>
      <c r="BP54" s="65"/>
      <c r="BQ54" s="65"/>
      <c r="BR54" s="65"/>
      <c r="BS54" s="65"/>
      <c r="BT54" s="65"/>
      <c r="BU54" s="65"/>
      <c r="BV54" s="65"/>
      <c r="BW54" s="65"/>
      <c r="BX54" s="65"/>
      <c r="BY54" s="65"/>
      <c r="BZ54" s="65"/>
      <c r="CA54" s="65"/>
      <c r="CB54" s="65"/>
      <c r="CC54" s="65"/>
      <c r="CD54" s="65"/>
      <c r="CE54" s="65"/>
      <c r="CF54" s="65"/>
      <c r="CG54" s="65"/>
      <c r="CH54" s="65"/>
      <c r="CI54" s="65"/>
      <c r="CJ54" s="65"/>
      <c r="CK54" s="65"/>
    </row>
    <row r="55" spans="1:89" s="11" customFormat="1" ht="12.6" customHeight="1" x14ac:dyDescent="0.25">
      <c r="A55" s="15" t="str">
        <f>RIGHT(data!$C$97,3)</f>
        <v>164</v>
      </c>
      <c r="B55" s="223" t="str">
        <f>RIGHT(data!$C$96,4)</f>
        <v>2022</v>
      </c>
      <c r="C55" s="15" t="str">
        <f>data!BD$55</f>
        <v>8420</v>
      </c>
      <c r="D55" s="15" t="s">
        <v>1120</v>
      </c>
      <c r="E55" s="221"/>
      <c r="F55" s="211">
        <f>ROUND(data!BD60,2)</f>
        <v>37.479999999999997</v>
      </c>
      <c r="G55" s="221">
        <f>ROUND(data!BD61,0)</f>
        <v>2541999</v>
      </c>
      <c r="H55" s="221">
        <f>ROUND(data!BD62,0)</f>
        <v>756122</v>
      </c>
      <c r="I55" s="221">
        <f>ROUND(data!BD63,0)</f>
        <v>0</v>
      </c>
      <c r="J55" s="221">
        <f>ROUND(data!BD64,0)</f>
        <v>78310</v>
      </c>
      <c r="K55" s="221">
        <f>ROUND(data!BD65,0)</f>
        <v>0</v>
      </c>
      <c r="L55" s="221">
        <f>ROUND(data!BD66,0)</f>
        <v>9181</v>
      </c>
      <c r="M55" s="65">
        <f>ROUND(data!BD67,0)</f>
        <v>68466</v>
      </c>
      <c r="N55" s="221">
        <f>ROUND(data!BD68,0)</f>
        <v>0</v>
      </c>
      <c r="O55" s="221">
        <f>ROUND(data!BD69,0)</f>
        <v>202473</v>
      </c>
      <c r="P55" s="221">
        <f>ROUND(data!BD70,0)</f>
        <v>0</v>
      </c>
      <c r="Q55" s="221">
        <f>ROUND(data!BD71,0)</f>
        <v>0</v>
      </c>
      <c r="R55" s="221">
        <f>ROUND(data!BD72,0)</f>
        <v>0</v>
      </c>
      <c r="S55" s="221">
        <f>ROUND(data!BD73,0)</f>
        <v>0</v>
      </c>
      <c r="T55" s="221">
        <f>ROUND(data!BD74,0)</f>
        <v>0</v>
      </c>
      <c r="U55" s="221">
        <f>ROUND(data!BD75,0)</f>
        <v>0</v>
      </c>
      <c r="V55" s="221">
        <f>ROUND(data!BD76,0)</f>
        <v>0</v>
      </c>
      <c r="W55" s="221">
        <f>ROUND(data!BD77,0)</f>
        <v>0</v>
      </c>
      <c r="X55" s="221">
        <f>ROUND(data!BD78,0)</f>
        <v>0</v>
      </c>
      <c r="Y55" s="221">
        <f>ROUND(data!BD79,0)</f>
        <v>0</v>
      </c>
      <c r="Z55" s="221">
        <f>ROUND(data!BD80,0)</f>
        <v>0</v>
      </c>
      <c r="AA55" s="221">
        <f>ROUND(data!BD81,0)</f>
        <v>0</v>
      </c>
      <c r="AB55" s="221">
        <f>ROUND(data!BD82,0)</f>
        <v>0</v>
      </c>
      <c r="AC55" s="221">
        <f>ROUND(data!BD83,0)</f>
        <v>202473</v>
      </c>
      <c r="AD55" s="221">
        <f>ROUND(data!BD84,0)</f>
        <v>37186</v>
      </c>
      <c r="AE55" s="221"/>
      <c r="AF55" s="221"/>
      <c r="AG55" s="221">
        <f>IF(data!BD90&gt;0,ROUND(data!BD90,0),0)</f>
        <v>9077</v>
      </c>
      <c r="AH55" s="221">
        <f>IFERROR(IF(data!BD$91&gt;0,ROUND(data!BD$91,0),0),0)</f>
        <v>0</v>
      </c>
      <c r="AI55" s="221">
        <f>IFERROR(IF(data!BD$92&gt;0,ROUND(data!BD$92,0),0),0)</f>
        <v>0</v>
      </c>
      <c r="AJ55" s="221">
        <f>IFERROR(IF(data!BD$93&gt;0,ROUND(data!BD$93,0),0),0)</f>
        <v>0</v>
      </c>
      <c r="AK55" s="211">
        <f>IFERROR(IF(data!BD$94&gt;0,ROUND(data!BD$94,2),0),0)</f>
        <v>0</v>
      </c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  <c r="AZ55" s="65"/>
      <c r="BA55" s="65"/>
      <c r="BB55" s="65"/>
      <c r="BC55" s="65"/>
      <c r="BD55" s="65"/>
      <c r="BE55" s="65"/>
      <c r="BF55" s="65"/>
      <c r="BG55" s="65"/>
      <c r="BH55" s="65"/>
      <c r="BI55" s="65"/>
      <c r="BJ55" s="65"/>
      <c r="BK55" s="65"/>
      <c r="BL55" s="65"/>
      <c r="BM55" s="65"/>
      <c r="BN55" s="65"/>
      <c r="BO55" s="65"/>
      <c r="BP55" s="65"/>
      <c r="BQ55" s="65"/>
      <c r="BR55" s="65"/>
      <c r="BS55" s="65"/>
      <c r="BT55" s="65"/>
      <c r="BU55" s="65"/>
      <c r="BV55" s="65"/>
      <c r="BW55" s="65"/>
      <c r="BX55" s="65"/>
      <c r="BY55" s="65"/>
      <c r="BZ55" s="65"/>
      <c r="CA55" s="65"/>
      <c r="CB55" s="65"/>
      <c r="CC55" s="65"/>
      <c r="CD55" s="65"/>
      <c r="CE55" s="65"/>
      <c r="CF55" s="65"/>
      <c r="CG55" s="65"/>
      <c r="CH55" s="65"/>
      <c r="CI55" s="65"/>
      <c r="CJ55" s="65"/>
      <c r="CK55" s="65"/>
    </row>
    <row r="56" spans="1:89" s="11" customFormat="1" ht="12.6" customHeight="1" x14ac:dyDescent="0.25">
      <c r="A56" s="15" t="str">
        <f>RIGHT(data!$C$97,3)</f>
        <v>164</v>
      </c>
      <c r="B56" s="223" t="str">
        <f>RIGHT(data!$C$96,4)</f>
        <v>2022</v>
      </c>
      <c r="C56" s="15" t="str">
        <f>data!BE$55</f>
        <v>8430</v>
      </c>
      <c r="D56" s="15" t="s">
        <v>1120</v>
      </c>
      <c r="E56" s="221">
        <f>ROUND(data!BE59,0)</f>
        <v>679195</v>
      </c>
      <c r="F56" s="211">
        <f>ROUND(data!BE60,2)</f>
        <v>49.18</v>
      </c>
      <c r="G56" s="221">
        <f>ROUND(data!BE61,0)</f>
        <v>3778027</v>
      </c>
      <c r="H56" s="221">
        <f>ROUND(data!BE62,0)</f>
        <v>1046406</v>
      </c>
      <c r="I56" s="221">
        <f>ROUND(data!BE63,0)</f>
        <v>338</v>
      </c>
      <c r="J56" s="221">
        <f>ROUND(data!BE64,0)</f>
        <v>491617</v>
      </c>
      <c r="K56" s="221">
        <f>ROUND(data!BE65,0)</f>
        <v>4610710</v>
      </c>
      <c r="L56" s="221">
        <f>ROUND(data!BE66,0)</f>
        <v>2905583</v>
      </c>
      <c r="M56" s="65">
        <f>ROUND(data!BE67,0)</f>
        <v>8671469</v>
      </c>
      <c r="N56" s="221">
        <f>ROUND(data!BE68,0)</f>
        <v>1207825</v>
      </c>
      <c r="O56" s="221">
        <f>ROUND(data!BE69,0)</f>
        <v>200032</v>
      </c>
      <c r="P56" s="221">
        <f>ROUND(data!BE70,0)</f>
        <v>0</v>
      </c>
      <c r="Q56" s="221">
        <f>ROUND(data!BE71,0)</f>
        <v>0</v>
      </c>
      <c r="R56" s="221">
        <f>ROUND(data!BE72,0)</f>
        <v>0</v>
      </c>
      <c r="S56" s="221">
        <f>ROUND(data!BE73,0)</f>
        <v>0</v>
      </c>
      <c r="T56" s="221">
        <f>ROUND(data!BE74,0)</f>
        <v>0</v>
      </c>
      <c r="U56" s="221">
        <f>ROUND(data!BE75,0)</f>
        <v>0</v>
      </c>
      <c r="V56" s="221">
        <f>ROUND(data!BE76,0)</f>
        <v>0</v>
      </c>
      <c r="W56" s="221">
        <f>ROUND(data!BE77,0)</f>
        <v>0</v>
      </c>
      <c r="X56" s="221">
        <f>ROUND(data!BE78,0)</f>
        <v>0</v>
      </c>
      <c r="Y56" s="221">
        <f>ROUND(data!BE79,0)</f>
        <v>0</v>
      </c>
      <c r="Z56" s="221">
        <f>ROUND(data!BE80,0)</f>
        <v>0</v>
      </c>
      <c r="AA56" s="221">
        <f>ROUND(data!BE81,0)</f>
        <v>0</v>
      </c>
      <c r="AB56" s="221">
        <f>ROUND(data!BE82,0)</f>
        <v>0</v>
      </c>
      <c r="AC56" s="221">
        <f>ROUND(data!BE83,0)</f>
        <v>200032</v>
      </c>
      <c r="AD56" s="221">
        <f>ROUND(data!BE84,0)</f>
        <v>7357122</v>
      </c>
      <c r="AE56" s="221"/>
      <c r="AF56" s="221"/>
      <c r="AG56" s="221">
        <f>IF(data!BE90&gt;0,ROUND(data!BE90,0),0)</f>
        <v>679195</v>
      </c>
      <c r="AH56" s="221">
        <f>IFERROR(IF(data!BE$91&gt;0,ROUND(data!BE$91,0),0),0)</f>
        <v>0</v>
      </c>
      <c r="AI56" s="221">
        <f>IFERROR(IF(data!BE$92&gt;0,ROUND(data!BE$92,0),0),0)</f>
        <v>0</v>
      </c>
      <c r="AJ56" s="221">
        <f>IFERROR(IF(data!BE$93&gt;0,ROUND(data!BE$93,0),0),0)</f>
        <v>0</v>
      </c>
      <c r="AK56" s="211">
        <f>IFERROR(IF(data!BE$94&gt;0,ROUND(data!BE$94,2),0),0)</f>
        <v>0</v>
      </c>
      <c r="AL56" s="65"/>
      <c r="AM56" s="65"/>
      <c r="AN56" s="65"/>
      <c r="AO56" s="65"/>
      <c r="AP56" s="65"/>
      <c r="AQ56" s="65"/>
      <c r="AR56" s="65"/>
      <c r="AS56" s="65"/>
      <c r="AT56" s="65"/>
      <c r="AU56" s="65"/>
      <c r="AV56" s="65"/>
      <c r="AW56" s="65"/>
      <c r="AX56" s="65"/>
      <c r="AY56" s="65"/>
      <c r="AZ56" s="65"/>
      <c r="BA56" s="65"/>
      <c r="BB56" s="65"/>
      <c r="BC56" s="65"/>
      <c r="BD56" s="65"/>
      <c r="BE56" s="65"/>
      <c r="BF56" s="65"/>
      <c r="BG56" s="65"/>
      <c r="BH56" s="65"/>
      <c r="BI56" s="65"/>
      <c r="BJ56" s="65"/>
      <c r="BK56" s="65"/>
      <c r="BL56" s="65"/>
      <c r="BM56" s="65"/>
      <c r="BN56" s="65"/>
      <c r="BO56" s="65"/>
      <c r="BP56" s="65"/>
      <c r="BQ56" s="65"/>
      <c r="BR56" s="65"/>
      <c r="BS56" s="65"/>
      <c r="BT56" s="65"/>
      <c r="BU56" s="65"/>
      <c r="BV56" s="65"/>
      <c r="BW56" s="65"/>
      <c r="BX56" s="65"/>
      <c r="BY56" s="65"/>
      <c r="BZ56" s="65"/>
      <c r="CA56" s="65"/>
      <c r="CB56" s="65"/>
      <c r="CC56" s="65"/>
      <c r="CD56" s="65"/>
      <c r="CE56" s="65"/>
      <c r="CF56" s="65"/>
      <c r="CG56" s="65"/>
      <c r="CH56" s="65"/>
      <c r="CI56" s="65"/>
      <c r="CJ56" s="65"/>
      <c r="CK56" s="65"/>
    </row>
    <row r="57" spans="1:89" s="11" customFormat="1" ht="12.6" customHeight="1" x14ac:dyDescent="0.25">
      <c r="A57" s="15" t="str">
        <f>RIGHT(data!$C$97,3)</f>
        <v>164</v>
      </c>
      <c r="B57" s="223" t="str">
        <f>RIGHT(data!$C$96,4)</f>
        <v>2022</v>
      </c>
      <c r="C57" s="15" t="str">
        <f>data!BF$55</f>
        <v>8460</v>
      </c>
      <c r="D57" s="15" t="s">
        <v>1120</v>
      </c>
      <c r="E57" s="221"/>
      <c r="F57" s="211">
        <f>ROUND(data!BF60,2)</f>
        <v>98.43</v>
      </c>
      <c r="G57" s="221">
        <f>ROUND(data!BF61,0)</f>
        <v>4990883</v>
      </c>
      <c r="H57" s="221">
        <f>ROUND(data!BF62,0)</f>
        <v>1747325</v>
      </c>
      <c r="I57" s="221">
        <f>ROUND(data!BF63,0)</f>
        <v>0</v>
      </c>
      <c r="J57" s="221">
        <f>ROUND(data!BF64,0)</f>
        <v>362151</v>
      </c>
      <c r="K57" s="221">
        <f>ROUND(data!BF65,0)</f>
        <v>521251</v>
      </c>
      <c r="L57" s="221">
        <f>ROUND(data!BF66,0)</f>
        <v>-1033133</v>
      </c>
      <c r="M57" s="65">
        <f>ROUND(data!BF67,0)</f>
        <v>65002</v>
      </c>
      <c r="N57" s="221">
        <f>ROUND(data!BF68,0)</f>
        <v>0</v>
      </c>
      <c r="O57" s="221">
        <f>ROUND(data!BF69,0)</f>
        <v>1556</v>
      </c>
      <c r="P57" s="221">
        <f>ROUND(data!BF70,0)</f>
        <v>0</v>
      </c>
      <c r="Q57" s="221">
        <f>ROUND(data!BF71,0)</f>
        <v>0</v>
      </c>
      <c r="R57" s="221">
        <f>ROUND(data!BF72,0)</f>
        <v>0</v>
      </c>
      <c r="S57" s="221">
        <f>ROUND(data!BF73,0)</f>
        <v>0</v>
      </c>
      <c r="T57" s="221">
        <f>ROUND(data!BF74,0)</f>
        <v>0</v>
      </c>
      <c r="U57" s="221">
        <f>ROUND(data!BF75,0)</f>
        <v>0</v>
      </c>
      <c r="V57" s="221">
        <f>ROUND(data!BF76,0)</f>
        <v>0</v>
      </c>
      <c r="W57" s="221">
        <f>ROUND(data!BF77,0)</f>
        <v>0</v>
      </c>
      <c r="X57" s="221">
        <f>ROUND(data!BF78,0)</f>
        <v>0</v>
      </c>
      <c r="Y57" s="221">
        <f>ROUND(data!BF79,0)</f>
        <v>0</v>
      </c>
      <c r="Z57" s="221">
        <f>ROUND(data!BF80,0)</f>
        <v>0</v>
      </c>
      <c r="AA57" s="221">
        <f>ROUND(data!BF81,0)</f>
        <v>0</v>
      </c>
      <c r="AB57" s="221">
        <f>ROUND(data!BF82,0)</f>
        <v>0</v>
      </c>
      <c r="AC57" s="221">
        <f>ROUND(data!BF83,0)</f>
        <v>1556</v>
      </c>
      <c r="AD57" s="221">
        <f>ROUND(data!BF84,0)</f>
        <v>13802</v>
      </c>
      <c r="AE57" s="221"/>
      <c r="AF57" s="221"/>
      <c r="AG57" s="221">
        <f>IF(data!BF90&gt;0,ROUND(data!BF90,0),0)</f>
        <v>9629</v>
      </c>
      <c r="AH57" s="221">
        <f>IFERROR(IF(data!BF$91&gt;0,ROUND(data!BF$91,0),0),0)</f>
        <v>0</v>
      </c>
      <c r="AI57" s="221">
        <f>IFERROR(IF(data!BF$92&gt;0,ROUND(data!BF$92,0),0),0)</f>
        <v>0</v>
      </c>
      <c r="AJ57" s="221">
        <f>IFERROR(IF(data!BF$93&gt;0,ROUND(data!BF$93,0),0),0)</f>
        <v>0</v>
      </c>
      <c r="AK57" s="211">
        <f>IFERROR(IF(data!BF$94&gt;0,ROUND(data!BF$94,2),0),0)</f>
        <v>0</v>
      </c>
      <c r="AL57" s="65"/>
      <c r="AM57" s="65"/>
      <c r="AN57" s="65"/>
      <c r="AO57" s="65"/>
      <c r="AP57" s="65"/>
      <c r="AQ57" s="65"/>
      <c r="AR57" s="65"/>
      <c r="AS57" s="65"/>
      <c r="AT57" s="65"/>
      <c r="AU57" s="65"/>
      <c r="AV57" s="65"/>
      <c r="AW57" s="65"/>
      <c r="AX57" s="65"/>
      <c r="AY57" s="65"/>
      <c r="AZ57" s="65"/>
      <c r="BA57" s="65"/>
      <c r="BB57" s="65"/>
      <c r="BC57" s="65"/>
      <c r="BD57" s="65"/>
      <c r="BE57" s="65"/>
      <c r="BF57" s="65"/>
      <c r="BG57" s="65"/>
      <c r="BH57" s="65"/>
      <c r="BI57" s="65"/>
      <c r="BJ57" s="65"/>
      <c r="BK57" s="65"/>
      <c r="BL57" s="65"/>
      <c r="BM57" s="65"/>
      <c r="BN57" s="65"/>
      <c r="BO57" s="65"/>
      <c r="BP57" s="65"/>
      <c r="BQ57" s="65"/>
      <c r="BR57" s="65"/>
      <c r="BS57" s="65"/>
      <c r="BT57" s="65"/>
      <c r="BU57" s="65"/>
      <c r="BV57" s="65"/>
      <c r="BW57" s="65"/>
      <c r="BX57" s="65"/>
      <c r="BY57" s="65"/>
      <c r="BZ57" s="65"/>
      <c r="CA57" s="65"/>
      <c r="CB57" s="65"/>
      <c r="CC57" s="65"/>
      <c r="CD57" s="65"/>
      <c r="CE57" s="65"/>
      <c r="CF57" s="65"/>
      <c r="CG57" s="65"/>
      <c r="CH57" s="65"/>
      <c r="CI57" s="65"/>
      <c r="CJ57" s="65"/>
      <c r="CK57" s="65"/>
    </row>
    <row r="58" spans="1:89" s="11" customFormat="1" ht="12.6" customHeight="1" x14ac:dyDescent="0.25">
      <c r="A58" s="15" t="str">
        <f>RIGHT(data!$C$97,3)</f>
        <v>164</v>
      </c>
      <c r="B58" s="223" t="str">
        <f>RIGHT(data!$C$96,4)</f>
        <v>2022</v>
      </c>
      <c r="C58" s="15" t="str">
        <f>data!BG$55</f>
        <v>8470</v>
      </c>
      <c r="D58" s="15" t="s">
        <v>1120</v>
      </c>
      <c r="E58" s="221"/>
      <c r="F58" s="211">
        <f>ROUND(data!BG60,2)</f>
        <v>16.489999999999998</v>
      </c>
      <c r="G58" s="221">
        <f>ROUND(data!BG61,0)</f>
        <v>1308259</v>
      </c>
      <c r="H58" s="221">
        <f>ROUND(data!BG62,0)</f>
        <v>273333</v>
      </c>
      <c r="I58" s="221">
        <f>ROUND(data!BG63,0)</f>
        <v>0</v>
      </c>
      <c r="J58" s="221">
        <f>ROUND(data!BG64,0)</f>
        <v>147835</v>
      </c>
      <c r="K58" s="221">
        <f>ROUND(data!BG65,0)</f>
        <v>1290825</v>
      </c>
      <c r="L58" s="221">
        <f>ROUND(data!BG66,0)</f>
        <v>1319776</v>
      </c>
      <c r="M58" s="65">
        <f>ROUND(data!BG67,0)</f>
        <v>58176</v>
      </c>
      <c r="N58" s="221">
        <f>ROUND(data!BG68,0)</f>
        <v>10307</v>
      </c>
      <c r="O58" s="221">
        <f>ROUND(data!BG69,0)</f>
        <v>0</v>
      </c>
      <c r="P58" s="221">
        <f>ROUND(data!BG70,0)</f>
        <v>0</v>
      </c>
      <c r="Q58" s="221">
        <f>ROUND(data!BG71,0)</f>
        <v>0</v>
      </c>
      <c r="R58" s="221">
        <f>ROUND(data!BG72,0)</f>
        <v>0</v>
      </c>
      <c r="S58" s="221">
        <f>ROUND(data!BG73,0)</f>
        <v>0</v>
      </c>
      <c r="T58" s="221">
        <f>ROUND(data!BG74,0)</f>
        <v>0</v>
      </c>
      <c r="U58" s="221">
        <f>ROUND(data!BG75,0)</f>
        <v>0</v>
      </c>
      <c r="V58" s="221">
        <f>ROUND(data!BG76,0)</f>
        <v>0</v>
      </c>
      <c r="W58" s="221">
        <f>ROUND(data!BG77,0)</f>
        <v>0</v>
      </c>
      <c r="X58" s="221">
        <f>ROUND(data!BG78,0)</f>
        <v>0</v>
      </c>
      <c r="Y58" s="221">
        <f>ROUND(data!BG79,0)</f>
        <v>0</v>
      </c>
      <c r="Z58" s="221">
        <f>ROUND(data!BG80,0)</f>
        <v>0</v>
      </c>
      <c r="AA58" s="221">
        <f>ROUND(data!BG81,0)</f>
        <v>0</v>
      </c>
      <c r="AB58" s="221">
        <f>ROUND(data!BG82,0)</f>
        <v>0</v>
      </c>
      <c r="AC58" s="221">
        <f>ROUND(data!BG83,0)</f>
        <v>0</v>
      </c>
      <c r="AD58" s="221">
        <f>ROUND(data!BG84,0)</f>
        <v>276317</v>
      </c>
      <c r="AE58" s="221"/>
      <c r="AF58" s="221"/>
      <c r="AG58" s="221">
        <f>IF(data!BG90&gt;0,ROUND(data!BG90,0),0)</f>
        <v>5077</v>
      </c>
      <c r="AH58" s="221">
        <f>IFERROR(IF(data!BG$91&gt;0,ROUND(data!BG$91,0),0),0)</f>
        <v>0</v>
      </c>
      <c r="AI58" s="221">
        <f>IFERROR(IF(data!BG$92&gt;0,ROUND(data!BG$92,0),0),0)</f>
        <v>0</v>
      </c>
      <c r="AJ58" s="221">
        <f>IFERROR(IF(data!BG$93&gt;0,ROUND(data!BG$93,0),0),0)</f>
        <v>0</v>
      </c>
      <c r="AK58" s="211">
        <f>IFERROR(IF(data!BG$94&gt;0,ROUND(data!BG$94,2),0),0)</f>
        <v>0</v>
      </c>
      <c r="AL58" s="65"/>
      <c r="AM58" s="65"/>
      <c r="AN58" s="65"/>
      <c r="AO58" s="65"/>
      <c r="AP58" s="65"/>
      <c r="AQ58" s="65"/>
      <c r="AR58" s="65"/>
      <c r="AS58" s="65"/>
      <c r="AT58" s="65"/>
      <c r="AU58" s="65"/>
      <c r="AV58" s="65"/>
      <c r="AW58" s="65"/>
      <c r="AX58" s="65"/>
      <c r="AY58" s="65"/>
      <c r="AZ58" s="65"/>
      <c r="BA58" s="65"/>
      <c r="BB58" s="65"/>
      <c r="BC58" s="65"/>
      <c r="BD58" s="65"/>
      <c r="BE58" s="65"/>
      <c r="BF58" s="65"/>
      <c r="BG58" s="65"/>
      <c r="BH58" s="65"/>
      <c r="BI58" s="65"/>
      <c r="BJ58" s="65"/>
      <c r="BK58" s="65"/>
      <c r="BL58" s="65"/>
      <c r="BM58" s="65"/>
      <c r="BN58" s="65"/>
      <c r="BO58" s="65"/>
      <c r="BP58" s="65"/>
      <c r="BQ58" s="65"/>
      <c r="BR58" s="65"/>
      <c r="BS58" s="65"/>
      <c r="BT58" s="65"/>
      <c r="BU58" s="65"/>
      <c r="BV58" s="65"/>
      <c r="BW58" s="65"/>
      <c r="BX58" s="65"/>
      <c r="BY58" s="65"/>
      <c r="BZ58" s="65"/>
      <c r="CA58" s="65"/>
      <c r="CB58" s="65"/>
      <c r="CC58" s="65"/>
      <c r="CD58" s="65"/>
      <c r="CE58" s="65"/>
      <c r="CF58" s="65"/>
      <c r="CG58" s="65"/>
      <c r="CH58" s="65"/>
      <c r="CI58" s="65"/>
      <c r="CJ58" s="65"/>
      <c r="CK58" s="65"/>
    </row>
    <row r="59" spans="1:89" s="11" customFormat="1" ht="12.6" customHeight="1" x14ac:dyDescent="0.25">
      <c r="A59" s="15" t="str">
        <f>RIGHT(data!$C$97,3)</f>
        <v>164</v>
      </c>
      <c r="B59" s="223" t="str">
        <f>RIGHT(data!$C$96,4)</f>
        <v>2022</v>
      </c>
      <c r="C59" s="15" t="str">
        <f>data!BH$55</f>
        <v>8480</v>
      </c>
      <c r="D59" s="15" t="s">
        <v>1120</v>
      </c>
      <c r="E59" s="221"/>
      <c r="F59" s="211">
        <f>ROUND(data!BH60,2)</f>
        <v>141.16999999999999</v>
      </c>
      <c r="G59" s="221">
        <f>ROUND(data!BH61,0)</f>
        <v>18592548</v>
      </c>
      <c r="H59" s="221">
        <f>ROUND(data!BH62,0)</f>
        <v>2806413</v>
      </c>
      <c r="I59" s="221">
        <f>ROUND(data!BH63,0)</f>
        <v>1950</v>
      </c>
      <c r="J59" s="221">
        <f>ROUND(data!BH64,0)</f>
        <v>1831359</v>
      </c>
      <c r="K59" s="221">
        <f>ROUND(data!BH65,0)</f>
        <v>1387</v>
      </c>
      <c r="L59" s="221">
        <f>ROUND(data!BH66,0)</f>
        <v>32166389</v>
      </c>
      <c r="M59" s="65">
        <f>ROUND(data!BH67,0)</f>
        <v>7013961</v>
      </c>
      <c r="N59" s="221">
        <f>ROUND(data!BH68,0)</f>
        <v>0</v>
      </c>
      <c r="O59" s="221">
        <f>ROUND(data!BH69,0)</f>
        <v>73104</v>
      </c>
      <c r="P59" s="221">
        <f>ROUND(data!BH70,0)</f>
        <v>0</v>
      </c>
      <c r="Q59" s="221">
        <f>ROUND(data!BH71,0)</f>
        <v>0</v>
      </c>
      <c r="R59" s="221">
        <f>ROUND(data!BH72,0)</f>
        <v>0</v>
      </c>
      <c r="S59" s="221">
        <f>ROUND(data!BH73,0)</f>
        <v>0</v>
      </c>
      <c r="T59" s="221">
        <f>ROUND(data!BH74,0)</f>
        <v>0</v>
      </c>
      <c r="U59" s="221">
        <f>ROUND(data!BH75,0)</f>
        <v>0</v>
      </c>
      <c r="V59" s="221">
        <f>ROUND(data!BH76,0)</f>
        <v>0</v>
      </c>
      <c r="W59" s="221">
        <f>ROUND(data!BH77,0)</f>
        <v>0</v>
      </c>
      <c r="X59" s="221">
        <f>ROUND(data!BH78,0)</f>
        <v>0</v>
      </c>
      <c r="Y59" s="221">
        <f>ROUND(data!BH79,0)</f>
        <v>0</v>
      </c>
      <c r="Z59" s="221">
        <f>ROUND(data!BH80,0)</f>
        <v>0</v>
      </c>
      <c r="AA59" s="221">
        <f>ROUND(data!BH81,0)</f>
        <v>0</v>
      </c>
      <c r="AB59" s="221">
        <f>ROUND(data!BH82,0)</f>
        <v>0</v>
      </c>
      <c r="AC59" s="221">
        <f>ROUND(data!BH83,0)</f>
        <v>73104</v>
      </c>
      <c r="AD59" s="221">
        <f>ROUND(data!BH84,0)</f>
        <v>594941</v>
      </c>
      <c r="AE59" s="221"/>
      <c r="AF59" s="221"/>
      <c r="AG59" s="221">
        <f>IF(data!BH90&gt;0,ROUND(data!BH90,0),0)</f>
        <v>24834</v>
      </c>
      <c r="AH59" s="221">
        <f>IFERROR(IF(data!BH$91&gt;0,ROUND(data!BH$91,0),0),0)</f>
        <v>0</v>
      </c>
      <c r="AI59" s="221">
        <f>IFERROR(IF(data!BH$92&gt;0,ROUND(data!BH$92,0),0),0)</f>
        <v>3167</v>
      </c>
      <c r="AJ59" s="221">
        <f>IFERROR(IF(data!BH$93&gt;0,ROUND(data!BH$93,0),0),0)</f>
        <v>0</v>
      </c>
      <c r="AK59" s="211">
        <f>IFERROR(IF(data!BH$94&gt;0,ROUND(data!BH$94,2),0),0)</f>
        <v>0</v>
      </c>
      <c r="AL59" s="65"/>
      <c r="AM59" s="65"/>
      <c r="AN59" s="65"/>
      <c r="AO59" s="65"/>
      <c r="AP59" s="65"/>
      <c r="AQ59" s="65"/>
      <c r="AR59" s="65"/>
      <c r="AS59" s="65"/>
      <c r="AT59" s="65"/>
      <c r="AU59" s="65"/>
      <c r="AV59" s="65"/>
      <c r="AW59" s="65"/>
      <c r="AX59" s="65"/>
      <c r="AY59" s="65"/>
      <c r="AZ59" s="65"/>
      <c r="BA59" s="65"/>
      <c r="BB59" s="65"/>
      <c r="BC59" s="65"/>
      <c r="BD59" s="65"/>
      <c r="BE59" s="65"/>
      <c r="BF59" s="65"/>
      <c r="BG59" s="65"/>
      <c r="BH59" s="65"/>
      <c r="BI59" s="65"/>
      <c r="BJ59" s="65"/>
      <c r="BK59" s="65"/>
      <c r="BL59" s="65"/>
      <c r="BM59" s="65"/>
      <c r="BN59" s="65"/>
      <c r="BO59" s="65"/>
      <c r="BP59" s="65"/>
      <c r="BQ59" s="65"/>
      <c r="BR59" s="65"/>
      <c r="BS59" s="65"/>
      <c r="BT59" s="65"/>
      <c r="BU59" s="65"/>
      <c r="BV59" s="65"/>
      <c r="BW59" s="65"/>
      <c r="BX59" s="65"/>
      <c r="BY59" s="65"/>
      <c r="BZ59" s="65"/>
      <c r="CA59" s="65"/>
      <c r="CB59" s="65"/>
      <c r="CC59" s="65"/>
      <c r="CD59" s="65"/>
      <c r="CE59" s="65"/>
      <c r="CF59" s="65"/>
      <c r="CG59" s="65"/>
      <c r="CH59" s="65"/>
      <c r="CI59" s="65"/>
      <c r="CJ59" s="65"/>
      <c r="CK59" s="65"/>
    </row>
    <row r="60" spans="1:89" s="11" customFormat="1" ht="12.6" customHeight="1" x14ac:dyDescent="0.25">
      <c r="A60" s="15" t="str">
        <f>RIGHT(data!$C$97,3)</f>
        <v>164</v>
      </c>
      <c r="B60" s="223" t="str">
        <f>RIGHT(data!$C$96,4)</f>
        <v>2022</v>
      </c>
      <c r="C60" s="15" t="str">
        <f>data!BI$55</f>
        <v>8490</v>
      </c>
      <c r="D60" s="15" t="s">
        <v>1120</v>
      </c>
      <c r="E60" s="221"/>
      <c r="F60" s="211">
        <f>ROUND(data!BI60,2)</f>
        <v>55.7</v>
      </c>
      <c r="G60" s="221">
        <f>ROUND(data!BI61,0)</f>
        <v>4906733</v>
      </c>
      <c r="H60" s="221">
        <f>ROUND(data!BI62,0)</f>
        <v>510307</v>
      </c>
      <c r="I60" s="221">
        <f>ROUND(data!BI63,0)</f>
        <v>416117</v>
      </c>
      <c r="J60" s="221">
        <f>ROUND(data!BI64,0)</f>
        <v>396811</v>
      </c>
      <c r="K60" s="221">
        <f>ROUND(data!BI65,0)</f>
        <v>1505</v>
      </c>
      <c r="L60" s="221">
        <f>ROUND(data!BI66,0)</f>
        <v>452066</v>
      </c>
      <c r="M60" s="65">
        <f>ROUND(data!BI67,0)</f>
        <v>909223</v>
      </c>
      <c r="N60" s="221">
        <f>ROUND(data!BI68,0)</f>
        <v>351234</v>
      </c>
      <c r="O60" s="221">
        <f>ROUND(data!BI69,0)</f>
        <v>23286</v>
      </c>
      <c r="P60" s="221">
        <f>ROUND(data!BI70,0)</f>
        <v>0</v>
      </c>
      <c r="Q60" s="221">
        <f>ROUND(data!BI71,0)</f>
        <v>0</v>
      </c>
      <c r="R60" s="221">
        <f>ROUND(data!BI72,0)</f>
        <v>0</v>
      </c>
      <c r="S60" s="221">
        <f>ROUND(data!BI73,0)</f>
        <v>0</v>
      </c>
      <c r="T60" s="221">
        <f>ROUND(data!BI74,0)</f>
        <v>0</v>
      </c>
      <c r="U60" s="221">
        <f>ROUND(data!BI75,0)</f>
        <v>0</v>
      </c>
      <c r="V60" s="221">
        <f>ROUND(data!BI76,0)</f>
        <v>0</v>
      </c>
      <c r="W60" s="221">
        <f>ROUND(data!BI77,0)</f>
        <v>0</v>
      </c>
      <c r="X60" s="221">
        <f>ROUND(data!BI78,0)</f>
        <v>0</v>
      </c>
      <c r="Y60" s="221">
        <f>ROUND(data!BI79,0)</f>
        <v>0</v>
      </c>
      <c r="Z60" s="221">
        <f>ROUND(data!BI80,0)</f>
        <v>0</v>
      </c>
      <c r="AA60" s="221">
        <f>ROUND(data!BI81,0)</f>
        <v>0</v>
      </c>
      <c r="AB60" s="221">
        <f>ROUND(data!BI82,0)</f>
        <v>0</v>
      </c>
      <c r="AC60" s="221">
        <f>ROUND(data!BI83,0)</f>
        <v>23286</v>
      </c>
      <c r="AD60" s="221">
        <f>ROUND(data!BI84,0)</f>
        <v>1050128</v>
      </c>
      <c r="AE60" s="221"/>
      <c r="AF60" s="221"/>
      <c r="AG60" s="221">
        <f>IF(data!BI90&gt;0,ROUND(data!BI90,0),0)</f>
        <v>26210</v>
      </c>
      <c r="AH60" s="221">
        <f>IFERROR(IF(data!BI$91&gt;0,ROUND(data!BI$91,0),0),0)</f>
        <v>0</v>
      </c>
      <c r="AI60" s="221">
        <f>IFERROR(IF(data!BI$92&gt;0,ROUND(data!BI$92,0),0),0)</f>
        <v>3343</v>
      </c>
      <c r="AJ60" s="221">
        <f>IFERROR(IF(data!BI$93&gt;0,ROUND(data!BI$93,0),0),0)</f>
        <v>17457</v>
      </c>
      <c r="AK60" s="211">
        <f>IFERROR(IF(data!BI$94&gt;0,ROUND(data!BI$94,2),0),0)</f>
        <v>0</v>
      </c>
      <c r="AL60" s="65"/>
      <c r="AM60" s="65"/>
      <c r="AN60" s="65"/>
      <c r="AO60" s="65"/>
      <c r="AP60" s="65"/>
      <c r="AQ60" s="65"/>
      <c r="AR60" s="65"/>
      <c r="AS60" s="65"/>
      <c r="AT60" s="65"/>
      <c r="AU60" s="65"/>
      <c r="AV60" s="65"/>
      <c r="AW60" s="65"/>
      <c r="AX60" s="65"/>
      <c r="AY60" s="65"/>
      <c r="AZ60" s="65"/>
      <c r="BA60" s="65"/>
      <c r="BB60" s="65"/>
      <c r="BC60" s="65"/>
      <c r="BD60" s="65"/>
      <c r="BE60" s="65"/>
      <c r="BF60" s="65"/>
      <c r="BG60" s="65"/>
      <c r="BH60" s="65"/>
      <c r="BI60" s="65"/>
      <c r="BJ60" s="65"/>
      <c r="BK60" s="65"/>
      <c r="BL60" s="65"/>
      <c r="BM60" s="65"/>
      <c r="BN60" s="65"/>
      <c r="BO60" s="65"/>
      <c r="BP60" s="65"/>
      <c r="BQ60" s="65"/>
      <c r="BR60" s="65"/>
      <c r="BS60" s="65"/>
      <c r="BT60" s="65"/>
      <c r="BU60" s="65"/>
      <c r="BV60" s="65"/>
      <c r="BW60" s="65"/>
      <c r="BX60" s="65"/>
      <c r="BY60" s="65"/>
      <c r="BZ60" s="65"/>
      <c r="CA60" s="65"/>
      <c r="CB60" s="65"/>
      <c r="CC60" s="65"/>
      <c r="CD60" s="65"/>
      <c r="CE60" s="65"/>
      <c r="CF60" s="65"/>
      <c r="CG60" s="65"/>
      <c r="CH60" s="65"/>
      <c r="CI60" s="65"/>
      <c r="CJ60" s="65"/>
      <c r="CK60" s="65"/>
    </row>
    <row r="61" spans="1:89" s="11" customFormat="1" ht="12.6" customHeight="1" x14ac:dyDescent="0.25">
      <c r="A61" s="15" t="str">
        <f>RIGHT(data!$C$97,3)</f>
        <v>164</v>
      </c>
      <c r="B61" s="223" t="str">
        <f>RIGHT(data!$C$96,4)</f>
        <v>2022</v>
      </c>
      <c r="C61" s="15" t="str">
        <f>data!BJ$55</f>
        <v>8510</v>
      </c>
      <c r="D61" s="15" t="s">
        <v>1120</v>
      </c>
      <c r="E61" s="221"/>
      <c r="F61" s="211">
        <f>ROUND(data!BJ60,2)</f>
        <v>18.43</v>
      </c>
      <c r="G61" s="221">
        <f>ROUND(data!BJ61,0)</f>
        <v>1820826</v>
      </c>
      <c r="H61" s="221">
        <f>ROUND(data!BJ62,0)</f>
        <v>423290</v>
      </c>
      <c r="I61" s="221">
        <f>ROUND(data!BJ63,0)</f>
        <v>354675</v>
      </c>
      <c r="J61" s="221">
        <f>ROUND(data!BJ64,0)</f>
        <v>14238</v>
      </c>
      <c r="K61" s="221">
        <f>ROUND(data!BJ65,0)</f>
        <v>0</v>
      </c>
      <c r="L61" s="221">
        <f>ROUND(data!BJ66,0)</f>
        <v>63003</v>
      </c>
      <c r="M61" s="65">
        <f>ROUND(data!BJ67,0)</f>
        <v>37313</v>
      </c>
      <c r="N61" s="221">
        <f>ROUND(data!BJ68,0)</f>
        <v>0</v>
      </c>
      <c r="O61" s="221">
        <f>ROUND(data!BJ69,0)</f>
        <v>1411</v>
      </c>
      <c r="P61" s="221">
        <f>ROUND(data!BJ70,0)</f>
        <v>0</v>
      </c>
      <c r="Q61" s="221">
        <f>ROUND(data!BJ71,0)</f>
        <v>0</v>
      </c>
      <c r="R61" s="221">
        <f>ROUND(data!BJ72,0)</f>
        <v>0</v>
      </c>
      <c r="S61" s="221">
        <f>ROUND(data!BJ73,0)</f>
        <v>0</v>
      </c>
      <c r="T61" s="221">
        <f>ROUND(data!BJ74,0)</f>
        <v>0</v>
      </c>
      <c r="U61" s="221">
        <f>ROUND(data!BJ75,0)</f>
        <v>0</v>
      </c>
      <c r="V61" s="221">
        <f>ROUND(data!BJ76,0)</f>
        <v>0</v>
      </c>
      <c r="W61" s="221">
        <f>ROUND(data!BJ77,0)</f>
        <v>0</v>
      </c>
      <c r="X61" s="221">
        <f>ROUND(data!BJ78,0)</f>
        <v>0</v>
      </c>
      <c r="Y61" s="221">
        <f>ROUND(data!BJ79,0)</f>
        <v>0</v>
      </c>
      <c r="Z61" s="221">
        <f>ROUND(data!BJ80,0)</f>
        <v>0</v>
      </c>
      <c r="AA61" s="221">
        <f>ROUND(data!BJ81,0)</f>
        <v>0</v>
      </c>
      <c r="AB61" s="221">
        <f>ROUND(data!BJ82,0)</f>
        <v>0</v>
      </c>
      <c r="AC61" s="221">
        <f>ROUND(data!BJ83,0)</f>
        <v>1411</v>
      </c>
      <c r="AD61" s="221">
        <f>ROUND(data!BJ84,0)</f>
        <v>280742</v>
      </c>
      <c r="AE61" s="221"/>
      <c r="AF61" s="221"/>
      <c r="AG61" s="221">
        <f>IF(data!BJ90&gt;0,ROUND(data!BJ90,0),0)</f>
        <v>4555</v>
      </c>
      <c r="AH61" s="221">
        <f>IFERROR(IF(data!BJ$91&gt;0,ROUND(data!BJ$91,0),0),0)</f>
        <v>0</v>
      </c>
      <c r="AI61" s="221">
        <f>IFERROR(IF(data!BJ$92&gt;0,ROUND(data!BJ$92,0),0),0)</f>
        <v>0</v>
      </c>
      <c r="AJ61" s="221">
        <f>IFERROR(IF(data!BJ$93&gt;0,ROUND(data!BJ$93,0),0),0)</f>
        <v>0</v>
      </c>
      <c r="AK61" s="211">
        <f>IFERROR(IF(data!BJ$94&gt;0,ROUND(data!BJ$94,2),0),0)</f>
        <v>0</v>
      </c>
      <c r="AL61" s="65"/>
      <c r="AM61" s="65"/>
      <c r="AN61" s="65"/>
      <c r="AO61" s="65"/>
      <c r="AP61" s="65"/>
      <c r="AQ61" s="65"/>
      <c r="AR61" s="65"/>
      <c r="AS61" s="65"/>
      <c r="AT61" s="65"/>
      <c r="AU61" s="65"/>
      <c r="AV61" s="65"/>
      <c r="AW61" s="65"/>
      <c r="AX61" s="65"/>
      <c r="AY61" s="65"/>
      <c r="AZ61" s="65"/>
      <c r="BA61" s="65"/>
      <c r="BB61" s="65"/>
      <c r="BC61" s="65"/>
      <c r="BD61" s="65"/>
      <c r="BE61" s="65"/>
      <c r="BF61" s="65"/>
      <c r="BG61" s="65"/>
      <c r="BH61" s="65"/>
      <c r="BI61" s="65"/>
      <c r="BJ61" s="65"/>
      <c r="BK61" s="65"/>
      <c r="BL61" s="65"/>
      <c r="BM61" s="65"/>
      <c r="BN61" s="65"/>
      <c r="BO61" s="65"/>
      <c r="BP61" s="65"/>
      <c r="BQ61" s="65"/>
      <c r="BR61" s="65"/>
      <c r="BS61" s="65"/>
      <c r="BT61" s="65"/>
      <c r="BU61" s="65"/>
      <c r="BV61" s="65"/>
      <c r="BW61" s="65"/>
      <c r="BX61" s="65"/>
      <c r="BY61" s="65"/>
      <c r="BZ61" s="65"/>
      <c r="CA61" s="65"/>
      <c r="CB61" s="65"/>
      <c r="CC61" s="65"/>
      <c r="CD61" s="65"/>
      <c r="CE61" s="65"/>
      <c r="CF61" s="65"/>
      <c r="CG61" s="65"/>
      <c r="CH61" s="65"/>
      <c r="CI61" s="65"/>
      <c r="CJ61" s="65"/>
      <c r="CK61" s="65"/>
    </row>
    <row r="62" spans="1:89" s="11" customFormat="1" ht="12.6" customHeight="1" x14ac:dyDescent="0.25">
      <c r="A62" s="15" t="str">
        <f>RIGHT(data!$C$97,3)</f>
        <v>164</v>
      </c>
      <c r="B62" s="223" t="str">
        <f>RIGHT(data!$C$96,4)</f>
        <v>2022</v>
      </c>
      <c r="C62" s="15" t="str">
        <f>data!BK$55</f>
        <v>8530</v>
      </c>
      <c r="D62" s="15" t="s">
        <v>1120</v>
      </c>
      <c r="E62" s="221"/>
      <c r="F62" s="211">
        <f>ROUND(data!BK60,2)</f>
        <v>85.43</v>
      </c>
      <c r="G62" s="221">
        <f>ROUND(data!BK61,0)</f>
        <v>5691181</v>
      </c>
      <c r="H62" s="221">
        <f>ROUND(data!BK62,0)</f>
        <v>1605972</v>
      </c>
      <c r="I62" s="221">
        <f>ROUND(data!BK63,0)</f>
        <v>158700</v>
      </c>
      <c r="J62" s="221">
        <f>ROUND(data!BK64,0)</f>
        <v>50326</v>
      </c>
      <c r="K62" s="221">
        <f>ROUND(data!BK65,0)</f>
        <v>0</v>
      </c>
      <c r="L62" s="221">
        <f>ROUND(data!BK66,0)</f>
        <v>2794436</v>
      </c>
      <c r="M62" s="65">
        <f>ROUND(data!BK67,0)</f>
        <v>48836</v>
      </c>
      <c r="N62" s="221">
        <f>ROUND(data!BK68,0)</f>
        <v>637</v>
      </c>
      <c r="O62" s="221">
        <f>ROUND(data!BK69,0)</f>
        <v>0</v>
      </c>
      <c r="P62" s="221">
        <f>ROUND(data!BK70,0)</f>
        <v>0</v>
      </c>
      <c r="Q62" s="221">
        <f>ROUND(data!BK71,0)</f>
        <v>0</v>
      </c>
      <c r="R62" s="221">
        <f>ROUND(data!BK72,0)</f>
        <v>0</v>
      </c>
      <c r="S62" s="221">
        <f>ROUND(data!BK73,0)</f>
        <v>0</v>
      </c>
      <c r="T62" s="221">
        <f>ROUND(data!BK74,0)</f>
        <v>0</v>
      </c>
      <c r="U62" s="221">
        <f>ROUND(data!BK75,0)</f>
        <v>0</v>
      </c>
      <c r="V62" s="221">
        <f>ROUND(data!BK76,0)</f>
        <v>0</v>
      </c>
      <c r="W62" s="221">
        <f>ROUND(data!BK77,0)</f>
        <v>0</v>
      </c>
      <c r="X62" s="221">
        <f>ROUND(data!BK78,0)</f>
        <v>0</v>
      </c>
      <c r="Y62" s="221">
        <f>ROUND(data!BK79,0)</f>
        <v>0</v>
      </c>
      <c r="Z62" s="221">
        <f>ROUND(data!BK80,0)</f>
        <v>0</v>
      </c>
      <c r="AA62" s="221">
        <f>ROUND(data!BK81,0)</f>
        <v>0</v>
      </c>
      <c r="AB62" s="221">
        <f>ROUND(data!BK82,0)</f>
        <v>0</v>
      </c>
      <c r="AC62" s="221">
        <f>ROUND(data!BK83,0)</f>
        <v>0</v>
      </c>
      <c r="AD62" s="221">
        <f>ROUND(data!BK84,0)</f>
        <v>128571</v>
      </c>
      <c r="AE62" s="221"/>
      <c r="AF62" s="221"/>
      <c r="AG62" s="221">
        <f>IF(data!BK90&gt;0,ROUND(data!BK90,0),0)</f>
        <v>11014</v>
      </c>
      <c r="AH62" s="221">
        <f>IFERROR(IF(data!BK$91&gt;0,ROUND(data!BK$91,0),0),0)</f>
        <v>0</v>
      </c>
      <c r="AI62" s="221">
        <f>IFERROR(IF(data!BK$92&gt;0,ROUND(data!BK$92,0),0),0)</f>
        <v>1405</v>
      </c>
      <c r="AJ62" s="221">
        <f>IFERROR(IF(data!BK$93&gt;0,ROUND(data!BK$93,0),0),0)</f>
        <v>0</v>
      </c>
      <c r="AK62" s="211">
        <f>IFERROR(IF(data!BK$94&gt;0,ROUND(data!BK$94,2),0),0)</f>
        <v>0</v>
      </c>
      <c r="AL62" s="65"/>
      <c r="AM62" s="65"/>
      <c r="AN62" s="65"/>
      <c r="AO62" s="65"/>
      <c r="AP62" s="65"/>
      <c r="AQ62" s="65"/>
      <c r="AR62" s="65"/>
      <c r="AS62" s="65"/>
      <c r="AT62" s="65"/>
      <c r="AU62" s="65"/>
      <c r="AV62" s="65"/>
      <c r="AW62" s="65"/>
      <c r="AX62" s="65"/>
      <c r="AY62" s="65"/>
      <c r="AZ62" s="65"/>
      <c r="BA62" s="65"/>
      <c r="BB62" s="65"/>
      <c r="BC62" s="65"/>
      <c r="BD62" s="65"/>
      <c r="BE62" s="65"/>
      <c r="BF62" s="65"/>
      <c r="BG62" s="65"/>
      <c r="BH62" s="65"/>
      <c r="BI62" s="65"/>
      <c r="BJ62" s="65"/>
      <c r="BK62" s="65"/>
      <c r="BL62" s="65"/>
      <c r="BM62" s="65"/>
      <c r="BN62" s="65"/>
      <c r="BO62" s="65"/>
      <c r="BP62" s="65"/>
      <c r="BQ62" s="65"/>
      <c r="BR62" s="65"/>
      <c r="BS62" s="65"/>
      <c r="BT62" s="65"/>
      <c r="BU62" s="65"/>
      <c r="BV62" s="65"/>
      <c r="BW62" s="65"/>
      <c r="BX62" s="65"/>
      <c r="BY62" s="65"/>
      <c r="BZ62" s="65"/>
      <c r="CA62" s="65"/>
      <c r="CB62" s="65"/>
      <c r="CC62" s="65"/>
      <c r="CD62" s="65"/>
      <c r="CE62" s="65"/>
      <c r="CF62" s="65"/>
      <c r="CG62" s="65"/>
      <c r="CH62" s="65"/>
      <c r="CI62" s="65"/>
      <c r="CJ62" s="65"/>
      <c r="CK62" s="65"/>
    </row>
    <row r="63" spans="1:89" s="11" customFormat="1" ht="12.6" customHeight="1" x14ac:dyDescent="0.25">
      <c r="A63" s="15" t="str">
        <f>RIGHT(data!$C$97,3)</f>
        <v>164</v>
      </c>
      <c r="B63" s="223" t="str">
        <f>RIGHT(data!$C$96,4)</f>
        <v>2022</v>
      </c>
      <c r="C63" s="15" t="str">
        <f>data!BL$55</f>
        <v>8560</v>
      </c>
      <c r="D63" s="15" t="s">
        <v>1120</v>
      </c>
      <c r="E63" s="221"/>
      <c r="F63" s="211">
        <f>ROUND(data!BL60,2)</f>
        <v>87.18</v>
      </c>
      <c r="G63" s="221">
        <f>ROUND(data!BL61,0)</f>
        <v>5204006</v>
      </c>
      <c r="H63" s="221">
        <f>ROUND(data!BL62,0)</f>
        <v>1536858</v>
      </c>
      <c r="I63" s="221">
        <f>ROUND(data!BL63,0)</f>
        <v>0</v>
      </c>
      <c r="J63" s="221">
        <f>ROUND(data!BL64,0)</f>
        <v>46145</v>
      </c>
      <c r="K63" s="221">
        <f>ROUND(data!BL65,0)</f>
        <v>0</v>
      </c>
      <c r="L63" s="221">
        <f>ROUND(data!BL66,0)</f>
        <v>556439</v>
      </c>
      <c r="M63" s="65">
        <f>ROUND(data!BL67,0)</f>
        <v>26203</v>
      </c>
      <c r="N63" s="221">
        <f>ROUND(data!BL68,0)</f>
        <v>0</v>
      </c>
      <c r="O63" s="221">
        <f>ROUND(data!BL69,0)</f>
        <v>489</v>
      </c>
      <c r="P63" s="221">
        <f>ROUND(data!BL70,0)</f>
        <v>0</v>
      </c>
      <c r="Q63" s="221">
        <f>ROUND(data!BL71,0)</f>
        <v>0</v>
      </c>
      <c r="R63" s="221">
        <f>ROUND(data!BL72,0)</f>
        <v>0</v>
      </c>
      <c r="S63" s="221">
        <f>ROUND(data!BL73,0)</f>
        <v>0</v>
      </c>
      <c r="T63" s="221">
        <f>ROUND(data!BL74,0)</f>
        <v>0</v>
      </c>
      <c r="U63" s="221">
        <f>ROUND(data!BL75,0)</f>
        <v>0</v>
      </c>
      <c r="V63" s="221">
        <f>ROUND(data!BL76,0)</f>
        <v>0</v>
      </c>
      <c r="W63" s="221">
        <f>ROUND(data!BL77,0)</f>
        <v>0</v>
      </c>
      <c r="X63" s="221">
        <f>ROUND(data!BL78,0)</f>
        <v>0</v>
      </c>
      <c r="Y63" s="221">
        <f>ROUND(data!BL79,0)</f>
        <v>0</v>
      </c>
      <c r="Z63" s="221">
        <f>ROUND(data!BL80,0)</f>
        <v>0</v>
      </c>
      <c r="AA63" s="221">
        <f>ROUND(data!BL81,0)</f>
        <v>0</v>
      </c>
      <c r="AB63" s="221">
        <f>ROUND(data!BL82,0)</f>
        <v>0</v>
      </c>
      <c r="AC63" s="221">
        <f>ROUND(data!BL83,0)</f>
        <v>489</v>
      </c>
      <c r="AD63" s="221">
        <f>ROUND(data!BL84,0)</f>
        <v>710177</v>
      </c>
      <c r="AE63" s="221"/>
      <c r="AF63" s="221"/>
      <c r="AG63" s="221">
        <f>IF(data!BL90&gt;0,ROUND(data!BL90,0),0)</f>
        <v>5010</v>
      </c>
      <c r="AH63" s="221">
        <f>IFERROR(IF(data!BL$91&gt;0,ROUND(data!BL$91,0),0),0)</f>
        <v>0</v>
      </c>
      <c r="AI63" s="221">
        <f>IFERROR(IF(data!BL$92&gt;0,ROUND(data!BL$92,0),0),0)</f>
        <v>639</v>
      </c>
      <c r="AJ63" s="221">
        <f>IFERROR(IF(data!BL$93&gt;0,ROUND(data!BL$93,0),0),0)</f>
        <v>0</v>
      </c>
      <c r="AK63" s="211">
        <f>IFERROR(IF(data!BL$94&gt;0,ROUND(data!BL$94,2),0),0)</f>
        <v>0</v>
      </c>
      <c r="AL63" s="65"/>
      <c r="AM63" s="65"/>
      <c r="AN63" s="65"/>
      <c r="AO63" s="65"/>
      <c r="AP63" s="65"/>
      <c r="AQ63" s="65"/>
      <c r="AR63" s="65"/>
      <c r="AS63" s="65"/>
      <c r="AT63" s="65"/>
      <c r="AU63" s="65"/>
      <c r="AV63" s="65"/>
      <c r="AW63" s="65"/>
      <c r="AX63" s="65"/>
      <c r="AY63" s="65"/>
      <c r="AZ63" s="65"/>
      <c r="BA63" s="65"/>
      <c r="BB63" s="65"/>
      <c r="BC63" s="65"/>
      <c r="BD63" s="65"/>
      <c r="BE63" s="65"/>
      <c r="BF63" s="65"/>
      <c r="BG63" s="65"/>
      <c r="BH63" s="65"/>
      <c r="BI63" s="65"/>
      <c r="BJ63" s="65"/>
      <c r="BK63" s="65"/>
      <c r="BL63" s="65"/>
      <c r="BM63" s="65"/>
      <c r="BN63" s="65"/>
      <c r="BO63" s="65"/>
      <c r="BP63" s="65"/>
      <c r="BQ63" s="65"/>
      <c r="BR63" s="65"/>
      <c r="BS63" s="65"/>
      <c r="BT63" s="65"/>
      <c r="BU63" s="65"/>
      <c r="BV63" s="65"/>
      <c r="BW63" s="65"/>
      <c r="BX63" s="65"/>
      <c r="BY63" s="65"/>
      <c r="BZ63" s="65"/>
      <c r="CA63" s="65"/>
      <c r="CB63" s="65"/>
      <c r="CC63" s="65"/>
      <c r="CD63" s="65"/>
      <c r="CE63" s="65"/>
      <c r="CF63" s="65"/>
      <c r="CG63" s="65"/>
      <c r="CH63" s="65"/>
      <c r="CI63" s="65"/>
      <c r="CJ63" s="65"/>
      <c r="CK63" s="65"/>
    </row>
    <row r="64" spans="1:89" s="11" customFormat="1" ht="12.6" customHeight="1" x14ac:dyDescent="0.25">
      <c r="A64" s="15" t="str">
        <f>RIGHT(data!$C$97,3)</f>
        <v>164</v>
      </c>
      <c r="B64" s="223" t="str">
        <f>RIGHT(data!$C$96,4)</f>
        <v>2022</v>
      </c>
      <c r="C64" s="15" t="str">
        <f>data!BM$55</f>
        <v>8590</v>
      </c>
      <c r="D64" s="15" t="s">
        <v>1120</v>
      </c>
      <c r="E64" s="221"/>
      <c r="F64" s="211">
        <f>ROUND(data!BM60,2)</f>
        <v>47.1</v>
      </c>
      <c r="G64" s="221">
        <f>ROUND(data!BM61,0)</f>
        <v>4280354</v>
      </c>
      <c r="H64" s="221">
        <f>ROUND(data!BM62,0)</f>
        <v>1166256</v>
      </c>
      <c r="I64" s="221">
        <f>ROUND(data!BM63,0)</f>
        <v>-50</v>
      </c>
      <c r="J64" s="221">
        <f>ROUND(data!BM64,0)</f>
        <v>24540</v>
      </c>
      <c r="K64" s="221">
        <f>ROUND(data!BM65,0)</f>
        <v>0</v>
      </c>
      <c r="L64" s="221">
        <f>ROUND(data!BM66,0)</f>
        <v>487618</v>
      </c>
      <c r="M64" s="65">
        <f>ROUND(data!BM67,0)</f>
        <v>12735</v>
      </c>
      <c r="N64" s="221">
        <f>ROUND(data!BM68,0)</f>
        <v>0</v>
      </c>
      <c r="O64" s="221">
        <f>ROUND(data!BM69,0)</f>
        <v>42300</v>
      </c>
      <c r="P64" s="221">
        <f>ROUND(data!BM70,0)</f>
        <v>0</v>
      </c>
      <c r="Q64" s="221">
        <f>ROUND(data!BM71,0)</f>
        <v>0</v>
      </c>
      <c r="R64" s="221">
        <f>ROUND(data!BM72,0)</f>
        <v>0</v>
      </c>
      <c r="S64" s="221">
        <f>ROUND(data!BM73,0)</f>
        <v>0</v>
      </c>
      <c r="T64" s="221">
        <f>ROUND(data!BM74,0)</f>
        <v>0</v>
      </c>
      <c r="U64" s="221">
        <f>ROUND(data!BM75,0)</f>
        <v>0</v>
      </c>
      <c r="V64" s="221">
        <f>ROUND(data!BM76,0)</f>
        <v>0</v>
      </c>
      <c r="W64" s="221">
        <f>ROUND(data!BM77,0)</f>
        <v>0</v>
      </c>
      <c r="X64" s="221">
        <f>ROUND(data!BM78,0)</f>
        <v>0</v>
      </c>
      <c r="Y64" s="221">
        <f>ROUND(data!BM79,0)</f>
        <v>0</v>
      </c>
      <c r="Z64" s="221">
        <f>ROUND(data!BM80,0)</f>
        <v>0</v>
      </c>
      <c r="AA64" s="221">
        <f>ROUND(data!BM81,0)</f>
        <v>0</v>
      </c>
      <c r="AB64" s="221">
        <f>ROUND(data!BM82,0)</f>
        <v>0</v>
      </c>
      <c r="AC64" s="221">
        <f>ROUND(data!BM83,0)</f>
        <v>42300</v>
      </c>
      <c r="AD64" s="221">
        <f>ROUND(data!BM84,0)</f>
        <v>0</v>
      </c>
      <c r="AE64" s="221"/>
      <c r="AF64" s="221"/>
      <c r="AG64" s="221">
        <f>IF(data!BM90&gt;0,ROUND(data!BM90,0),0)</f>
        <v>4678</v>
      </c>
      <c r="AH64" s="221">
        <f>IFERROR(IF(data!BM$91&gt;0,ROUND(data!BM$91,0),0),0)</f>
        <v>0</v>
      </c>
      <c r="AI64" s="221">
        <f>IFERROR(IF(data!BM$92&gt;0,ROUND(data!BM$92,0),0),0)</f>
        <v>597</v>
      </c>
      <c r="AJ64" s="221">
        <f>IFERROR(IF(data!BM$93&gt;0,ROUND(data!BM$93,0),0),0)</f>
        <v>0</v>
      </c>
      <c r="AK64" s="211">
        <f>IFERROR(IF(data!BM$94&gt;0,ROUND(data!BM$94,2),0),0)</f>
        <v>0</v>
      </c>
      <c r="AL64" s="65"/>
      <c r="AM64" s="65"/>
      <c r="AN64" s="65"/>
      <c r="AO64" s="65"/>
      <c r="AP64" s="65"/>
      <c r="AQ64" s="65"/>
      <c r="AR64" s="65"/>
      <c r="AS64" s="65"/>
      <c r="AT64" s="65"/>
      <c r="AU64" s="65"/>
      <c r="AV64" s="65"/>
      <c r="AW64" s="65"/>
      <c r="AX64" s="65"/>
      <c r="AY64" s="65"/>
      <c r="AZ64" s="65"/>
      <c r="BA64" s="65"/>
      <c r="BB64" s="65"/>
      <c r="BC64" s="65"/>
      <c r="BD64" s="65"/>
      <c r="BE64" s="65"/>
      <c r="BF64" s="65"/>
      <c r="BG64" s="65"/>
      <c r="BH64" s="65"/>
      <c r="BI64" s="65"/>
      <c r="BJ64" s="65"/>
      <c r="BK64" s="65"/>
      <c r="BL64" s="65"/>
      <c r="BM64" s="65"/>
      <c r="BN64" s="65"/>
      <c r="BO64" s="65"/>
      <c r="BP64" s="65"/>
      <c r="BQ64" s="65"/>
      <c r="BR64" s="65"/>
      <c r="BS64" s="65"/>
      <c r="BT64" s="65"/>
      <c r="BU64" s="65"/>
      <c r="BV64" s="65"/>
      <c r="BW64" s="65"/>
      <c r="BX64" s="65"/>
      <c r="BY64" s="65"/>
      <c r="BZ64" s="65"/>
      <c r="CA64" s="65"/>
      <c r="CB64" s="65"/>
      <c r="CC64" s="65"/>
      <c r="CD64" s="65"/>
      <c r="CE64" s="65"/>
      <c r="CF64" s="65"/>
      <c r="CG64" s="65"/>
      <c r="CH64" s="65"/>
      <c r="CI64" s="65"/>
      <c r="CJ64" s="65"/>
      <c r="CK64" s="65"/>
    </row>
    <row r="65" spans="1:89" s="11" customFormat="1" ht="12.6" customHeight="1" x14ac:dyDescent="0.25">
      <c r="A65" s="15" t="str">
        <f>RIGHT(data!$C$97,3)</f>
        <v>164</v>
      </c>
      <c r="B65" s="223" t="str">
        <f>RIGHT(data!$C$96,4)</f>
        <v>2022</v>
      </c>
      <c r="C65" s="15" t="str">
        <f>data!BN$55</f>
        <v>8610</v>
      </c>
      <c r="D65" s="15" t="s">
        <v>1120</v>
      </c>
      <c r="E65" s="221"/>
      <c r="F65" s="211">
        <f>ROUND(data!BN60,2)</f>
        <v>26.63</v>
      </c>
      <c r="G65" s="221">
        <f>ROUND(data!BN61,0)</f>
        <v>7767528</v>
      </c>
      <c r="H65" s="221">
        <f>ROUND(data!BN62,0)</f>
        <v>1259322</v>
      </c>
      <c r="I65" s="221">
        <f>ROUND(data!BN63,0)</f>
        <v>6478329</v>
      </c>
      <c r="J65" s="221">
        <f>ROUND(data!BN64,0)</f>
        <v>48005</v>
      </c>
      <c r="K65" s="221">
        <f>ROUND(data!BN65,0)</f>
        <v>0</v>
      </c>
      <c r="L65" s="221">
        <f>ROUND(data!BN66,0)</f>
        <v>1125408</v>
      </c>
      <c r="M65" s="65">
        <f>ROUND(data!BN67,0)</f>
        <v>226493</v>
      </c>
      <c r="N65" s="221">
        <f>ROUND(data!BN68,0)</f>
        <v>0</v>
      </c>
      <c r="O65" s="221">
        <f>ROUND(data!BN69,0)</f>
        <v>911764</v>
      </c>
      <c r="P65" s="221">
        <f>ROUND(data!BN70,0)</f>
        <v>0</v>
      </c>
      <c r="Q65" s="221">
        <f>ROUND(data!BN71,0)</f>
        <v>0</v>
      </c>
      <c r="R65" s="221">
        <f>ROUND(data!BN72,0)</f>
        <v>0</v>
      </c>
      <c r="S65" s="221">
        <f>ROUND(data!BN73,0)</f>
        <v>0</v>
      </c>
      <c r="T65" s="221">
        <f>ROUND(data!BN74,0)</f>
        <v>0</v>
      </c>
      <c r="U65" s="221">
        <f>ROUND(data!BN75,0)</f>
        <v>0</v>
      </c>
      <c r="V65" s="221">
        <f>ROUND(data!BN76,0)</f>
        <v>0</v>
      </c>
      <c r="W65" s="221">
        <f>ROUND(data!BN77,0)</f>
        <v>0</v>
      </c>
      <c r="X65" s="221">
        <f>ROUND(data!BN78,0)</f>
        <v>0</v>
      </c>
      <c r="Y65" s="221">
        <f>ROUND(data!BN79,0)</f>
        <v>0</v>
      </c>
      <c r="Z65" s="221">
        <f>ROUND(data!BN80,0)</f>
        <v>0</v>
      </c>
      <c r="AA65" s="221">
        <f>ROUND(data!BN81,0)</f>
        <v>0</v>
      </c>
      <c r="AB65" s="221">
        <f>ROUND(data!BN82,0)</f>
        <v>0</v>
      </c>
      <c r="AC65" s="221">
        <f>ROUND(data!BN83,0)</f>
        <v>911764</v>
      </c>
      <c r="AD65" s="221">
        <f>ROUND(data!BN84,0)</f>
        <v>8590</v>
      </c>
      <c r="AE65" s="221"/>
      <c r="AF65" s="221"/>
      <c r="AG65" s="221">
        <f>IF(data!BN90&gt;0,ROUND(data!BN90,0),0)</f>
        <v>14258</v>
      </c>
      <c r="AH65" s="221">
        <f>IFERROR(IF(data!BN$91&gt;0,ROUND(data!BN$91,0),0),0)</f>
        <v>0</v>
      </c>
      <c r="AI65" s="221">
        <f>IFERROR(IF(data!BN$92&gt;0,ROUND(data!BN$92,0),0),0)</f>
        <v>0</v>
      </c>
      <c r="AJ65" s="221">
        <f>IFERROR(IF(data!BN$93&gt;0,ROUND(data!BN$93,0),0),0)</f>
        <v>0</v>
      </c>
      <c r="AK65" s="211">
        <f>IFERROR(IF(data!BN$94&gt;0,ROUND(data!BN$94,2),0),0)</f>
        <v>0</v>
      </c>
      <c r="AL65" s="65"/>
      <c r="AM65" s="65"/>
      <c r="AN65" s="65"/>
      <c r="AO65" s="65"/>
      <c r="AP65" s="65"/>
      <c r="AQ65" s="65"/>
      <c r="AR65" s="65"/>
      <c r="AS65" s="65"/>
      <c r="AT65" s="65"/>
      <c r="AU65" s="65"/>
      <c r="AV65" s="65"/>
      <c r="AW65" s="65"/>
      <c r="AX65" s="65"/>
      <c r="AY65" s="65"/>
      <c r="AZ65" s="65"/>
      <c r="BA65" s="65"/>
      <c r="BB65" s="65"/>
      <c r="BC65" s="65"/>
      <c r="BD65" s="65"/>
      <c r="BE65" s="65"/>
      <c r="BF65" s="65"/>
      <c r="BG65" s="65"/>
      <c r="BH65" s="65"/>
      <c r="BI65" s="65"/>
      <c r="BJ65" s="65"/>
      <c r="BK65" s="65"/>
      <c r="BL65" s="65"/>
      <c r="BM65" s="65"/>
      <c r="BN65" s="65"/>
      <c r="BO65" s="65"/>
      <c r="BP65" s="65"/>
      <c r="BQ65" s="65"/>
      <c r="BR65" s="65"/>
      <c r="BS65" s="65"/>
      <c r="BT65" s="65"/>
      <c r="BU65" s="65"/>
      <c r="BV65" s="65"/>
      <c r="BW65" s="65"/>
      <c r="BX65" s="65"/>
      <c r="BY65" s="65"/>
      <c r="BZ65" s="65"/>
      <c r="CA65" s="65"/>
      <c r="CB65" s="65"/>
      <c r="CC65" s="65"/>
      <c r="CD65" s="65"/>
      <c r="CE65" s="65"/>
      <c r="CF65" s="65"/>
      <c r="CG65" s="65"/>
      <c r="CH65" s="65"/>
      <c r="CI65" s="65"/>
      <c r="CJ65" s="65"/>
      <c r="CK65" s="65"/>
    </row>
    <row r="66" spans="1:89" s="11" customFormat="1" ht="12.6" customHeight="1" x14ac:dyDescent="0.25">
      <c r="A66" s="15" t="str">
        <f>RIGHT(data!$C$97,3)</f>
        <v>164</v>
      </c>
      <c r="B66" s="223" t="str">
        <f>RIGHT(data!$C$96,4)</f>
        <v>2022</v>
      </c>
      <c r="C66" s="15" t="str">
        <f>data!BO$55</f>
        <v>8620</v>
      </c>
      <c r="D66" s="15" t="s">
        <v>1120</v>
      </c>
      <c r="E66" s="221"/>
      <c r="F66" s="211">
        <f>ROUND(data!BO60,2)</f>
        <v>9.9700000000000006</v>
      </c>
      <c r="G66" s="221">
        <f>ROUND(data!BO61,0)</f>
        <v>1320106</v>
      </c>
      <c r="H66" s="221">
        <f>ROUND(data!BO62,0)</f>
        <v>277989</v>
      </c>
      <c r="I66" s="221">
        <f>ROUND(data!BO63,0)</f>
        <v>1234</v>
      </c>
      <c r="J66" s="221">
        <f>ROUND(data!BO64,0)</f>
        <v>235139</v>
      </c>
      <c r="K66" s="221">
        <f>ROUND(data!BO65,0)</f>
        <v>419</v>
      </c>
      <c r="L66" s="221">
        <f>ROUND(data!BO66,0)</f>
        <v>98607</v>
      </c>
      <c r="M66" s="65">
        <f>ROUND(data!BO67,0)</f>
        <v>56926</v>
      </c>
      <c r="N66" s="221">
        <f>ROUND(data!BO68,0)</f>
        <v>0</v>
      </c>
      <c r="O66" s="221">
        <f>ROUND(data!BO69,0)</f>
        <v>2768</v>
      </c>
      <c r="P66" s="221">
        <f>ROUND(data!BO70,0)</f>
        <v>0</v>
      </c>
      <c r="Q66" s="221">
        <f>ROUND(data!BO71,0)</f>
        <v>0</v>
      </c>
      <c r="R66" s="221">
        <f>ROUND(data!BO72,0)</f>
        <v>0</v>
      </c>
      <c r="S66" s="221">
        <f>ROUND(data!BO73,0)</f>
        <v>0</v>
      </c>
      <c r="T66" s="221">
        <f>ROUND(data!BO74,0)</f>
        <v>0</v>
      </c>
      <c r="U66" s="221">
        <f>ROUND(data!BO75,0)</f>
        <v>0</v>
      </c>
      <c r="V66" s="221">
        <f>ROUND(data!BO76,0)</f>
        <v>0</v>
      </c>
      <c r="W66" s="221">
        <f>ROUND(data!BO77,0)</f>
        <v>0</v>
      </c>
      <c r="X66" s="221">
        <f>ROUND(data!BO78,0)</f>
        <v>0</v>
      </c>
      <c r="Y66" s="221">
        <f>ROUND(data!BO79,0)</f>
        <v>0</v>
      </c>
      <c r="Z66" s="221">
        <f>ROUND(data!BO80,0)</f>
        <v>0</v>
      </c>
      <c r="AA66" s="221">
        <f>ROUND(data!BO81,0)</f>
        <v>0</v>
      </c>
      <c r="AB66" s="221">
        <f>ROUND(data!BO82,0)</f>
        <v>0</v>
      </c>
      <c r="AC66" s="221">
        <f>ROUND(data!BO83,0)</f>
        <v>2768</v>
      </c>
      <c r="AD66" s="221">
        <f>ROUND(data!BO84,0)</f>
        <v>80027</v>
      </c>
      <c r="AE66" s="221"/>
      <c r="AF66" s="221"/>
      <c r="AG66" s="221">
        <f>IF(data!BO90&gt;0,ROUND(data!BO90,0),0)</f>
        <v>2082</v>
      </c>
      <c r="AH66" s="221">
        <f>IFERROR(IF(data!BO$91&gt;0,ROUND(data!BO$91,0),0),0)</f>
        <v>0</v>
      </c>
      <c r="AI66" s="221">
        <f>IFERROR(IF(data!BO$92&gt;0,ROUND(data!BO$92,0),0),0)</f>
        <v>0</v>
      </c>
      <c r="AJ66" s="221">
        <f>IFERROR(IF(data!BO$93&gt;0,ROUND(data!BO$93,0),0),0)</f>
        <v>0</v>
      </c>
      <c r="AK66" s="211">
        <f>IFERROR(IF(data!BO$94&gt;0,ROUND(data!BO$94,2),0),0)</f>
        <v>0</v>
      </c>
      <c r="AL66" s="65"/>
      <c r="AM66" s="65"/>
      <c r="AN66" s="65"/>
      <c r="AO66" s="65"/>
      <c r="AP66" s="65"/>
      <c r="AQ66" s="65"/>
      <c r="AR66" s="65"/>
      <c r="AS66" s="65"/>
      <c r="AT66" s="65"/>
      <c r="AU66" s="65"/>
      <c r="AV66" s="65"/>
      <c r="AW66" s="65"/>
      <c r="AX66" s="65"/>
      <c r="AY66" s="65"/>
      <c r="AZ66" s="65"/>
      <c r="BA66" s="65"/>
      <c r="BB66" s="65"/>
      <c r="BC66" s="65"/>
      <c r="BD66" s="65"/>
      <c r="BE66" s="65"/>
      <c r="BF66" s="65"/>
      <c r="BG66" s="65"/>
      <c r="BH66" s="65"/>
      <c r="BI66" s="65"/>
      <c r="BJ66" s="65"/>
      <c r="BK66" s="65"/>
      <c r="BL66" s="65"/>
      <c r="BM66" s="65"/>
      <c r="BN66" s="65"/>
      <c r="BO66" s="65"/>
      <c r="BP66" s="65"/>
      <c r="BQ66" s="65"/>
      <c r="BR66" s="65"/>
      <c r="BS66" s="65"/>
      <c r="BT66" s="65"/>
      <c r="BU66" s="65"/>
      <c r="BV66" s="65"/>
      <c r="BW66" s="65"/>
      <c r="BX66" s="65"/>
      <c r="BY66" s="65"/>
      <c r="BZ66" s="65"/>
      <c r="CA66" s="65"/>
      <c r="CB66" s="65"/>
      <c r="CC66" s="65"/>
      <c r="CD66" s="65"/>
      <c r="CE66" s="65"/>
      <c r="CF66" s="65"/>
      <c r="CG66" s="65"/>
      <c r="CH66" s="65"/>
      <c r="CI66" s="65"/>
      <c r="CJ66" s="65"/>
      <c r="CK66" s="65"/>
    </row>
    <row r="67" spans="1:89" s="11" customFormat="1" ht="12.6" customHeight="1" x14ac:dyDescent="0.25">
      <c r="A67" s="15" t="str">
        <f>RIGHT(data!$C$97,3)</f>
        <v>164</v>
      </c>
      <c r="B67" s="223" t="str">
        <f>RIGHT(data!$C$96,4)</f>
        <v>2022</v>
      </c>
      <c r="C67" s="15" t="str">
        <f>data!BP$55</f>
        <v>8630</v>
      </c>
      <c r="D67" s="15" t="s">
        <v>1120</v>
      </c>
      <c r="E67" s="221"/>
      <c r="F67" s="211">
        <f>ROUND(data!BP60,2)</f>
        <v>10.17</v>
      </c>
      <c r="G67" s="221">
        <f>ROUND(data!BP61,0)</f>
        <v>1204737</v>
      </c>
      <c r="H67" s="221">
        <f>ROUND(data!BP62,0)</f>
        <v>356865</v>
      </c>
      <c r="I67" s="221">
        <f>ROUND(data!BP63,0)</f>
        <v>-7620</v>
      </c>
      <c r="J67" s="221">
        <f>ROUND(data!BP64,0)</f>
        <v>84419</v>
      </c>
      <c r="K67" s="221">
        <f>ROUND(data!BP65,0)</f>
        <v>667</v>
      </c>
      <c r="L67" s="221">
        <f>ROUND(data!BP66,0)</f>
        <v>5360035</v>
      </c>
      <c r="M67" s="65">
        <f>ROUND(data!BP67,0)</f>
        <v>74856</v>
      </c>
      <c r="N67" s="221">
        <f>ROUND(data!BP68,0)</f>
        <v>0</v>
      </c>
      <c r="O67" s="221">
        <f>ROUND(data!BP69,0)</f>
        <v>13264</v>
      </c>
      <c r="P67" s="221">
        <f>ROUND(data!BP70,0)</f>
        <v>0</v>
      </c>
      <c r="Q67" s="221">
        <f>ROUND(data!BP71,0)</f>
        <v>0</v>
      </c>
      <c r="R67" s="221">
        <f>ROUND(data!BP72,0)</f>
        <v>0</v>
      </c>
      <c r="S67" s="221">
        <f>ROUND(data!BP73,0)</f>
        <v>0</v>
      </c>
      <c r="T67" s="221">
        <f>ROUND(data!BP74,0)</f>
        <v>0</v>
      </c>
      <c r="U67" s="221">
        <f>ROUND(data!BP75,0)</f>
        <v>0</v>
      </c>
      <c r="V67" s="221">
        <f>ROUND(data!BP76,0)</f>
        <v>0</v>
      </c>
      <c r="W67" s="221">
        <f>ROUND(data!BP77,0)</f>
        <v>0</v>
      </c>
      <c r="X67" s="221">
        <f>ROUND(data!BP78,0)</f>
        <v>0</v>
      </c>
      <c r="Y67" s="221">
        <f>ROUND(data!BP79,0)</f>
        <v>0</v>
      </c>
      <c r="Z67" s="221">
        <f>ROUND(data!BP80,0)</f>
        <v>0</v>
      </c>
      <c r="AA67" s="221">
        <f>ROUND(data!BP81,0)</f>
        <v>0</v>
      </c>
      <c r="AB67" s="221">
        <f>ROUND(data!BP82,0)</f>
        <v>0</v>
      </c>
      <c r="AC67" s="221">
        <f>ROUND(data!BP83,0)</f>
        <v>13264</v>
      </c>
      <c r="AD67" s="221">
        <f>ROUND(data!BP84,0)</f>
        <v>0</v>
      </c>
      <c r="AE67" s="221"/>
      <c r="AF67" s="221"/>
      <c r="AG67" s="221">
        <f>IF(data!BP90&gt;0,ROUND(data!BP90,0),0)</f>
        <v>1894</v>
      </c>
      <c r="AH67" s="221">
        <f>IFERROR(IF(data!BP$91&gt;0,ROUND(data!BP$91,0),0),0)</f>
        <v>0</v>
      </c>
      <c r="AI67" s="221">
        <f>IFERROR(IF(data!BP$92&gt;0,ROUND(data!BP$92,0),0),0)</f>
        <v>0</v>
      </c>
      <c r="AJ67" s="221">
        <f>IFERROR(IF(data!BP$93&gt;0,ROUND(data!BP$93,0),0),0)</f>
        <v>0</v>
      </c>
      <c r="AK67" s="211">
        <f>IFERROR(IF(data!BP$94&gt;0,ROUND(data!BP$94,2),0),0)</f>
        <v>0</v>
      </c>
      <c r="AL67" s="65"/>
      <c r="AM67" s="65"/>
      <c r="AN67" s="65"/>
      <c r="AO67" s="65"/>
      <c r="AP67" s="65"/>
      <c r="AQ67" s="65"/>
      <c r="AR67" s="65"/>
      <c r="AS67" s="65"/>
      <c r="AT67" s="65"/>
      <c r="AU67" s="65"/>
      <c r="AV67" s="65"/>
      <c r="AW67" s="65"/>
      <c r="AX67" s="65"/>
      <c r="AY67" s="65"/>
      <c r="AZ67" s="65"/>
      <c r="BA67" s="65"/>
      <c r="BB67" s="65"/>
      <c r="BC67" s="65"/>
      <c r="BD67" s="65"/>
      <c r="BE67" s="65"/>
      <c r="BF67" s="65"/>
      <c r="BG67" s="65"/>
      <c r="BH67" s="65"/>
      <c r="BI67" s="65"/>
      <c r="BJ67" s="65"/>
      <c r="BK67" s="65"/>
      <c r="BL67" s="65"/>
      <c r="BM67" s="65"/>
      <c r="BN67" s="65"/>
      <c r="BO67" s="65"/>
      <c r="BP67" s="65"/>
      <c r="BQ67" s="65"/>
      <c r="BR67" s="65"/>
      <c r="BS67" s="65"/>
      <c r="BT67" s="65"/>
      <c r="BU67" s="65"/>
      <c r="BV67" s="65"/>
      <c r="BW67" s="65"/>
      <c r="BX67" s="65"/>
      <c r="BY67" s="65"/>
      <c r="BZ67" s="65"/>
      <c r="CA67" s="65"/>
      <c r="CB67" s="65"/>
      <c r="CC67" s="65"/>
      <c r="CD67" s="65"/>
      <c r="CE67" s="65"/>
      <c r="CF67" s="65"/>
      <c r="CG67" s="65"/>
      <c r="CH67" s="65"/>
      <c r="CI67" s="65"/>
      <c r="CJ67" s="65"/>
      <c r="CK67" s="65"/>
    </row>
    <row r="68" spans="1:89" s="11" customFormat="1" ht="12.6" customHeight="1" x14ac:dyDescent="0.25">
      <c r="A68" s="15" t="str">
        <f>RIGHT(data!$C$97,3)</f>
        <v>164</v>
      </c>
      <c r="B68" s="223" t="str">
        <f>RIGHT(data!$C$96,4)</f>
        <v>2022</v>
      </c>
      <c r="C68" s="15" t="str">
        <f>data!BQ$55</f>
        <v>8640</v>
      </c>
      <c r="D68" s="15" t="s">
        <v>1120</v>
      </c>
      <c r="E68" s="221"/>
      <c r="F68" s="211">
        <f>ROUND(data!BQ60,2)</f>
        <v>4.29</v>
      </c>
      <c r="G68" s="221">
        <f>ROUND(data!BQ61,0)</f>
        <v>529323</v>
      </c>
      <c r="H68" s="221">
        <f>ROUND(data!BQ62,0)</f>
        <v>116190</v>
      </c>
      <c r="I68" s="221">
        <f>ROUND(data!BQ63,0)</f>
        <v>0</v>
      </c>
      <c r="J68" s="221">
        <f>ROUND(data!BQ64,0)</f>
        <v>1758</v>
      </c>
      <c r="K68" s="221">
        <f>ROUND(data!BQ65,0)</f>
        <v>0</v>
      </c>
      <c r="L68" s="221">
        <f>ROUND(data!BQ66,0)</f>
        <v>281</v>
      </c>
      <c r="M68" s="65">
        <f>ROUND(data!BQ67,0)</f>
        <v>3058</v>
      </c>
      <c r="N68" s="221">
        <f>ROUND(data!BQ68,0)</f>
        <v>0</v>
      </c>
      <c r="O68" s="221">
        <f>ROUND(data!BQ69,0)</f>
        <v>7734</v>
      </c>
      <c r="P68" s="221">
        <f>ROUND(data!BQ70,0)</f>
        <v>0</v>
      </c>
      <c r="Q68" s="221">
        <f>ROUND(data!BQ71,0)</f>
        <v>0</v>
      </c>
      <c r="R68" s="221">
        <f>ROUND(data!BQ72,0)</f>
        <v>0</v>
      </c>
      <c r="S68" s="221">
        <f>ROUND(data!BQ73,0)</f>
        <v>0</v>
      </c>
      <c r="T68" s="221">
        <f>ROUND(data!BQ74,0)</f>
        <v>0</v>
      </c>
      <c r="U68" s="221">
        <f>ROUND(data!BQ75,0)</f>
        <v>0</v>
      </c>
      <c r="V68" s="221">
        <f>ROUND(data!BQ76,0)</f>
        <v>0</v>
      </c>
      <c r="W68" s="221">
        <f>ROUND(data!BQ77,0)</f>
        <v>0</v>
      </c>
      <c r="X68" s="221">
        <f>ROUND(data!BQ78,0)</f>
        <v>0</v>
      </c>
      <c r="Y68" s="221">
        <f>ROUND(data!BQ79,0)</f>
        <v>0</v>
      </c>
      <c r="Z68" s="221">
        <f>ROUND(data!BQ80,0)</f>
        <v>0</v>
      </c>
      <c r="AA68" s="221">
        <f>ROUND(data!BQ81,0)</f>
        <v>0</v>
      </c>
      <c r="AB68" s="221">
        <f>ROUND(data!BQ82,0)</f>
        <v>0</v>
      </c>
      <c r="AC68" s="221">
        <f>ROUND(data!BQ83,0)</f>
        <v>7734</v>
      </c>
      <c r="AD68" s="221">
        <f>ROUND(data!BQ84,0)</f>
        <v>0</v>
      </c>
      <c r="AE68" s="221"/>
      <c r="AF68" s="221"/>
      <c r="AG68" s="221">
        <f>IF(data!BQ90&gt;0,ROUND(data!BQ90,0),0)</f>
        <v>1677</v>
      </c>
      <c r="AH68" s="221">
        <f>IFERROR(IF(data!BQ$91&gt;0,ROUND(data!BQ$91,0),0),0)</f>
        <v>0</v>
      </c>
      <c r="AI68" s="221">
        <f>IFERROR(IF(data!BQ$92&gt;0,ROUND(data!BQ$92,0),0),0)</f>
        <v>0</v>
      </c>
      <c r="AJ68" s="221">
        <f>IFERROR(IF(data!BQ$93&gt;0,ROUND(data!BQ$93,0),0),0)</f>
        <v>0</v>
      </c>
      <c r="AK68" s="211">
        <f>IFERROR(IF(data!BQ$94&gt;0,ROUND(data!BQ$94,2),0),0)</f>
        <v>0</v>
      </c>
      <c r="AL68" s="65"/>
      <c r="AM68" s="65"/>
      <c r="AN68" s="65"/>
      <c r="AO68" s="65"/>
      <c r="AP68" s="65"/>
      <c r="AQ68" s="65"/>
      <c r="AR68" s="65"/>
      <c r="AS68" s="65"/>
      <c r="AT68" s="65"/>
      <c r="AU68" s="65"/>
      <c r="AV68" s="65"/>
      <c r="AW68" s="65"/>
      <c r="AX68" s="65"/>
      <c r="AY68" s="65"/>
      <c r="AZ68" s="65"/>
      <c r="BA68" s="65"/>
      <c r="BB68" s="65"/>
      <c r="BC68" s="65"/>
      <c r="BD68" s="65"/>
      <c r="BE68" s="65"/>
      <c r="BF68" s="65"/>
      <c r="BG68" s="65"/>
      <c r="BH68" s="65"/>
      <c r="BI68" s="65"/>
      <c r="BJ68" s="65"/>
      <c r="BK68" s="65"/>
      <c r="BL68" s="65"/>
      <c r="BM68" s="65"/>
      <c r="BN68" s="65"/>
      <c r="BO68" s="65"/>
      <c r="BP68" s="65"/>
      <c r="BQ68" s="65"/>
      <c r="BR68" s="65"/>
      <c r="BS68" s="65"/>
      <c r="BT68" s="65"/>
      <c r="BU68" s="65"/>
      <c r="BV68" s="65"/>
      <c r="BW68" s="65"/>
      <c r="BX68" s="65"/>
      <c r="BY68" s="65"/>
      <c r="BZ68" s="65"/>
      <c r="CA68" s="65"/>
      <c r="CB68" s="65"/>
      <c r="CC68" s="65"/>
      <c r="CD68" s="65"/>
      <c r="CE68" s="65"/>
      <c r="CF68" s="65"/>
      <c r="CG68" s="65"/>
      <c r="CH68" s="65"/>
      <c r="CI68" s="65"/>
      <c r="CJ68" s="65"/>
      <c r="CK68" s="65"/>
    </row>
    <row r="69" spans="1:89" s="11" customFormat="1" ht="12.6" customHeight="1" x14ac:dyDescent="0.25">
      <c r="A69" s="15" t="str">
        <f>RIGHT(data!$C$97,3)</f>
        <v>164</v>
      </c>
      <c r="B69" s="223" t="str">
        <f>RIGHT(data!$C$96,4)</f>
        <v>2022</v>
      </c>
      <c r="C69" s="15" t="str">
        <f>data!BR$55</f>
        <v>8650</v>
      </c>
      <c r="D69" s="15" t="s">
        <v>1120</v>
      </c>
      <c r="E69" s="221"/>
      <c r="F69" s="211">
        <f>ROUND(data!BR60,2)</f>
        <v>31.59</v>
      </c>
      <c r="G69" s="221">
        <f>ROUND(data!BR61,0)</f>
        <v>2559585</v>
      </c>
      <c r="H69" s="221">
        <f>ROUND(data!BR62,0)</f>
        <v>5158748</v>
      </c>
      <c r="I69" s="221">
        <f>ROUND(data!BR63,0)</f>
        <v>2592719</v>
      </c>
      <c r="J69" s="221">
        <f>ROUND(data!BR64,0)</f>
        <v>60032</v>
      </c>
      <c r="K69" s="221">
        <f>ROUND(data!BR65,0)</f>
        <v>0</v>
      </c>
      <c r="L69" s="221">
        <f>ROUND(data!BR66,0)</f>
        <v>724549</v>
      </c>
      <c r="M69" s="65">
        <f>ROUND(data!BR67,0)</f>
        <v>6528</v>
      </c>
      <c r="N69" s="221">
        <f>ROUND(data!BR68,0)</f>
        <v>969</v>
      </c>
      <c r="O69" s="221">
        <f>ROUND(data!BR69,0)</f>
        <v>24515</v>
      </c>
      <c r="P69" s="221">
        <f>ROUND(data!BR70,0)</f>
        <v>0</v>
      </c>
      <c r="Q69" s="221">
        <f>ROUND(data!BR71,0)</f>
        <v>0</v>
      </c>
      <c r="R69" s="221">
        <f>ROUND(data!BR72,0)</f>
        <v>0</v>
      </c>
      <c r="S69" s="221">
        <f>ROUND(data!BR73,0)</f>
        <v>0</v>
      </c>
      <c r="T69" s="221">
        <f>ROUND(data!BR74,0)</f>
        <v>0</v>
      </c>
      <c r="U69" s="221">
        <f>ROUND(data!BR75,0)</f>
        <v>0</v>
      </c>
      <c r="V69" s="221">
        <f>ROUND(data!BR76,0)</f>
        <v>0</v>
      </c>
      <c r="W69" s="221">
        <f>ROUND(data!BR77,0)</f>
        <v>0</v>
      </c>
      <c r="X69" s="221">
        <f>ROUND(data!BR78,0)</f>
        <v>0</v>
      </c>
      <c r="Y69" s="221">
        <f>ROUND(data!BR79,0)</f>
        <v>0</v>
      </c>
      <c r="Z69" s="221">
        <f>ROUND(data!BR80,0)</f>
        <v>0</v>
      </c>
      <c r="AA69" s="221">
        <f>ROUND(data!BR81,0)</f>
        <v>0</v>
      </c>
      <c r="AB69" s="221">
        <f>ROUND(data!BR82,0)</f>
        <v>0</v>
      </c>
      <c r="AC69" s="221">
        <f>ROUND(data!BR83,0)</f>
        <v>24515</v>
      </c>
      <c r="AD69" s="221">
        <f>ROUND(data!BR84,0)</f>
        <v>0</v>
      </c>
      <c r="AE69" s="221"/>
      <c r="AF69" s="221"/>
      <c r="AG69" s="221">
        <f>IF(data!BR90&gt;0,ROUND(data!BR90,0),0)</f>
        <v>3400</v>
      </c>
      <c r="AH69" s="221">
        <f>IFERROR(IF(data!BR$91&gt;0,ROUND(data!BR$91,0),0),0)</f>
        <v>0</v>
      </c>
      <c r="AI69" s="221">
        <f>IFERROR(IF(data!BR$92&gt;0,ROUND(data!BR$92,0),0),0)</f>
        <v>0</v>
      </c>
      <c r="AJ69" s="221">
        <f>IFERROR(IF(data!BR$93&gt;0,ROUND(data!BR$93,0),0),0)</f>
        <v>0</v>
      </c>
      <c r="AK69" s="211">
        <f>IFERROR(IF(data!BR$94&gt;0,ROUND(data!BR$94,2),0),0)</f>
        <v>0</v>
      </c>
      <c r="AL69" s="65"/>
      <c r="AM69" s="65"/>
      <c r="AN69" s="65"/>
      <c r="AO69" s="65"/>
      <c r="AP69" s="65"/>
      <c r="AQ69" s="65"/>
      <c r="AR69" s="65"/>
      <c r="AS69" s="65"/>
      <c r="AT69" s="65"/>
      <c r="AU69" s="65"/>
      <c r="AV69" s="65"/>
      <c r="AW69" s="65"/>
      <c r="AX69" s="65"/>
      <c r="AY69" s="65"/>
      <c r="AZ69" s="65"/>
      <c r="BA69" s="65"/>
      <c r="BB69" s="65"/>
      <c r="BC69" s="65"/>
      <c r="BD69" s="65"/>
      <c r="BE69" s="65"/>
      <c r="BF69" s="65"/>
      <c r="BG69" s="65"/>
      <c r="BH69" s="65"/>
      <c r="BI69" s="65"/>
      <c r="BJ69" s="65"/>
      <c r="BK69" s="65"/>
      <c r="BL69" s="65"/>
      <c r="BM69" s="65"/>
      <c r="BN69" s="65"/>
      <c r="BO69" s="65"/>
      <c r="BP69" s="65"/>
      <c r="BQ69" s="65"/>
      <c r="BR69" s="65"/>
      <c r="BS69" s="65"/>
      <c r="BT69" s="65"/>
      <c r="BU69" s="65"/>
      <c r="BV69" s="65"/>
      <c r="BW69" s="65"/>
      <c r="BX69" s="65"/>
      <c r="BY69" s="65"/>
      <c r="BZ69" s="65"/>
      <c r="CA69" s="65"/>
      <c r="CB69" s="65"/>
      <c r="CC69" s="65"/>
      <c r="CD69" s="65"/>
      <c r="CE69" s="65"/>
      <c r="CF69" s="65"/>
      <c r="CG69" s="65"/>
      <c r="CH69" s="65"/>
      <c r="CI69" s="65"/>
      <c r="CJ69" s="65"/>
      <c r="CK69" s="65"/>
    </row>
    <row r="70" spans="1:89" s="11" customFormat="1" ht="12.6" customHeight="1" x14ac:dyDescent="0.25">
      <c r="A70" s="15" t="str">
        <f>RIGHT(data!$C$97,3)</f>
        <v>164</v>
      </c>
      <c r="B70" s="223" t="str">
        <f>RIGHT(data!$C$96,4)</f>
        <v>2022</v>
      </c>
      <c r="C70" s="15" t="str">
        <f>data!BS$55</f>
        <v>8660</v>
      </c>
      <c r="D70" s="15" t="s">
        <v>1120</v>
      </c>
      <c r="E70" s="221"/>
      <c r="F70" s="211">
        <f>ROUND(data!BS60,2)</f>
        <v>5.69</v>
      </c>
      <c r="G70" s="221">
        <f>ROUND(data!BS61,0)</f>
        <v>367804</v>
      </c>
      <c r="H70" s="221">
        <f>ROUND(data!BS62,0)</f>
        <v>122575</v>
      </c>
      <c r="I70" s="221">
        <f>ROUND(data!BS63,0)</f>
        <v>0</v>
      </c>
      <c r="J70" s="221">
        <f>ROUND(data!BS64,0)</f>
        <v>249632</v>
      </c>
      <c r="K70" s="221">
        <f>ROUND(data!BS65,0)</f>
        <v>567</v>
      </c>
      <c r="L70" s="221">
        <f>ROUND(data!BS66,0)</f>
        <v>11734</v>
      </c>
      <c r="M70" s="65">
        <f>ROUND(data!BS67,0)</f>
        <v>17793</v>
      </c>
      <c r="N70" s="221">
        <f>ROUND(data!BS68,0)</f>
        <v>0</v>
      </c>
      <c r="O70" s="221">
        <f>ROUND(data!BS69,0)</f>
        <v>2022</v>
      </c>
      <c r="P70" s="221">
        <f>ROUND(data!BS70,0)</f>
        <v>0</v>
      </c>
      <c r="Q70" s="221">
        <f>ROUND(data!BS71,0)</f>
        <v>0</v>
      </c>
      <c r="R70" s="221">
        <f>ROUND(data!BS72,0)</f>
        <v>0</v>
      </c>
      <c r="S70" s="221">
        <f>ROUND(data!BS73,0)</f>
        <v>0</v>
      </c>
      <c r="T70" s="221">
        <f>ROUND(data!BS74,0)</f>
        <v>0</v>
      </c>
      <c r="U70" s="221">
        <f>ROUND(data!BS75,0)</f>
        <v>0</v>
      </c>
      <c r="V70" s="221">
        <f>ROUND(data!BS76,0)</f>
        <v>0</v>
      </c>
      <c r="W70" s="221">
        <f>ROUND(data!BS77,0)</f>
        <v>0</v>
      </c>
      <c r="X70" s="221">
        <f>ROUND(data!BS78,0)</f>
        <v>0</v>
      </c>
      <c r="Y70" s="221">
        <f>ROUND(data!BS79,0)</f>
        <v>0</v>
      </c>
      <c r="Z70" s="221">
        <f>ROUND(data!BS80,0)</f>
        <v>0</v>
      </c>
      <c r="AA70" s="221">
        <f>ROUND(data!BS81,0)</f>
        <v>0</v>
      </c>
      <c r="AB70" s="221">
        <f>ROUND(data!BS82,0)</f>
        <v>0</v>
      </c>
      <c r="AC70" s="221">
        <f>ROUND(data!BS83,0)</f>
        <v>2022</v>
      </c>
      <c r="AD70" s="221">
        <f>ROUND(data!BS84,0)</f>
        <v>449997</v>
      </c>
      <c r="AE70" s="221"/>
      <c r="AF70" s="221"/>
      <c r="AG70" s="221">
        <f>IF(data!BS90&gt;0,ROUND(data!BS90,0),0)</f>
        <v>5109</v>
      </c>
      <c r="AH70" s="221">
        <f>IFERROR(IF(data!BS$91&gt;0,ROUND(data!BS$91,0),0),0)</f>
        <v>0</v>
      </c>
      <c r="AI70" s="221">
        <f>IFERROR(IF(data!BS$92&gt;0,ROUND(data!BS$92,0),0),0)</f>
        <v>652</v>
      </c>
      <c r="AJ70" s="221">
        <f>IFERROR(IF(data!BS$93&gt;0,ROUND(data!BS$93,0),0),0)</f>
        <v>0</v>
      </c>
      <c r="AK70" s="211">
        <f>IFERROR(IF(data!BS$94&gt;0,ROUND(data!BS$94,2),0),0)</f>
        <v>0</v>
      </c>
      <c r="AL70" s="65"/>
      <c r="AM70" s="65"/>
      <c r="AN70" s="65"/>
      <c r="AO70" s="65"/>
      <c r="AP70" s="65"/>
      <c r="AQ70" s="65"/>
      <c r="AR70" s="65"/>
      <c r="AS70" s="65"/>
      <c r="AT70" s="65"/>
      <c r="AU70" s="65"/>
      <c r="AV70" s="65"/>
      <c r="AW70" s="65"/>
      <c r="AX70" s="65"/>
      <c r="AY70" s="65"/>
      <c r="AZ70" s="65"/>
      <c r="BA70" s="65"/>
      <c r="BB70" s="65"/>
      <c r="BC70" s="65"/>
      <c r="BD70" s="65"/>
      <c r="BE70" s="65"/>
      <c r="BF70" s="65"/>
      <c r="BG70" s="65"/>
      <c r="BH70" s="65"/>
      <c r="BI70" s="65"/>
      <c r="BJ70" s="65"/>
      <c r="BK70" s="65"/>
      <c r="BL70" s="65"/>
      <c r="BM70" s="65"/>
      <c r="BN70" s="65"/>
      <c r="BO70" s="65"/>
      <c r="BP70" s="65"/>
      <c r="BQ70" s="65"/>
      <c r="BR70" s="65"/>
      <c r="BS70" s="65"/>
      <c r="BT70" s="65"/>
      <c r="BU70" s="65"/>
      <c r="BV70" s="65"/>
      <c r="BW70" s="65"/>
      <c r="BX70" s="65"/>
      <c r="BY70" s="65"/>
      <c r="BZ70" s="65"/>
      <c r="CA70" s="65"/>
      <c r="CB70" s="65"/>
      <c r="CC70" s="65"/>
      <c r="CD70" s="65"/>
      <c r="CE70" s="65"/>
      <c r="CF70" s="65"/>
      <c r="CG70" s="65"/>
      <c r="CH70" s="65"/>
      <c r="CI70" s="65"/>
      <c r="CJ70" s="65"/>
      <c r="CK70" s="65"/>
    </row>
    <row r="71" spans="1:89" s="11" customFormat="1" ht="12.6" customHeight="1" x14ac:dyDescent="0.25">
      <c r="A71" s="15" t="str">
        <f>RIGHT(data!$C$97,3)</f>
        <v>164</v>
      </c>
      <c r="B71" s="223" t="str">
        <f>RIGHT(data!$C$96,4)</f>
        <v>2022</v>
      </c>
      <c r="C71" s="15" t="str">
        <f>data!BT$55</f>
        <v>8670</v>
      </c>
      <c r="D71" s="15" t="s">
        <v>1120</v>
      </c>
      <c r="E71" s="221"/>
      <c r="F71" s="211">
        <f>ROUND(data!BT60,2)</f>
        <v>1.8</v>
      </c>
      <c r="G71" s="221">
        <f>ROUND(data!BT61,0)</f>
        <v>137838</v>
      </c>
      <c r="H71" s="221">
        <f>ROUND(data!BT62,0)</f>
        <v>56661</v>
      </c>
      <c r="I71" s="221">
        <f>ROUND(data!BT63,0)</f>
        <v>0</v>
      </c>
      <c r="J71" s="221">
        <f>ROUND(data!BT64,0)</f>
        <v>35</v>
      </c>
      <c r="K71" s="221">
        <f>ROUND(data!BT65,0)</f>
        <v>3991</v>
      </c>
      <c r="L71" s="221">
        <f>ROUND(data!BT66,0)</f>
        <v>140</v>
      </c>
      <c r="M71" s="65">
        <f>ROUND(data!BT67,0)</f>
        <v>20389</v>
      </c>
      <c r="N71" s="221">
        <f>ROUND(data!BT68,0)</f>
        <v>0</v>
      </c>
      <c r="O71" s="221">
        <f>ROUND(data!BT69,0)</f>
        <v>0</v>
      </c>
      <c r="P71" s="221">
        <f>ROUND(data!BT70,0)</f>
        <v>0</v>
      </c>
      <c r="Q71" s="221">
        <f>ROUND(data!BT71,0)</f>
        <v>0</v>
      </c>
      <c r="R71" s="221">
        <f>ROUND(data!BT72,0)</f>
        <v>0</v>
      </c>
      <c r="S71" s="221">
        <f>ROUND(data!BT73,0)</f>
        <v>0</v>
      </c>
      <c r="T71" s="221">
        <f>ROUND(data!BT74,0)</f>
        <v>0</v>
      </c>
      <c r="U71" s="221">
        <f>ROUND(data!BT75,0)</f>
        <v>0</v>
      </c>
      <c r="V71" s="221">
        <f>ROUND(data!BT76,0)</f>
        <v>0</v>
      </c>
      <c r="W71" s="221">
        <f>ROUND(data!BT77,0)</f>
        <v>0</v>
      </c>
      <c r="X71" s="221">
        <f>ROUND(data!BT78,0)</f>
        <v>0</v>
      </c>
      <c r="Y71" s="221">
        <f>ROUND(data!BT79,0)</f>
        <v>0</v>
      </c>
      <c r="Z71" s="221">
        <f>ROUND(data!BT80,0)</f>
        <v>0</v>
      </c>
      <c r="AA71" s="221">
        <f>ROUND(data!BT81,0)</f>
        <v>0</v>
      </c>
      <c r="AB71" s="221">
        <f>ROUND(data!BT82,0)</f>
        <v>0</v>
      </c>
      <c r="AC71" s="221">
        <f>ROUND(data!BT83,0)</f>
        <v>0</v>
      </c>
      <c r="AD71" s="221">
        <f>ROUND(data!BT84,0)</f>
        <v>50</v>
      </c>
      <c r="AE71" s="221"/>
      <c r="AF71" s="221"/>
      <c r="AG71" s="221">
        <f>IF(data!BT90&gt;0,ROUND(data!BT90,0),0)</f>
        <v>947</v>
      </c>
      <c r="AH71" s="221">
        <f>IFERROR(IF(data!BT$91&gt;0,ROUND(data!BT$91,0),0),0)</f>
        <v>0</v>
      </c>
      <c r="AI71" s="221">
        <f>IFERROR(IF(data!BT$92&gt;0,ROUND(data!BT$92,0),0),0)</f>
        <v>121</v>
      </c>
      <c r="AJ71" s="221">
        <f>IFERROR(IF(data!BT$93&gt;0,ROUND(data!BT$93,0),0),0)</f>
        <v>0</v>
      </c>
      <c r="AK71" s="211">
        <f>IFERROR(IF(data!BT$94&gt;0,ROUND(data!BT$94,2),0),0)</f>
        <v>0</v>
      </c>
      <c r="AL71" s="65"/>
      <c r="AM71" s="65"/>
      <c r="AN71" s="65"/>
      <c r="AO71" s="65"/>
      <c r="AP71" s="65"/>
      <c r="AQ71" s="65"/>
      <c r="AR71" s="65"/>
      <c r="AS71" s="65"/>
      <c r="AT71" s="65"/>
      <c r="AU71" s="65"/>
      <c r="AV71" s="65"/>
      <c r="AW71" s="65"/>
      <c r="AX71" s="65"/>
      <c r="AY71" s="65"/>
      <c r="AZ71" s="65"/>
      <c r="BA71" s="65"/>
      <c r="BB71" s="65"/>
      <c r="BC71" s="65"/>
      <c r="BD71" s="65"/>
      <c r="BE71" s="65"/>
      <c r="BF71" s="65"/>
      <c r="BG71" s="65"/>
      <c r="BH71" s="65"/>
      <c r="BI71" s="65"/>
      <c r="BJ71" s="65"/>
      <c r="BK71" s="65"/>
      <c r="BL71" s="65"/>
      <c r="BM71" s="65"/>
      <c r="BN71" s="65"/>
      <c r="BO71" s="65"/>
      <c r="BP71" s="65"/>
      <c r="BQ71" s="65"/>
      <c r="BR71" s="65"/>
      <c r="BS71" s="65"/>
      <c r="BT71" s="65"/>
      <c r="BU71" s="65"/>
      <c r="BV71" s="65"/>
      <c r="BW71" s="65"/>
      <c r="BX71" s="65"/>
      <c r="BY71" s="65"/>
      <c r="BZ71" s="65"/>
      <c r="CA71" s="65"/>
      <c r="CB71" s="65"/>
      <c r="CC71" s="65"/>
      <c r="CD71" s="65"/>
      <c r="CE71" s="65"/>
      <c r="CF71" s="65"/>
      <c r="CG71" s="65"/>
      <c r="CH71" s="65"/>
      <c r="CI71" s="65"/>
      <c r="CJ71" s="65"/>
      <c r="CK71" s="65"/>
    </row>
    <row r="72" spans="1:89" s="11" customFormat="1" ht="12.6" customHeight="1" x14ac:dyDescent="0.25">
      <c r="A72" s="15" t="str">
        <f>RIGHT(data!$C$97,3)</f>
        <v>164</v>
      </c>
      <c r="B72" s="223" t="str">
        <f>RIGHT(data!$C$96,4)</f>
        <v>2022</v>
      </c>
      <c r="C72" s="15" t="str">
        <f>data!BU$55</f>
        <v>8680</v>
      </c>
      <c r="D72" s="15" t="s">
        <v>1120</v>
      </c>
      <c r="E72" s="221"/>
      <c r="F72" s="211">
        <f>ROUND(data!BU60,2)</f>
        <v>0</v>
      </c>
      <c r="G72" s="221">
        <f>ROUND(data!BU61,0)</f>
        <v>0</v>
      </c>
      <c r="H72" s="221">
        <f>ROUND(data!BU62,0)</f>
        <v>0</v>
      </c>
      <c r="I72" s="221">
        <f>ROUND(data!BU63,0)</f>
        <v>0</v>
      </c>
      <c r="J72" s="221">
        <f>ROUND(data!BU64,0)</f>
        <v>36664</v>
      </c>
      <c r="K72" s="221">
        <f>ROUND(data!BU65,0)</f>
        <v>0</v>
      </c>
      <c r="L72" s="221">
        <f>ROUND(data!BU66,0)</f>
        <v>0</v>
      </c>
      <c r="M72" s="65">
        <f>ROUND(data!BU67,0)</f>
        <v>0</v>
      </c>
      <c r="N72" s="221">
        <f>ROUND(data!BU68,0)</f>
        <v>0</v>
      </c>
      <c r="O72" s="221">
        <f>ROUND(data!BU69,0)</f>
        <v>224990</v>
      </c>
      <c r="P72" s="221">
        <f>ROUND(data!BU70,0)</f>
        <v>0</v>
      </c>
      <c r="Q72" s="221">
        <f>ROUND(data!BU71,0)</f>
        <v>0</v>
      </c>
      <c r="R72" s="221">
        <f>ROUND(data!BU72,0)</f>
        <v>0</v>
      </c>
      <c r="S72" s="221">
        <f>ROUND(data!BU73,0)</f>
        <v>0</v>
      </c>
      <c r="T72" s="221">
        <f>ROUND(data!BU74,0)</f>
        <v>0</v>
      </c>
      <c r="U72" s="221">
        <f>ROUND(data!BU75,0)</f>
        <v>0</v>
      </c>
      <c r="V72" s="221">
        <f>ROUND(data!BU76,0)</f>
        <v>0</v>
      </c>
      <c r="W72" s="221">
        <f>ROUND(data!BU77,0)</f>
        <v>0</v>
      </c>
      <c r="X72" s="221">
        <f>ROUND(data!BU78,0)</f>
        <v>0</v>
      </c>
      <c r="Y72" s="221">
        <f>ROUND(data!BU79,0)</f>
        <v>0</v>
      </c>
      <c r="Z72" s="221">
        <f>ROUND(data!BU80,0)</f>
        <v>0</v>
      </c>
      <c r="AA72" s="221">
        <f>ROUND(data!BU81,0)</f>
        <v>0</v>
      </c>
      <c r="AB72" s="221">
        <f>ROUND(data!BU82,0)</f>
        <v>0</v>
      </c>
      <c r="AC72" s="221">
        <f>ROUND(data!BU83,0)</f>
        <v>224990</v>
      </c>
      <c r="AD72" s="221">
        <f>ROUND(data!BU84,0)</f>
        <v>15000</v>
      </c>
      <c r="AE72" s="221"/>
      <c r="AF72" s="221"/>
      <c r="AG72" s="221">
        <f>IF(data!BU90&gt;0,ROUND(data!BU90,0),0)</f>
        <v>0</v>
      </c>
      <c r="AH72" s="221">
        <f>IF(data!BU91&gt;0,ROUND(data!BU91,0),0)</f>
        <v>0</v>
      </c>
      <c r="AI72" s="221">
        <f>IF(data!BU92&gt;0,ROUND(data!BU92,0),0)</f>
        <v>0</v>
      </c>
      <c r="AJ72" s="221">
        <f>IF(data!BU93&gt;0,ROUND(data!BU93,0),0)</f>
        <v>0</v>
      </c>
      <c r="AK72" s="211">
        <f>IFERROR(IF(data!BU$94&gt;0,ROUND(data!BU$94,2),0),0)</f>
        <v>0</v>
      </c>
      <c r="AL72" s="65"/>
      <c r="AM72" s="65"/>
      <c r="AN72" s="65"/>
      <c r="AO72" s="65"/>
      <c r="AP72" s="65"/>
      <c r="AQ72" s="65"/>
      <c r="AR72" s="65"/>
      <c r="AS72" s="65"/>
      <c r="AT72" s="65"/>
      <c r="AU72" s="65"/>
      <c r="AV72" s="65"/>
      <c r="AW72" s="65"/>
      <c r="AX72" s="65"/>
      <c r="AY72" s="65"/>
      <c r="AZ72" s="65"/>
      <c r="BA72" s="65"/>
      <c r="BB72" s="65"/>
      <c r="BC72" s="65"/>
      <c r="BD72" s="65"/>
      <c r="BE72" s="65"/>
      <c r="BF72" s="65"/>
      <c r="BG72" s="65"/>
      <c r="BH72" s="65"/>
      <c r="BI72" s="65"/>
      <c r="BJ72" s="65"/>
      <c r="BK72" s="65"/>
      <c r="BL72" s="65"/>
      <c r="BM72" s="65"/>
      <c r="BN72" s="65"/>
      <c r="BO72" s="65"/>
      <c r="BP72" s="65"/>
      <c r="BQ72" s="65"/>
      <c r="BR72" s="65"/>
      <c r="BS72" s="65"/>
      <c r="BT72" s="65"/>
      <c r="BU72" s="65"/>
      <c r="BV72" s="65"/>
      <c r="BW72" s="65"/>
      <c r="BX72" s="65"/>
      <c r="BY72" s="65"/>
      <c r="BZ72" s="65"/>
      <c r="CA72" s="65"/>
      <c r="CB72" s="65"/>
      <c r="CC72" s="65"/>
      <c r="CD72" s="65"/>
      <c r="CE72" s="65"/>
      <c r="CF72" s="65"/>
      <c r="CG72" s="65"/>
      <c r="CH72" s="65"/>
      <c r="CI72" s="65"/>
      <c r="CJ72" s="65"/>
      <c r="CK72" s="65"/>
    </row>
    <row r="73" spans="1:89" s="11" customFormat="1" ht="12.6" customHeight="1" x14ac:dyDescent="0.25">
      <c r="A73" s="15" t="str">
        <f>RIGHT(data!$C$97,3)</f>
        <v>164</v>
      </c>
      <c r="B73" s="223" t="str">
        <f>RIGHT(data!$C$96,4)</f>
        <v>2022</v>
      </c>
      <c r="C73" s="15" t="str">
        <f>data!BV$55</f>
        <v>8690</v>
      </c>
      <c r="D73" s="15" t="s">
        <v>1120</v>
      </c>
      <c r="E73" s="221"/>
      <c r="F73" s="211">
        <f>ROUND(data!BV60,2)</f>
        <v>55.46</v>
      </c>
      <c r="G73" s="221">
        <f>ROUND(data!BV61,0)</f>
        <v>3958012</v>
      </c>
      <c r="H73" s="221">
        <f>ROUND(data!BV62,0)</f>
        <v>1231879</v>
      </c>
      <c r="I73" s="221">
        <f>ROUND(data!BV63,0)</f>
        <v>-6745</v>
      </c>
      <c r="J73" s="221">
        <f>ROUND(data!BV64,0)</f>
        <v>7087</v>
      </c>
      <c r="K73" s="221">
        <f>ROUND(data!BV65,0)</f>
        <v>0</v>
      </c>
      <c r="L73" s="221">
        <f>ROUND(data!BV66,0)</f>
        <v>1611799</v>
      </c>
      <c r="M73" s="65">
        <f>ROUND(data!BV67,0)</f>
        <v>118183</v>
      </c>
      <c r="N73" s="221">
        <f>ROUND(data!BV68,0)</f>
        <v>30403</v>
      </c>
      <c r="O73" s="221">
        <f>ROUND(data!BV69,0)</f>
        <v>3699</v>
      </c>
      <c r="P73" s="221">
        <f>ROUND(data!BV70,0)</f>
        <v>0</v>
      </c>
      <c r="Q73" s="221">
        <f>ROUND(data!BV71,0)</f>
        <v>0</v>
      </c>
      <c r="R73" s="221">
        <f>ROUND(data!BV72,0)</f>
        <v>0</v>
      </c>
      <c r="S73" s="221">
        <f>ROUND(data!BV73,0)</f>
        <v>0</v>
      </c>
      <c r="T73" s="221">
        <f>ROUND(data!BV74,0)</f>
        <v>0</v>
      </c>
      <c r="U73" s="221">
        <f>ROUND(data!BV75,0)</f>
        <v>0</v>
      </c>
      <c r="V73" s="221">
        <f>ROUND(data!BV76,0)</f>
        <v>0</v>
      </c>
      <c r="W73" s="221">
        <f>ROUND(data!BV77,0)</f>
        <v>0</v>
      </c>
      <c r="X73" s="221">
        <f>ROUND(data!BV78,0)</f>
        <v>0</v>
      </c>
      <c r="Y73" s="221">
        <f>ROUND(data!BV79,0)</f>
        <v>0</v>
      </c>
      <c r="Z73" s="221">
        <f>ROUND(data!BV80,0)</f>
        <v>0</v>
      </c>
      <c r="AA73" s="221">
        <f>ROUND(data!BV81,0)</f>
        <v>0</v>
      </c>
      <c r="AB73" s="221">
        <f>ROUND(data!BV82,0)</f>
        <v>0</v>
      </c>
      <c r="AC73" s="221">
        <f>ROUND(data!BV83,0)</f>
        <v>3699</v>
      </c>
      <c r="AD73" s="221">
        <f>ROUND(data!BV84,0)</f>
        <v>172684</v>
      </c>
      <c r="AE73" s="221"/>
      <c r="AF73" s="221"/>
      <c r="AG73" s="221">
        <f>IF(data!BV90&gt;0,ROUND(data!BV90,0),0)</f>
        <v>17194</v>
      </c>
      <c r="AH73" s="221">
        <f>IF(data!BV91&gt;0,ROUND(data!BV91,0),0)</f>
        <v>0</v>
      </c>
      <c r="AI73" s="221">
        <f>IF(data!BV92&gt;0,ROUND(data!BV92,0),0)</f>
        <v>2193</v>
      </c>
      <c r="AJ73" s="221">
        <f>IF(data!BV93&gt;0,ROUND(data!BV93,0),0)</f>
        <v>0</v>
      </c>
      <c r="AK73" s="211">
        <f>IFERROR(IF(data!BV$94&gt;0,ROUND(data!BV$94,2),0),0)</f>
        <v>0</v>
      </c>
      <c r="AL73" s="65"/>
      <c r="AM73" s="65"/>
      <c r="AN73" s="65"/>
      <c r="AO73" s="65"/>
      <c r="AP73" s="65"/>
      <c r="AQ73" s="65"/>
      <c r="AR73" s="65"/>
      <c r="AS73" s="65"/>
      <c r="AT73" s="65"/>
      <c r="AU73" s="65"/>
      <c r="AV73" s="65"/>
      <c r="AW73" s="65"/>
      <c r="AX73" s="65"/>
      <c r="AY73" s="65"/>
      <c r="AZ73" s="65"/>
      <c r="BA73" s="65"/>
      <c r="BB73" s="65"/>
      <c r="BC73" s="65"/>
      <c r="BD73" s="65"/>
      <c r="BE73" s="65"/>
      <c r="BF73" s="65"/>
      <c r="BG73" s="65"/>
      <c r="BH73" s="65"/>
      <c r="BI73" s="65"/>
      <c r="BJ73" s="65"/>
      <c r="BK73" s="65"/>
      <c r="BL73" s="65"/>
      <c r="BM73" s="65"/>
      <c r="BN73" s="65"/>
      <c r="BO73" s="65"/>
      <c r="BP73" s="65"/>
      <c r="BQ73" s="65"/>
      <c r="BR73" s="65"/>
      <c r="BS73" s="65"/>
      <c r="BT73" s="65"/>
      <c r="BU73" s="65"/>
      <c r="BV73" s="65"/>
      <c r="BW73" s="65"/>
      <c r="BX73" s="65"/>
      <c r="BY73" s="65"/>
      <c r="BZ73" s="65"/>
      <c r="CA73" s="65"/>
      <c r="CB73" s="65"/>
      <c r="CC73" s="65"/>
      <c r="CD73" s="65"/>
      <c r="CE73" s="65"/>
      <c r="CF73" s="65"/>
      <c r="CG73" s="65"/>
      <c r="CH73" s="65"/>
      <c r="CI73" s="65"/>
      <c r="CJ73" s="65"/>
      <c r="CK73" s="65"/>
    </row>
    <row r="74" spans="1:89" s="11" customFormat="1" ht="12.6" customHeight="1" x14ac:dyDescent="0.25">
      <c r="A74" s="15" t="str">
        <f>RIGHT(data!$C$97,3)</f>
        <v>164</v>
      </c>
      <c r="B74" s="223" t="str">
        <f>RIGHT(data!$C$96,4)</f>
        <v>2022</v>
      </c>
      <c r="C74" s="15" t="str">
        <f>data!BW$55</f>
        <v>8700</v>
      </c>
      <c r="D74" s="15" t="s">
        <v>1120</v>
      </c>
      <c r="E74" s="221"/>
      <c r="F74" s="211">
        <f>ROUND(data!BW60,2)</f>
        <v>8.1199999999999992</v>
      </c>
      <c r="G74" s="221">
        <f>ROUND(data!BW61,0)</f>
        <v>3003272</v>
      </c>
      <c r="H74" s="221">
        <f>ROUND(data!BW62,0)</f>
        <v>163854</v>
      </c>
      <c r="I74" s="221">
        <f>ROUND(data!BW63,0)</f>
        <v>2138121</v>
      </c>
      <c r="J74" s="221">
        <f>ROUND(data!BW64,0)</f>
        <v>1550</v>
      </c>
      <c r="K74" s="221">
        <f>ROUND(data!BW65,0)</f>
        <v>0</v>
      </c>
      <c r="L74" s="221">
        <f>ROUND(data!BW66,0)</f>
        <v>184783</v>
      </c>
      <c r="M74" s="65">
        <f>ROUND(data!BW67,0)</f>
        <v>22702</v>
      </c>
      <c r="N74" s="221">
        <f>ROUND(data!BW68,0)</f>
        <v>0</v>
      </c>
      <c r="O74" s="221">
        <f>ROUND(data!BW69,0)</f>
        <v>11817</v>
      </c>
      <c r="P74" s="221">
        <f>ROUND(data!BW70,0)</f>
        <v>0</v>
      </c>
      <c r="Q74" s="221">
        <f>ROUND(data!BW71,0)</f>
        <v>0</v>
      </c>
      <c r="R74" s="221">
        <f>ROUND(data!BW72,0)</f>
        <v>0</v>
      </c>
      <c r="S74" s="221">
        <f>ROUND(data!BW73,0)</f>
        <v>0</v>
      </c>
      <c r="T74" s="221">
        <f>ROUND(data!BW74,0)</f>
        <v>0</v>
      </c>
      <c r="U74" s="221">
        <f>ROUND(data!BW75,0)</f>
        <v>0</v>
      </c>
      <c r="V74" s="221">
        <f>ROUND(data!BW76,0)</f>
        <v>0</v>
      </c>
      <c r="W74" s="221">
        <f>ROUND(data!BW77,0)</f>
        <v>0</v>
      </c>
      <c r="X74" s="221">
        <f>ROUND(data!BW78,0)</f>
        <v>0</v>
      </c>
      <c r="Y74" s="221">
        <f>ROUND(data!BW79,0)</f>
        <v>0</v>
      </c>
      <c r="Z74" s="221">
        <f>ROUND(data!BW80,0)</f>
        <v>0</v>
      </c>
      <c r="AA74" s="221">
        <f>ROUND(data!BW81,0)</f>
        <v>0</v>
      </c>
      <c r="AB74" s="221">
        <f>ROUND(data!BW82,0)</f>
        <v>0</v>
      </c>
      <c r="AC74" s="221">
        <f>ROUND(data!BW83,0)</f>
        <v>11817</v>
      </c>
      <c r="AD74" s="221">
        <f>ROUND(data!BW84,0)</f>
        <v>512592</v>
      </c>
      <c r="AE74" s="221"/>
      <c r="AF74" s="221"/>
      <c r="AG74" s="221">
        <f>IF(data!BW90&gt;0,ROUND(data!BW90,0),0)</f>
        <v>3446</v>
      </c>
      <c r="AH74" s="221">
        <f>IF(data!BW91&gt;0,ROUND(data!BW91,0),0)</f>
        <v>0</v>
      </c>
      <c r="AI74" s="221">
        <f>IF(data!BW92&gt;0,ROUND(data!BW92,0),0)</f>
        <v>440</v>
      </c>
      <c r="AJ74" s="221">
        <f>IF(data!BW93&gt;0,ROUND(data!BW93,0),0)</f>
        <v>0</v>
      </c>
      <c r="AK74" s="211">
        <f>IFERROR(IF(data!BW$94&gt;0,ROUND(data!BW$94,2),0),0)</f>
        <v>0</v>
      </c>
      <c r="AL74" s="65"/>
      <c r="AM74" s="65"/>
      <c r="AN74" s="65"/>
      <c r="AO74" s="65"/>
      <c r="AP74" s="65"/>
      <c r="AQ74" s="65"/>
      <c r="AR74" s="65"/>
      <c r="AS74" s="65"/>
      <c r="AT74" s="65"/>
      <c r="AU74" s="65"/>
      <c r="AV74" s="65"/>
      <c r="AW74" s="65"/>
      <c r="AX74" s="65"/>
      <c r="AY74" s="65"/>
      <c r="AZ74" s="65"/>
      <c r="BA74" s="65"/>
      <c r="BB74" s="65"/>
      <c r="BC74" s="65"/>
      <c r="BD74" s="65"/>
      <c r="BE74" s="65"/>
      <c r="BF74" s="65"/>
      <c r="BG74" s="65"/>
      <c r="BH74" s="65"/>
      <c r="BI74" s="65"/>
      <c r="BJ74" s="65"/>
      <c r="BK74" s="65"/>
      <c r="BL74" s="65"/>
      <c r="BM74" s="65"/>
      <c r="BN74" s="65"/>
      <c r="BO74" s="65"/>
      <c r="BP74" s="65"/>
      <c r="BQ74" s="65"/>
      <c r="BR74" s="65"/>
      <c r="BS74" s="65"/>
      <c r="BT74" s="65"/>
      <c r="BU74" s="65"/>
      <c r="BV74" s="65"/>
      <c r="BW74" s="65"/>
      <c r="BX74" s="65"/>
      <c r="BY74" s="65"/>
      <c r="BZ74" s="65"/>
      <c r="CA74" s="65"/>
      <c r="CB74" s="65"/>
      <c r="CC74" s="65"/>
      <c r="CD74" s="65"/>
      <c r="CE74" s="65"/>
      <c r="CF74" s="65"/>
      <c r="CG74" s="65"/>
      <c r="CH74" s="65"/>
      <c r="CI74" s="65"/>
      <c r="CJ74" s="65"/>
      <c r="CK74" s="65"/>
    </row>
    <row r="75" spans="1:89" s="11" customFormat="1" ht="12.6" customHeight="1" x14ac:dyDescent="0.25">
      <c r="A75" s="15" t="str">
        <f>RIGHT(data!$C$97,3)</f>
        <v>164</v>
      </c>
      <c r="B75" s="223" t="str">
        <f>RIGHT(data!$C$96,4)</f>
        <v>2022</v>
      </c>
      <c r="C75" s="15" t="str">
        <f>data!BX$55</f>
        <v>8710</v>
      </c>
      <c r="D75" s="15" t="s">
        <v>1120</v>
      </c>
      <c r="E75" s="221"/>
      <c r="F75" s="211">
        <f>ROUND(data!BX60,2)</f>
        <v>53.62</v>
      </c>
      <c r="G75" s="221">
        <f>ROUND(data!BX61,0)</f>
        <v>6611061</v>
      </c>
      <c r="H75" s="221">
        <f>ROUND(data!BX62,0)</f>
        <v>1369685</v>
      </c>
      <c r="I75" s="221">
        <f>ROUND(data!BX63,0)</f>
        <v>125945</v>
      </c>
      <c r="J75" s="221">
        <f>ROUND(data!BX64,0)</f>
        <v>57496</v>
      </c>
      <c r="K75" s="221">
        <f>ROUND(data!BX65,0)</f>
        <v>6388</v>
      </c>
      <c r="L75" s="221">
        <f>ROUND(data!BX66,0)</f>
        <v>1163552</v>
      </c>
      <c r="M75" s="65">
        <f>ROUND(data!BX67,0)</f>
        <v>66353</v>
      </c>
      <c r="N75" s="221">
        <f>ROUND(data!BX68,0)</f>
        <v>0</v>
      </c>
      <c r="O75" s="221">
        <f>ROUND(data!BX69,0)</f>
        <v>10129</v>
      </c>
      <c r="P75" s="221">
        <f>ROUND(data!BX70,0)</f>
        <v>0</v>
      </c>
      <c r="Q75" s="221">
        <f>ROUND(data!BX71,0)</f>
        <v>0</v>
      </c>
      <c r="R75" s="221">
        <f>ROUND(data!BX72,0)</f>
        <v>0</v>
      </c>
      <c r="S75" s="221">
        <f>ROUND(data!BX73,0)</f>
        <v>0</v>
      </c>
      <c r="T75" s="221">
        <f>ROUND(data!BX74,0)</f>
        <v>0</v>
      </c>
      <c r="U75" s="221">
        <f>ROUND(data!BX75,0)</f>
        <v>0</v>
      </c>
      <c r="V75" s="221">
        <f>ROUND(data!BX76,0)</f>
        <v>0</v>
      </c>
      <c r="W75" s="221">
        <f>ROUND(data!BX77,0)</f>
        <v>0</v>
      </c>
      <c r="X75" s="221">
        <f>ROUND(data!BX78,0)</f>
        <v>0</v>
      </c>
      <c r="Y75" s="221">
        <f>ROUND(data!BX79,0)</f>
        <v>0</v>
      </c>
      <c r="Z75" s="221">
        <f>ROUND(data!BX80,0)</f>
        <v>0</v>
      </c>
      <c r="AA75" s="221">
        <f>ROUND(data!BX81,0)</f>
        <v>0</v>
      </c>
      <c r="AB75" s="221">
        <f>ROUND(data!BX82,0)</f>
        <v>0</v>
      </c>
      <c r="AC75" s="221">
        <f>ROUND(data!BX83,0)</f>
        <v>10129</v>
      </c>
      <c r="AD75" s="221">
        <f>ROUND(data!BX84,0)</f>
        <v>69884</v>
      </c>
      <c r="AE75" s="221"/>
      <c r="AF75" s="221"/>
      <c r="AG75" s="221">
        <f>IF(data!BX90&gt;0,ROUND(data!BX90,0),0)</f>
        <v>3549</v>
      </c>
      <c r="AH75" s="221">
        <f>IF(data!BX91&gt;0,ROUND(data!BX91,0),0)</f>
        <v>0</v>
      </c>
      <c r="AI75" s="221">
        <f>IF(data!BX92&gt;0,ROUND(data!BX92,0),0)</f>
        <v>453</v>
      </c>
      <c r="AJ75" s="221">
        <f>IF(data!BX93&gt;0,ROUND(data!BX93,0),0)</f>
        <v>0</v>
      </c>
      <c r="AK75" s="211">
        <f>IFERROR(IF(data!BX$94&gt;0,ROUND(data!BX$94,2),0),0)</f>
        <v>0</v>
      </c>
      <c r="AL75" s="65"/>
      <c r="AM75" s="65"/>
      <c r="AN75" s="65"/>
      <c r="AO75" s="65"/>
      <c r="AP75" s="65"/>
      <c r="AQ75" s="65"/>
      <c r="AR75" s="65"/>
      <c r="AS75" s="65"/>
      <c r="AT75" s="65"/>
      <c r="AU75" s="65"/>
      <c r="AV75" s="65"/>
      <c r="AW75" s="65"/>
      <c r="AX75" s="65"/>
      <c r="AY75" s="65"/>
      <c r="AZ75" s="65"/>
      <c r="BA75" s="65"/>
      <c r="BB75" s="65"/>
      <c r="BC75" s="65"/>
      <c r="BD75" s="65"/>
      <c r="BE75" s="65"/>
      <c r="BF75" s="65"/>
      <c r="BG75" s="65"/>
      <c r="BH75" s="65"/>
      <c r="BI75" s="65"/>
      <c r="BJ75" s="65"/>
      <c r="BK75" s="65"/>
      <c r="BL75" s="65"/>
      <c r="BM75" s="65"/>
      <c r="BN75" s="65"/>
      <c r="BO75" s="65"/>
      <c r="BP75" s="65"/>
      <c r="BQ75" s="65"/>
      <c r="BR75" s="65"/>
      <c r="BS75" s="65"/>
      <c r="BT75" s="65"/>
      <c r="BU75" s="65"/>
      <c r="BV75" s="65"/>
      <c r="BW75" s="65"/>
      <c r="BX75" s="65"/>
      <c r="BY75" s="65"/>
      <c r="BZ75" s="65"/>
      <c r="CA75" s="65"/>
      <c r="CB75" s="65"/>
      <c r="CC75" s="65"/>
      <c r="CD75" s="65"/>
      <c r="CE75" s="65"/>
      <c r="CF75" s="65"/>
      <c r="CG75" s="65"/>
      <c r="CH75" s="65"/>
      <c r="CI75" s="65"/>
      <c r="CJ75" s="65"/>
      <c r="CK75" s="65"/>
    </row>
    <row r="76" spans="1:89" s="11" customFormat="1" ht="12.6" customHeight="1" x14ac:dyDescent="0.25">
      <c r="A76" s="15" t="str">
        <f>RIGHT(data!$C$97,3)</f>
        <v>164</v>
      </c>
      <c r="B76" s="223" t="str">
        <f>RIGHT(data!$C$96,4)</f>
        <v>2022</v>
      </c>
      <c r="C76" s="15" t="str">
        <f>data!BY$55</f>
        <v>8720</v>
      </c>
      <c r="D76" s="15" t="s">
        <v>1120</v>
      </c>
      <c r="E76" s="221"/>
      <c r="F76" s="211">
        <f>ROUND(data!BY60,2)</f>
        <v>12.34</v>
      </c>
      <c r="G76" s="221">
        <f>ROUND(data!BY61,0)</f>
        <v>1494478</v>
      </c>
      <c r="H76" s="221">
        <f>ROUND(data!BY62,0)</f>
        <v>374354</v>
      </c>
      <c r="I76" s="221">
        <f>ROUND(data!BY63,0)</f>
        <v>1280</v>
      </c>
      <c r="J76" s="221">
        <f>ROUND(data!BY64,0)</f>
        <v>8731</v>
      </c>
      <c r="K76" s="221">
        <f>ROUND(data!BY65,0)</f>
        <v>1241</v>
      </c>
      <c r="L76" s="221">
        <f>ROUND(data!BY66,0)</f>
        <v>109943</v>
      </c>
      <c r="M76" s="65">
        <f>ROUND(data!BY67,0)</f>
        <v>219574</v>
      </c>
      <c r="N76" s="221">
        <f>ROUND(data!BY68,0)</f>
        <v>0</v>
      </c>
      <c r="O76" s="221">
        <f>ROUND(data!BY69,0)</f>
        <v>16493</v>
      </c>
      <c r="P76" s="221">
        <f>ROUND(data!BY70,0)</f>
        <v>0</v>
      </c>
      <c r="Q76" s="221">
        <f>ROUND(data!BY71,0)</f>
        <v>0</v>
      </c>
      <c r="R76" s="221">
        <f>ROUND(data!BY72,0)</f>
        <v>0</v>
      </c>
      <c r="S76" s="221">
        <f>ROUND(data!BY73,0)</f>
        <v>0</v>
      </c>
      <c r="T76" s="221">
        <f>ROUND(data!BY74,0)</f>
        <v>0</v>
      </c>
      <c r="U76" s="221">
        <f>ROUND(data!BY75,0)</f>
        <v>0</v>
      </c>
      <c r="V76" s="221">
        <f>ROUND(data!BY76,0)</f>
        <v>0</v>
      </c>
      <c r="W76" s="221">
        <f>ROUND(data!BY77,0)</f>
        <v>0</v>
      </c>
      <c r="X76" s="221">
        <f>ROUND(data!BY78,0)</f>
        <v>0</v>
      </c>
      <c r="Y76" s="221">
        <f>ROUND(data!BY79,0)</f>
        <v>0</v>
      </c>
      <c r="Z76" s="221">
        <f>ROUND(data!BY80,0)</f>
        <v>0</v>
      </c>
      <c r="AA76" s="221">
        <f>ROUND(data!BY81,0)</f>
        <v>0</v>
      </c>
      <c r="AB76" s="221">
        <f>ROUND(data!BY82,0)</f>
        <v>0</v>
      </c>
      <c r="AC76" s="221">
        <f>ROUND(data!BY83,0)</f>
        <v>16493</v>
      </c>
      <c r="AD76" s="221">
        <f>ROUND(data!BY84,0)</f>
        <v>5640</v>
      </c>
      <c r="AE76" s="221"/>
      <c r="AF76" s="221"/>
      <c r="AG76" s="221">
        <f>IF(data!BY90&gt;0,ROUND(data!BY90,0),0)</f>
        <v>1319</v>
      </c>
      <c r="AH76" s="221">
        <f>IF(data!BY91&gt;0,ROUND(data!BY91,0),0)</f>
        <v>0</v>
      </c>
      <c r="AI76" s="221">
        <f>IF(data!BY92&gt;0,ROUND(data!BY92,0),0)</f>
        <v>168</v>
      </c>
      <c r="AJ76" s="221">
        <f>IF(data!BY93&gt;0,ROUND(data!BY93,0),0)</f>
        <v>0</v>
      </c>
      <c r="AK76" s="211">
        <f>IFERROR(IF(data!BY$94&gt;0,ROUND(data!BY$94,2),0),0)</f>
        <v>0</v>
      </c>
      <c r="AL76" s="65"/>
      <c r="AM76" s="65"/>
      <c r="AN76" s="65"/>
      <c r="AO76" s="65"/>
      <c r="AP76" s="65"/>
      <c r="AQ76" s="65"/>
      <c r="AR76" s="65"/>
      <c r="AS76" s="65"/>
      <c r="AT76" s="65"/>
      <c r="AU76" s="65"/>
      <c r="AV76" s="65"/>
      <c r="AW76" s="65"/>
      <c r="AX76" s="65"/>
      <c r="AY76" s="65"/>
      <c r="AZ76" s="65"/>
      <c r="BA76" s="65"/>
      <c r="BB76" s="65"/>
      <c r="BC76" s="65"/>
      <c r="BD76" s="65"/>
      <c r="BE76" s="65"/>
      <c r="BF76" s="65"/>
      <c r="BG76" s="65"/>
      <c r="BH76" s="65"/>
      <c r="BI76" s="65"/>
      <c r="BJ76" s="65"/>
      <c r="BK76" s="65"/>
      <c r="BL76" s="65"/>
      <c r="BM76" s="65"/>
      <c r="BN76" s="65"/>
      <c r="BO76" s="65"/>
      <c r="BP76" s="65"/>
      <c r="BQ76" s="65"/>
      <c r="BR76" s="65"/>
      <c r="BS76" s="65"/>
      <c r="BT76" s="65"/>
      <c r="BU76" s="65"/>
      <c r="BV76" s="65"/>
      <c r="BW76" s="65"/>
      <c r="BX76" s="65"/>
      <c r="BY76" s="65"/>
      <c r="BZ76" s="65"/>
      <c r="CA76" s="65"/>
      <c r="CB76" s="65"/>
      <c r="CC76" s="65"/>
      <c r="CD76" s="65"/>
      <c r="CE76" s="65"/>
      <c r="CF76" s="65"/>
      <c r="CG76" s="65"/>
      <c r="CH76" s="65"/>
      <c r="CI76" s="65"/>
      <c r="CJ76" s="65"/>
      <c r="CK76" s="65"/>
    </row>
    <row r="77" spans="1:89" s="11" customFormat="1" ht="12.6" customHeight="1" x14ac:dyDescent="0.25">
      <c r="A77" s="15" t="str">
        <f>RIGHT(data!$C$97,3)</f>
        <v>164</v>
      </c>
      <c r="B77" s="223" t="str">
        <f>RIGHT(data!$C$96,4)</f>
        <v>2022</v>
      </c>
      <c r="C77" s="15" t="str">
        <f>data!BZ$55</f>
        <v>8730</v>
      </c>
      <c r="D77" s="15" t="s">
        <v>1120</v>
      </c>
      <c r="E77" s="221"/>
      <c r="F77" s="211">
        <f>ROUND(data!BZ60,2)</f>
        <v>41.36</v>
      </c>
      <c r="G77" s="221">
        <f>ROUND(data!BZ61,0)</f>
        <v>4227814</v>
      </c>
      <c r="H77" s="221">
        <f>ROUND(data!BZ62,0)</f>
        <v>1188814</v>
      </c>
      <c r="I77" s="221">
        <f>ROUND(data!BZ63,0)</f>
        <v>0</v>
      </c>
      <c r="J77" s="221">
        <f>ROUND(data!BZ64,0)</f>
        <v>3719</v>
      </c>
      <c r="K77" s="221">
        <f>ROUND(data!BZ65,0)</f>
        <v>0</v>
      </c>
      <c r="L77" s="221">
        <f>ROUND(data!BZ66,0)</f>
        <v>20</v>
      </c>
      <c r="M77" s="65">
        <f>ROUND(data!BZ67,0)</f>
        <v>6913</v>
      </c>
      <c r="N77" s="221">
        <f>ROUND(data!BZ68,0)</f>
        <v>0</v>
      </c>
      <c r="O77" s="221">
        <f>ROUND(data!BZ69,0)</f>
        <v>2157</v>
      </c>
      <c r="P77" s="221">
        <f>ROUND(data!BZ70,0)</f>
        <v>0</v>
      </c>
      <c r="Q77" s="221">
        <f>ROUND(data!BZ71,0)</f>
        <v>0</v>
      </c>
      <c r="R77" s="221">
        <f>ROUND(data!BZ72,0)</f>
        <v>0</v>
      </c>
      <c r="S77" s="221">
        <f>ROUND(data!BZ73,0)</f>
        <v>0</v>
      </c>
      <c r="T77" s="221">
        <f>ROUND(data!BZ74,0)</f>
        <v>0</v>
      </c>
      <c r="U77" s="221">
        <f>ROUND(data!BZ75,0)</f>
        <v>0</v>
      </c>
      <c r="V77" s="221">
        <f>ROUND(data!BZ76,0)</f>
        <v>0</v>
      </c>
      <c r="W77" s="221">
        <f>ROUND(data!BZ77,0)</f>
        <v>0</v>
      </c>
      <c r="X77" s="221">
        <f>ROUND(data!BZ78,0)</f>
        <v>0</v>
      </c>
      <c r="Y77" s="221">
        <f>ROUND(data!BZ79,0)</f>
        <v>0</v>
      </c>
      <c r="Z77" s="221">
        <f>ROUND(data!BZ80,0)</f>
        <v>0</v>
      </c>
      <c r="AA77" s="221">
        <f>ROUND(data!BZ81,0)</f>
        <v>0</v>
      </c>
      <c r="AB77" s="221">
        <f>ROUND(data!BZ82,0)</f>
        <v>0</v>
      </c>
      <c r="AC77" s="221">
        <f>ROUND(data!BZ83,0)</f>
        <v>2157</v>
      </c>
      <c r="AD77" s="221">
        <f>ROUND(data!BZ84,0)</f>
        <v>0</v>
      </c>
      <c r="AE77" s="221"/>
      <c r="AF77" s="221"/>
      <c r="AG77" s="221">
        <f>IF(data!BZ90&gt;0,ROUND(data!BZ90,0),0)</f>
        <v>0</v>
      </c>
      <c r="AH77" s="221">
        <f>IF(data!BZ91&gt;0,ROUND(data!BZ91,0),0)</f>
        <v>0</v>
      </c>
      <c r="AI77" s="221">
        <f>IF(data!BZ92&gt;0,ROUND(data!BZ92,0),0)</f>
        <v>0</v>
      </c>
      <c r="AJ77" s="221">
        <f>IF(data!BZ93&gt;0,ROUND(data!BZ93,0),0)</f>
        <v>0</v>
      </c>
      <c r="AK77" s="211">
        <f>IFERROR(IF(data!BZ$94&gt;0,ROUND(data!BZ$94,2),0),0)</f>
        <v>0</v>
      </c>
      <c r="AL77" s="65"/>
      <c r="AM77" s="65"/>
      <c r="AN77" s="65"/>
      <c r="AO77" s="65"/>
      <c r="AP77" s="65"/>
      <c r="AQ77" s="65"/>
      <c r="AR77" s="65"/>
      <c r="AS77" s="65"/>
      <c r="AT77" s="65"/>
      <c r="AU77" s="65"/>
      <c r="AV77" s="65"/>
      <c r="AW77" s="65"/>
      <c r="AX77" s="65"/>
      <c r="AY77" s="65"/>
      <c r="AZ77" s="65"/>
      <c r="BA77" s="65"/>
      <c r="BB77" s="65"/>
      <c r="BC77" s="65"/>
      <c r="BD77" s="65"/>
      <c r="BE77" s="65"/>
      <c r="BF77" s="65"/>
      <c r="BG77" s="65"/>
      <c r="BH77" s="65"/>
      <c r="BI77" s="65"/>
      <c r="BJ77" s="65"/>
      <c r="BK77" s="65"/>
      <c r="BL77" s="65"/>
      <c r="BM77" s="65"/>
      <c r="BN77" s="65"/>
      <c r="BO77" s="65"/>
      <c r="BP77" s="65"/>
      <c r="BQ77" s="65"/>
      <c r="BR77" s="65"/>
      <c r="BS77" s="65"/>
      <c r="BT77" s="65"/>
      <c r="BU77" s="65"/>
      <c r="BV77" s="65"/>
      <c r="BW77" s="65"/>
      <c r="BX77" s="65"/>
      <c r="BY77" s="65"/>
      <c r="BZ77" s="65"/>
      <c r="CA77" s="65"/>
      <c r="CB77" s="65"/>
      <c r="CC77" s="65"/>
      <c r="CD77" s="65"/>
      <c r="CE77" s="65"/>
      <c r="CF77" s="65"/>
      <c r="CG77" s="65"/>
      <c r="CH77" s="65"/>
      <c r="CI77" s="65"/>
      <c r="CJ77" s="65"/>
      <c r="CK77" s="65"/>
    </row>
    <row r="78" spans="1:89" s="11" customFormat="1" ht="12.6" customHeight="1" x14ac:dyDescent="0.25">
      <c r="A78" s="15" t="str">
        <f>RIGHT(data!$C$97,3)</f>
        <v>164</v>
      </c>
      <c r="B78" s="223" t="str">
        <f>RIGHT(data!$C$96,4)</f>
        <v>2022</v>
      </c>
      <c r="C78" s="15" t="str">
        <f>data!CA$55</f>
        <v>8740</v>
      </c>
      <c r="D78" s="15" t="s">
        <v>1120</v>
      </c>
      <c r="E78" s="221"/>
      <c r="F78" s="211">
        <f>ROUND(data!CA60,2)</f>
        <v>14.16</v>
      </c>
      <c r="G78" s="221">
        <f>ROUND(data!CA61,0)</f>
        <v>1661008</v>
      </c>
      <c r="H78" s="221">
        <f>ROUND(data!CA62,0)</f>
        <v>399258</v>
      </c>
      <c r="I78" s="221">
        <f>ROUND(data!CA63,0)</f>
        <v>1031</v>
      </c>
      <c r="J78" s="221">
        <f>ROUND(data!CA64,0)</f>
        <v>369301</v>
      </c>
      <c r="K78" s="221">
        <f>ROUND(data!CA65,0)</f>
        <v>0</v>
      </c>
      <c r="L78" s="221">
        <f>ROUND(data!CA66,0)</f>
        <v>319247</v>
      </c>
      <c r="M78" s="65">
        <f>ROUND(data!CA67,0)</f>
        <v>18108</v>
      </c>
      <c r="N78" s="221">
        <f>ROUND(data!CA68,0)</f>
        <v>0</v>
      </c>
      <c r="O78" s="221">
        <f>ROUND(data!CA69,0)</f>
        <v>383322</v>
      </c>
      <c r="P78" s="221">
        <f>ROUND(data!CA70,0)</f>
        <v>0</v>
      </c>
      <c r="Q78" s="221">
        <f>ROUND(data!CA71,0)</f>
        <v>0</v>
      </c>
      <c r="R78" s="221">
        <f>ROUND(data!CA72,0)</f>
        <v>0</v>
      </c>
      <c r="S78" s="221">
        <f>ROUND(data!CA73,0)</f>
        <v>0</v>
      </c>
      <c r="T78" s="221">
        <f>ROUND(data!CA74,0)</f>
        <v>0</v>
      </c>
      <c r="U78" s="221">
        <f>ROUND(data!CA75,0)</f>
        <v>0</v>
      </c>
      <c r="V78" s="221">
        <f>ROUND(data!CA76,0)</f>
        <v>0</v>
      </c>
      <c r="W78" s="221">
        <f>ROUND(data!CA77,0)</f>
        <v>0</v>
      </c>
      <c r="X78" s="221">
        <f>ROUND(data!CA78,0)</f>
        <v>0</v>
      </c>
      <c r="Y78" s="221">
        <f>ROUND(data!CA79,0)</f>
        <v>0</v>
      </c>
      <c r="Z78" s="221">
        <f>ROUND(data!CA80,0)</f>
        <v>0</v>
      </c>
      <c r="AA78" s="221">
        <f>ROUND(data!CA81,0)</f>
        <v>0</v>
      </c>
      <c r="AB78" s="221">
        <f>ROUND(data!CA82,0)</f>
        <v>0</v>
      </c>
      <c r="AC78" s="221">
        <f>ROUND(data!CA83,0)</f>
        <v>383322</v>
      </c>
      <c r="AD78" s="221">
        <f>ROUND(data!CA84,0)</f>
        <v>0</v>
      </c>
      <c r="AE78" s="221"/>
      <c r="AF78" s="221"/>
      <c r="AG78" s="221">
        <f>IF(data!CA90&gt;0,ROUND(data!CA90,0),0)</f>
        <v>5571</v>
      </c>
      <c r="AH78" s="221">
        <f>IF(data!CA91&gt;0,ROUND(data!CA91,0),0)</f>
        <v>0</v>
      </c>
      <c r="AI78" s="221">
        <f>IF(data!CA92&gt;0,ROUND(data!CA92,0),0)</f>
        <v>711</v>
      </c>
      <c r="AJ78" s="221">
        <f>IF(data!CA93&gt;0,ROUND(data!CA93,0),0)</f>
        <v>0</v>
      </c>
      <c r="AK78" s="211">
        <f>IFERROR(IF(data!CA$94&gt;0,ROUND(data!CA$94,2),0),0)</f>
        <v>0</v>
      </c>
      <c r="AL78" s="65"/>
      <c r="AM78" s="65"/>
      <c r="AN78" s="65"/>
      <c r="AO78" s="65"/>
      <c r="AP78" s="65"/>
      <c r="AQ78" s="65"/>
      <c r="AR78" s="65"/>
      <c r="AS78" s="65"/>
      <c r="AT78" s="65"/>
      <c r="AU78" s="65"/>
      <c r="AV78" s="65"/>
      <c r="AW78" s="65"/>
      <c r="AX78" s="65"/>
      <c r="AY78" s="65"/>
      <c r="AZ78" s="65"/>
      <c r="BA78" s="65"/>
      <c r="BB78" s="65"/>
      <c r="BC78" s="65"/>
      <c r="BD78" s="65"/>
      <c r="BE78" s="65"/>
      <c r="BF78" s="65"/>
      <c r="BG78" s="65"/>
      <c r="BH78" s="65"/>
      <c r="BI78" s="65"/>
      <c r="BJ78" s="65"/>
      <c r="BK78" s="65"/>
      <c r="BL78" s="65"/>
      <c r="BM78" s="65"/>
      <c r="BN78" s="65"/>
      <c r="BO78" s="65"/>
      <c r="BP78" s="65"/>
      <c r="BQ78" s="65"/>
      <c r="BR78" s="65"/>
      <c r="BS78" s="65"/>
      <c r="BT78" s="65"/>
      <c r="BU78" s="65"/>
      <c r="BV78" s="65"/>
      <c r="BW78" s="65"/>
      <c r="BX78" s="65"/>
      <c r="BY78" s="65"/>
      <c r="BZ78" s="65"/>
      <c r="CA78" s="65"/>
      <c r="CB78" s="65"/>
      <c r="CC78" s="65"/>
      <c r="CD78" s="65"/>
      <c r="CE78" s="65"/>
      <c r="CF78" s="65"/>
      <c r="CG78" s="65"/>
      <c r="CH78" s="65"/>
      <c r="CI78" s="65"/>
      <c r="CJ78" s="65"/>
      <c r="CK78" s="65"/>
    </row>
    <row r="79" spans="1:89" s="11" customFormat="1" ht="12.6" customHeight="1" x14ac:dyDescent="0.25">
      <c r="A79" s="15" t="str">
        <f>RIGHT(data!$C$97,3)</f>
        <v>164</v>
      </c>
      <c r="B79" s="223" t="str">
        <f>RIGHT(data!$C$96,4)</f>
        <v>2022</v>
      </c>
      <c r="C79" s="15" t="str">
        <f>data!CB$55</f>
        <v>8770</v>
      </c>
      <c r="D79" s="15" t="s">
        <v>1120</v>
      </c>
      <c r="E79" s="221"/>
      <c r="F79" s="211">
        <f>ROUND(data!CB60,2)</f>
        <v>84.2</v>
      </c>
      <c r="G79" s="221">
        <f>ROUND(data!CB61,0)</f>
        <v>6769443</v>
      </c>
      <c r="H79" s="221">
        <f>ROUND(data!CB62,0)</f>
        <v>1862526</v>
      </c>
      <c r="I79" s="221">
        <f>ROUND(data!CB63,0)</f>
        <v>0</v>
      </c>
      <c r="J79" s="221">
        <f>ROUND(data!CB64,0)</f>
        <v>43238</v>
      </c>
      <c r="K79" s="221">
        <f>ROUND(data!CB65,0)</f>
        <v>4464</v>
      </c>
      <c r="L79" s="221">
        <f>ROUND(data!CB66,0)</f>
        <v>52142</v>
      </c>
      <c r="M79" s="65">
        <f>ROUND(data!CB67,0)</f>
        <v>144318</v>
      </c>
      <c r="N79" s="221">
        <f>ROUND(data!CB68,0)</f>
        <v>77211</v>
      </c>
      <c r="O79" s="221">
        <f>ROUND(data!CB69,0)</f>
        <v>1868</v>
      </c>
      <c r="P79" s="221">
        <f>ROUND(data!CB70,0)</f>
        <v>0</v>
      </c>
      <c r="Q79" s="221">
        <f>ROUND(data!CB71,0)</f>
        <v>0</v>
      </c>
      <c r="R79" s="221">
        <f>ROUND(data!CB72,0)</f>
        <v>0</v>
      </c>
      <c r="S79" s="221">
        <f>ROUND(data!CB73,0)</f>
        <v>0</v>
      </c>
      <c r="T79" s="221">
        <f>ROUND(data!CB74,0)</f>
        <v>0</v>
      </c>
      <c r="U79" s="221">
        <f>ROUND(data!CB75,0)</f>
        <v>0</v>
      </c>
      <c r="V79" s="221">
        <f>ROUND(data!CB76,0)</f>
        <v>0</v>
      </c>
      <c r="W79" s="221">
        <f>ROUND(data!CB77,0)</f>
        <v>0</v>
      </c>
      <c r="X79" s="221">
        <f>ROUND(data!CB78,0)</f>
        <v>0</v>
      </c>
      <c r="Y79" s="221">
        <f>ROUND(data!CB79,0)</f>
        <v>0</v>
      </c>
      <c r="Z79" s="221">
        <f>ROUND(data!CB80,0)</f>
        <v>0</v>
      </c>
      <c r="AA79" s="221">
        <f>ROUND(data!CB81,0)</f>
        <v>0</v>
      </c>
      <c r="AB79" s="221">
        <f>ROUND(data!CB82,0)</f>
        <v>0</v>
      </c>
      <c r="AC79" s="221">
        <f>ROUND(data!CB83,0)</f>
        <v>1868</v>
      </c>
      <c r="AD79" s="221">
        <f>ROUND(data!CB84,0)</f>
        <v>1472779</v>
      </c>
      <c r="AE79" s="221"/>
      <c r="AF79" s="221"/>
      <c r="AG79" s="221">
        <f>IF(data!CB90&gt;0,ROUND(data!CB90,0),0)</f>
        <v>4031</v>
      </c>
      <c r="AH79" s="221">
        <f>IF(data!CB91&gt;0,ROUND(data!CB91,0),0)</f>
        <v>0</v>
      </c>
      <c r="AI79" s="221">
        <f>IF(data!CB92&gt;0,ROUND(data!CB92,0),0)</f>
        <v>514</v>
      </c>
      <c r="AJ79" s="221">
        <f>IF(data!CB93&gt;0,ROUND(data!CB93,0),0)</f>
        <v>0</v>
      </c>
      <c r="AK79" s="211">
        <f>IFERROR(IF(data!CB$94&gt;0,ROUND(data!CB$94,2),0),0)</f>
        <v>0</v>
      </c>
      <c r="AL79" s="65"/>
      <c r="AM79" s="65"/>
      <c r="AN79" s="65"/>
      <c r="AO79" s="65"/>
      <c r="AP79" s="65"/>
      <c r="AQ79" s="65"/>
      <c r="AR79" s="65"/>
      <c r="AS79" s="65"/>
      <c r="AT79" s="65"/>
      <c r="AU79" s="65"/>
      <c r="AV79" s="65"/>
      <c r="AW79" s="65"/>
      <c r="AX79" s="65"/>
      <c r="AY79" s="65"/>
      <c r="AZ79" s="65"/>
      <c r="BA79" s="65"/>
      <c r="BB79" s="65"/>
      <c r="BC79" s="65"/>
      <c r="BD79" s="65"/>
      <c r="BE79" s="65"/>
      <c r="BF79" s="65"/>
      <c r="BG79" s="65"/>
      <c r="BH79" s="65"/>
      <c r="BI79" s="65"/>
      <c r="BJ79" s="65"/>
      <c r="BK79" s="65"/>
      <c r="BL79" s="65"/>
      <c r="BM79" s="65"/>
      <c r="BN79" s="65"/>
      <c r="BO79" s="65"/>
      <c r="BP79" s="65"/>
      <c r="BQ79" s="65"/>
      <c r="BR79" s="65"/>
      <c r="BS79" s="65"/>
      <c r="BT79" s="65"/>
      <c r="BU79" s="65"/>
      <c r="BV79" s="65"/>
      <c r="BW79" s="65"/>
      <c r="BX79" s="65"/>
      <c r="BY79" s="65"/>
      <c r="BZ79" s="65"/>
      <c r="CA79" s="65"/>
      <c r="CB79" s="65"/>
      <c r="CC79" s="65"/>
      <c r="CD79" s="65"/>
      <c r="CE79" s="65"/>
      <c r="CF79" s="65"/>
      <c r="CG79" s="65"/>
      <c r="CH79" s="65"/>
      <c r="CI79" s="65"/>
      <c r="CJ79" s="65"/>
      <c r="CK79" s="65"/>
    </row>
    <row r="80" spans="1:89" s="11" customFormat="1" ht="12.6" customHeight="1" x14ac:dyDescent="0.25">
      <c r="A80" s="15" t="str">
        <f>RIGHT(data!$C$97,3)</f>
        <v>164</v>
      </c>
      <c r="B80" s="223" t="str">
        <f>RIGHT(data!$C$96,4)</f>
        <v>2022</v>
      </c>
      <c r="C80" s="15" t="str">
        <f>data!CC$55</f>
        <v>8790</v>
      </c>
      <c r="D80" s="15" t="s">
        <v>1120</v>
      </c>
      <c r="E80" s="221"/>
      <c r="F80" s="211">
        <f>ROUND(data!CC60,2)</f>
        <v>48.77</v>
      </c>
      <c r="G80" s="221">
        <f>ROUND(data!CC61,0)</f>
        <v>3659385</v>
      </c>
      <c r="H80" s="221">
        <f>ROUND(data!CC62,0)</f>
        <v>1176345</v>
      </c>
      <c r="I80" s="221">
        <f>ROUND(data!CC63,0)</f>
        <v>204938</v>
      </c>
      <c r="J80" s="221">
        <f>ROUND(data!CC64,0)</f>
        <v>-1943059</v>
      </c>
      <c r="K80" s="221">
        <f>ROUND(data!CC65,0)</f>
        <v>0</v>
      </c>
      <c r="L80" s="221">
        <f>ROUND(data!CC66,0)</f>
        <v>4296896</v>
      </c>
      <c r="M80" s="65">
        <f>ROUND(data!CC67,0)</f>
        <v>216545</v>
      </c>
      <c r="N80" s="221">
        <f>ROUND(data!CC68,0)</f>
        <v>600</v>
      </c>
      <c r="O80" s="221">
        <f>ROUND(data!CC69,0)</f>
        <v>3640473</v>
      </c>
      <c r="P80" s="221">
        <f>ROUND(data!CC70,0)</f>
        <v>0</v>
      </c>
      <c r="Q80" s="221">
        <f>ROUND(data!CC71,0)</f>
        <v>0</v>
      </c>
      <c r="R80" s="221">
        <f>ROUND(data!CC72,0)</f>
        <v>0</v>
      </c>
      <c r="S80" s="221">
        <f>ROUND(data!CC73,0)</f>
        <v>0</v>
      </c>
      <c r="T80" s="221">
        <f>ROUND(data!CC74,0)</f>
        <v>0</v>
      </c>
      <c r="U80" s="221">
        <f>ROUND(data!CC75,0)</f>
        <v>0</v>
      </c>
      <c r="V80" s="221">
        <f>ROUND(data!CC76,0)</f>
        <v>0</v>
      </c>
      <c r="W80" s="221">
        <f>ROUND(data!CC77,0)</f>
        <v>0</v>
      </c>
      <c r="X80" s="221">
        <f>ROUND(data!CC78,0)</f>
        <v>0</v>
      </c>
      <c r="Y80" s="221">
        <f>ROUND(data!CC79,0)</f>
        <v>0</v>
      </c>
      <c r="Z80" s="221">
        <f>ROUND(data!CC80,0)</f>
        <v>0</v>
      </c>
      <c r="AA80" s="221">
        <f>ROUND(data!CC81,0)</f>
        <v>0</v>
      </c>
      <c r="AB80" s="221">
        <f>ROUND(data!CC82,0)</f>
        <v>0</v>
      </c>
      <c r="AC80" s="221">
        <f>ROUND(data!CC83,0)</f>
        <v>3640473</v>
      </c>
      <c r="AD80" s="221">
        <f>ROUND(data!CC84,0)</f>
        <v>8581854</v>
      </c>
      <c r="AE80" s="221"/>
      <c r="AF80" s="221"/>
      <c r="AG80" s="221">
        <f>IF(data!CC90&gt;0,ROUND(data!CC90,0),0)</f>
        <v>7876</v>
      </c>
      <c r="AH80" s="221">
        <f>IFERROR(IF(data!CC$91&gt;0,ROUND(data!CC$91,0),0),0)</f>
        <v>0</v>
      </c>
      <c r="AI80" s="221">
        <f>IFERROR(IF(data!CC$92&gt;0,ROUND(data!CC$92,0),0),0)</f>
        <v>0</v>
      </c>
      <c r="AJ80" s="221">
        <f>IFERROR(IF(data!CC$93&gt;0,ROUND(data!CC$93,0),0),0)</f>
        <v>0</v>
      </c>
      <c r="AK80" s="211">
        <f>IFERROR(IF(data!CC$94&gt;0,ROUND(data!CC$94,2),0),0)</f>
        <v>0</v>
      </c>
      <c r="AL80" s="65"/>
      <c r="AM80" s="65"/>
      <c r="AN80" s="65"/>
      <c r="AO80" s="65"/>
      <c r="AP80" s="65"/>
      <c r="AQ80" s="65"/>
      <c r="AR80" s="65"/>
      <c r="AS80" s="65"/>
      <c r="AT80" s="65"/>
      <c r="AU80" s="65"/>
      <c r="AV80" s="65"/>
      <c r="AW80" s="65"/>
      <c r="AX80" s="65"/>
      <c r="AY80" s="65"/>
      <c r="AZ80" s="65"/>
      <c r="BA80" s="65"/>
      <c r="BB80" s="65"/>
      <c r="BC80" s="65"/>
      <c r="BD80" s="65"/>
      <c r="BE80" s="65"/>
      <c r="BF80" s="65"/>
      <c r="BG80" s="65"/>
      <c r="BH80" s="65"/>
      <c r="BI80" s="65"/>
      <c r="BJ80" s="65"/>
      <c r="BK80" s="65"/>
      <c r="BL80" s="65"/>
      <c r="BM80" s="65"/>
      <c r="BN80" s="65"/>
      <c r="BO80" s="65"/>
      <c r="BP80" s="65"/>
      <c r="BQ80" s="65"/>
      <c r="BR80" s="65"/>
      <c r="BS80" s="65"/>
      <c r="BT80" s="65"/>
      <c r="BU80" s="65"/>
      <c r="BV80" s="65"/>
      <c r="BW80" s="65"/>
      <c r="BX80" s="65"/>
      <c r="BY80" s="65"/>
      <c r="BZ80" s="65"/>
      <c r="CA80" s="65"/>
      <c r="CB80" s="65"/>
      <c r="CC80" s="65"/>
      <c r="CD80" s="65"/>
      <c r="CE80" s="65"/>
      <c r="CF80" s="65"/>
      <c r="CG80" s="65"/>
      <c r="CH80" s="65"/>
      <c r="CI80" s="65"/>
      <c r="CJ80" s="65"/>
      <c r="CK80" s="65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20</vt:i4>
      </vt:variant>
    </vt:vector>
  </HeadingPairs>
  <TitlesOfParts>
    <vt:vector size="37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data!Print_Area</vt:lpstr>
      <vt:lpstr>FS!Print_Area</vt:lpstr>
      <vt:lpstr>INFO_PG1!Print_Area</vt:lpstr>
      <vt:lpstr>INFO_PG2!Print_Area</vt:lpstr>
      <vt:lpstr>'Responses-1'!Print_Area</vt:lpstr>
      <vt:lpstr>SS2_3_5_6!Print_Area</vt:lpstr>
      <vt:lpstr>'SS4'!Print_Area</vt:lpstr>
      <vt:lpstr>'SS8'!Print_Area</vt:lpstr>
      <vt:lpstr>data!Print_Titles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Bringetto, Lisa I (DOH)</cp:lastModifiedBy>
  <cp:lastPrinted>2023-06-28T22:47:08Z</cp:lastPrinted>
  <dcterms:created xsi:type="dcterms:W3CDTF">1999-06-02T22:01:56Z</dcterms:created>
  <dcterms:modified xsi:type="dcterms:W3CDTF">2023-07-03T20:20:20Z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</Properties>
</file>