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96A07FC8-A8FC-4B43-925A-11F7EA7849DF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93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data!$CE$61:$CF$94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Titles" localSheetId="0">data!$A:$B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8" i="24" l="1"/>
  <c r="P68" i="24"/>
  <c r="BK66" i="24"/>
  <c r="S88" i="24"/>
  <c r="E88" i="24"/>
  <c r="E87" i="24"/>
  <c r="S64" i="24"/>
  <c r="E63" i="24"/>
  <c r="E61" i="24"/>
  <c r="AY60" i="24" l="1"/>
  <c r="AE59" i="24" l="1"/>
  <c r="C418" i="24" l="1"/>
  <c r="C422" i="24"/>
  <c r="C414" i="24"/>
  <c r="C173" i="24" l="1"/>
  <c r="O94" i="24"/>
  <c r="AG94" i="24"/>
  <c r="E93" i="24"/>
  <c r="AE92" i="24" l="1"/>
  <c r="AC92" i="24"/>
  <c r="Y92" i="24"/>
  <c r="E92" i="24"/>
  <c r="CC90" i="24" l="1"/>
  <c r="BW90" i="24"/>
  <c r="BN90" i="24"/>
  <c r="BL90" i="24"/>
  <c r="BH90" i="24"/>
  <c r="BF90" i="24"/>
  <c r="BE90" i="24"/>
  <c r="BD90" i="24"/>
  <c r="AY90" i="24"/>
  <c r="AV90" i="24"/>
  <c r="AP90" i="24"/>
  <c r="AE90" i="24"/>
  <c r="AC90" i="24"/>
  <c r="AA90" i="24"/>
  <c r="Y90" i="24"/>
  <c r="P90" i="24"/>
  <c r="AE60" i="24" l="1"/>
  <c r="E60" i="24"/>
  <c r="BR60" i="24"/>
  <c r="BK60" i="24"/>
  <c r="BH60" i="24"/>
  <c r="BB60" i="24"/>
  <c r="AJ60" i="24"/>
  <c r="AG60" i="24"/>
  <c r="AC60" i="24"/>
  <c r="Y60" i="24"/>
  <c r="P60" i="24"/>
  <c r="AZ59" i="24" l="1"/>
  <c r="E59" i="24" l="1"/>
  <c r="AC59" i="24"/>
  <c r="Y59" i="24"/>
  <c r="R59" i="24"/>
  <c r="CD83" i="24"/>
  <c r="CD84" i="24" l="1"/>
  <c r="BH83" i="24"/>
  <c r="BH66" i="24"/>
  <c r="BH65" i="24"/>
  <c r="BH64" i="24"/>
  <c r="BH61" i="24"/>
  <c r="BO65" i="24"/>
  <c r="BO64" i="24"/>
  <c r="BO63" i="24"/>
  <c r="BO61" i="24"/>
  <c r="BX61" i="24"/>
  <c r="E84" i="24"/>
  <c r="BW83" i="24"/>
  <c r="BW61" i="24"/>
  <c r="BR66" i="24"/>
  <c r="BR61" i="24"/>
  <c r="BN83" i="24"/>
  <c r="BN64" i="24"/>
  <c r="BN63" i="24"/>
  <c r="BK83" i="24"/>
  <c r="BK64" i="24"/>
  <c r="BK63" i="24"/>
  <c r="BK61" i="24"/>
  <c r="BB65" i="24"/>
  <c r="BB61" i="24"/>
  <c r="E83" i="24"/>
  <c r="E66" i="24"/>
  <c r="E64" i="24"/>
  <c r="AJ83" i="24"/>
  <c r="AJ61" i="24"/>
  <c r="AG88" i="24"/>
  <c r="AG87" i="24"/>
  <c r="AG83" i="24"/>
  <c r="AG66" i="24"/>
  <c r="AG65" i="24"/>
  <c r="AG63" i="24"/>
  <c r="AG61" i="24"/>
  <c r="AG64" i="24"/>
  <c r="AE84" i="24"/>
  <c r="AE88" i="24"/>
  <c r="AE64" i="24"/>
  <c r="AE61" i="24"/>
  <c r="AE83" i="24"/>
  <c r="AE66" i="24"/>
  <c r="AE68" i="24"/>
  <c r="AE65" i="24"/>
  <c r="AC61" i="24"/>
  <c r="AC88" i="24"/>
  <c r="AC83" i="24"/>
  <c r="AC68" i="24"/>
  <c r="AC66" i="24"/>
  <c r="AC64" i="24"/>
  <c r="AC63" i="24"/>
  <c r="AB66" i="24"/>
  <c r="AB64" i="24"/>
  <c r="AB63" i="24"/>
  <c r="AB84" i="24"/>
  <c r="Y83" i="24"/>
  <c r="Y66" i="24"/>
  <c r="Y64" i="24"/>
  <c r="Y61" i="24"/>
  <c r="Y88" i="24"/>
  <c r="Y68" i="24"/>
  <c r="Y65" i="24"/>
  <c r="Y63" i="24"/>
  <c r="Y87" i="24"/>
  <c r="U64" i="24"/>
  <c r="U88" i="24"/>
  <c r="U87" i="24"/>
  <c r="S87" i="24"/>
  <c r="P64" i="24"/>
  <c r="P88" i="24"/>
  <c r="P87" i="24"/>
  <c r="P83" i="24"/>
  <c r="P66" i="24"/>
  <c r="P65" i="24"/>
  <c r="P63" i="24"/>
  <c r="P61" i="24"/>
  <c r="O87" i="24"/>
  <c r="E68" i="24"/>
  <c r="E65" i="24"/>
  <c r="C269" i="24"/>
  <c r="C200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H58" i="32" s="1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D186" i="32" s="1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E14" i="31" l="1"/>
  <c r="AE38" i="31"/>
  <c r="AU48" i="24"/>
  <c r="AU62" i="24" s="1"/>
  <c r="H46" i="31" s="1"/>
  <c r="G48" i="24"/>
  <c r="G62" i="24" s="1"/>
  <c r="G12" i="32" s="1"/>
  <c r="W48" i="24"/>
  <c r="W62" i="24" s="1"/>
  <c r="I76" i="32" s="1"/>
  <c r="BK48" i="24"/>
  <c r="BK62" i="24" s="1"/>
  <c r="G268" i="32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D44" i="32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E32" i="6"/>
  <c r="E15" i="6"/>
  <c r="D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04" i="32"/>
  <c r="AV52" i="24"/>
  <c r="AV67" i="24" s="1"/>
  <c r="D22" i="7"/>
  <c r="D258" i="24"/>
  <c r="H37" i="31"/>
  <c r="I172" i="32"/>
  <c r="H22" i="31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H62" i="31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E234" i="25"/>
  <c r="CE70" i="25"/>
  <c r="D342" i="25"/>
  <c r="D351" i="25" s="1"/>
  <c r="C300" i="32" l="1"/>
  <c r="E236" i="32"/>
  <c r="H39" i="31"/>
  <c r="D76" i="32"/>
  <c r="H8" i="31"/>
  <c r="AY62" i="24"/>
  <c r="I204" i="32" s="1"/>
  <c r="H18" i="31"/>
  <c r="H71" i="31"/>
  <c r="G76" i="32"/>
  <c r="C12" i="32"/>
  <c r="G204" i="32"/>
  <c r="C44" i="32"/>
  <c r="G236" i="32"/>
  <c r="F300" i="32"/>
  <c r="H23" i="31"/>
  <c r="D300" i="32"/>
  <c r="E12" i="32"/>
  <c r="G332" i="32"/>
  <c r="H140" i="32"/>
  <c r="E332" i="32"/>
  <c r="F44" i="32"/>
  <c r="H268" i="32"/>
  <c r="H10" i="3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BA53" i="25"/>
  <c r="BA68" i="25" s="1"/>
  <c r="BA86" i="25" s="1"/>
  <c r="AS53" i="25"/>
  <c r="AS68" i="25" s="1"/>
  <c r="AS86" i="25" s="1"/>
  <c r="C711" i="25" s="1"/>
  <c r="AK53" i="25"/>
  <c r="AK68" i="25" s="1"/>
  <c r="AK86" i="25" s="1"/>
  <c r="B49" i="1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X53" i="25"/>
  <c r="BX68" i="25" s="1"/>
  <c r="BX86" i="25" s="1"/>
  <c r="BP53" i="25"/>
  <c r="BP68" i="25" s="1"/>
  <c r="BP86" i="25" s="1"/>
  <c r="BH53" i="25"/>
  <c r="BH68" i="25" s="1"/>
  <c r="BH86" i="25" s="1"/>
  <c r="C637" i="25" s="1"/>
  <c r="AZ53" i="25"/>
  <c r="AZ68" i="25" s="1"/>
  <c r="AZ86" i="25" s="1"/>
  <c r="AR53" i="25"/>
  <c r="AR68" i="25" s="1"/>
  <c r="AR86" i="25" s="1"/>
  <c r="AJ53" i="25"/>
  <c r="AJ68" i="25" s="1"/>
  <c r="AJ86" i="25" s="1"/>
  <c r="C702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D53" i="25"/>
  <c r="BD68" i="25" s="1"/>
  <c r="BD86" i="25" s="1"/>
  <c r="H53" i="25"/>
  <c r="H68" i="25" s="1"/>
  <c r="H86" i="25" s="1"/>
  <c r="C674" i="25" s="1"/>
  <c r="CA53" i="25"/>
  <c r="CA68" i="25" s="1"/>
  <c r="CA86" i="25" s="1"/>
  <c r="AE53" i="25"/>
  <c r="AE68" i="25" s="1"/>
  <c r="AE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T53" i="25"/>
  <c r="BT68" i="25" s="1"/>
  <c r="BT86" i="25" s="1"/>
  <c r="AN53" i="25"/>
  <c r="AN68" i="25" s="1"/>
  <c r="AN86" i="25" s="1"/>
  <c r="P53" i="25"/>
  <c r="P68" i="25" s="1"/>
  <c r="P86" i="25" s="1"/>
  <c r="BC53" i="25"/>
  <c r="BC68" i="25" s="1"/>
  <c r="BC86" i="25" s="1"/>
  <c r="W53" i="25"/>
  <c r="W68" i="25" s="1"/>
  <c r="W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BL53" i="25"/>
  <c r="BL68" i="25" s="1"/>
  <c r="BL86" i="25" s="1"/>
  <c r="AF53" i="25"/>
  <c r="AF68" i="25" s="1"/>
  <c r="AF86" i="25" s="1"/>
  <c r="C698" i="25" s="1"/>
  <c r="BS53" i="25"/>
  <c r="BS68" i="25" s="1"/>
  <c r="BS86" i="25" s="1"/>
  <c r="AM53" i="25"/>
  <c r="AM68" i="25" s="1"/>
  <c r="AM86" i="25" s="1"/>
  <c r="G53" i="25"/>
  <c r="G68" i="25" s="1"/>
  <c r="G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CB53" i="25"/>
  <c r="CB68" i="25" s="1"/>
  <c r="CB86" i="25" s="1"/>
  <c r="AV53" i="25"/>
  <c r="AV68" i="25" s="1"/>
  <c r="AV86" i="25" s="1"/>
  <c r="X53" i="25"/>
  <c r="X68" i="25" s="1"/>
  <c r="X86" i="25" s="1"/>
  <c r="BK53" i="25"/>
  <c r="BK68" i="25" s="1"/>
  <c r="BK86" i="25" s="1"/>
  <c r="AU53" i="25"/>
  <c r="AU68" i="25" s="1"/>
  <c r="AU86" i="25" s="1"/>
  <c r="O53" i="25"/>
  <c r="O68" i="25" s="1"/>
  <c r="O86" i="25" s="1"/>
  <c r="C167" i="8"/>
  <c r="H40" i="31"/>
  <c r="H6" i="31"/>
  <c r="H49" i="31"/>
  <c r="H76" i="32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61" i="3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E17" i="32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H52" i="24"/>
  <c r="H67" i="24" s="1"/>
  <c r="S85" i="24"/>
  <c r="E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H50" i="31" l="1"/>
  <c r="C647" i="25"/>
  <c r="B90" i="15"/>
  <c r="B54" i="15"/>
  <c r="F54" i="15" s="1"/>
  <c r="C703" i="25"/>
  <c r="C709" i="25"/>
  <c r="B55" i="15"/>
  <c r="H55" i="15" s="1"/>
  <c r="I55" i="15" s="1"/>
  <c r="B53" i="15"/>
  <c r="F53" i="15" s="1"/>
  <c r="C707" i="25"/>
  <c r="B84" i="15"/>
  <c r="H84" i="15" s="1"/>
  <c r="I84" i="15" s="1"/>
  <c r="C641" i="25"/>
  <c r="C619" i="25"/>
  <c r="B71" i="15"/>
  <c r="F71" i="15" s="1"/>
  <c r="C678" i="25"/>
  <c r="B24" i="15"/>
  <c r="H24" i="15" s="1"/>
  <c r="I24" i="15" s="1"/>
  <c r="C645" i="25"/>
  <c r="B88" i="15"/>
  <c r="F88" i="15" s="1"/>
  <c r="C635" i="25"/>
  <c r="B73" i="15"/>
  <c r="F73" i="15" s="1"/>
  <c r="B58" i="15"/>
  <c r="C712" i="25"/>
  <c r="C625" i="25"/>
  <c r="B68" i="15"/>
  <c r="B78" i="15"/>
  <c r="F78" i="15" s="1"/>
  <c r="C620" i="25"/>
  <c r="C628" i="25"/>
  <c r="B79" i="15"/>
  <c r="F79" i="15" s="1"/>
  <c r="B32" i="15"/>
  <c r="C686" i="25"/>
  <c r="C671" i="25"/>
  <c r="B17" i="15"/>
  <c r="F17" i="15" s="1"/>
  <c r="C633" i="25"/>
  <c r="B66" i="15"/>
  <c r="C713" i="25"/>
  <c r="B59" i="15"/>
  <c r="F59" i="15" s="1"/>
  <c r="C696" i="25"/>
  <c r="B42" i="15"/>
  <c r="F42" i="15" s="1"/>
  <c r="B62" i="15"/>
  <c r="C617" i="25"/>
  <c r="C622" i="25"/>
  <c r="B80" i="15"/>
  <c r="C632" i="25"/>
  <c r="B61" i="15"/>
  <c r="C714" i="25"/>
  <c r="B60" i="15"/>
  <c r="C623" i="25"/>
  <c r="B92" i="15"/>
  <c r="F92" i="15" s="1"/>
  <c r="C639" i="25"/>
  <c r="B77" i="15"/>
  <c r="F77" i="15" s="1"/>
  <c r="C676" i="25"/>
  <c r="B22" i="15"/>
  <c r="H22" i="15" s="1"/>
  <c r="I22" i="15" s="1"/>
  <c r="B86" i="15"/>
  <c r="C643" i="25"/>
  <c r="C677" i="25"/>
  <c r="B23" i="15"/>
  <c r="F23" i="15" s="1"/>
  <c r="C644" i="25"/>
  <c r="B87" i="15"/>
  <c r="F87" i="15" s="1"/>
  <c r="C694" i="25"/>
  <c r="B40" i="15"/>
  <c r="F40" i="15" s="1"/>
  <c r="C679" i="25"/>
  <c r="B25" i="15"/>
  <c r="H25" i="15" s="1"/>
  <c r="I25" i="15" s="1"/>
  <c r="B89" i="15"/>
  <c r="C646" i="25"/>
  <c r="C618" i="25"/>
  <c r="B74" i="15"/>
  <c r="F74" i="15" s="1"/>
  <c r="C705" i="25"/>
  <c r="B51" i="15"/>
  <c r="H51" i="15" s="1"/>
  <c r="I51" i="15" s="1"/>
  <c r="C636" i="25"/>
  <c r="B75" i="15"/>
  <c r="F75" i="15" s="1"/>
  <c r="B52" i="15"/>
  <c r="C706" i="25"/>
  <c r="C631" i="25"/>
  <c r="B65" i="15"/>
  <c r="F65" i="15" s="1"/>
  <c r="C630" i="25"/>
  <c r="B70" i="15"/>
  <c r="F70" i="15" s="1"/>
  <c r="B21" i="15"/>
  <c r="C675" i="25"/>
  <c r="C642" i="25"/>
  <c r="B85" i="15"/>
  <c r="H85" i="15" s="1"/>
  <c r="I85" i="15" s="1"/>
  <c r="B30" i="15"/>
  <c r="C684" i="25"/>
  <c r="C685" i="25"/>
  <c r="B31" i="15"/>
  <c r="F31" i="15" s="1"/>
  <c r="C697" i="25"/>
  <c r="B43" i="15"/>
  <c r="F43" i="15" s="1"/>
  <c r="C687" i="25"/>
  <c r="B33" i="15"/>
  <c r="F33" i="15" s="1"/>
  <c r="C672" i="25"/>
  <c r="B18" i="15"/>
  <c r="H18" i="15" s="1"/>
  <c r="I18" i="15" s="1"/>
  <c r="C627" i="25"/>
  <c r="B82" i="15"/>
  <c r="F82" i="15" s="1"/>
  <c r="C699" i="25"/>
  <c r="B45" i="15"/>
  <c r="F45" i="15" s="1"/>
  <c r="C640" i="25"/>
  <c r="B83" i="15"/>
  <c r="F83" i="15" s="1"/>
  <c r="B16" i="15"/>
  <c r="H16" i="15" s="1"/>
  <c r="I16" i="15" s="1"/>
  <c r="C670" i="25"/>
  <c r="B36" i="15"/>
  <c r="F36" i="15" s="1"/>
  <c r="C690" i="25"/>
  <c r="C615" i="25"/>
  <c r="B69" i="15"/>
  <c r="C683" i="25"/>
  <c r="B29" i="15"/>
  <c r="F29" i="15" s="1"/>
  <c r="C621" i="25"/>
  <c r="B93" i="15"/>
  <c r="F93" i="15" s="1"/>
  <c r="C692" i="25"/>
  <c r="B38" i="15"/>
  <c r="F38" i="15" s="1"/>
  <c r="C689" i="25"/>
  <c r="B35" i="15"/>
  <c r="F35" i="15" s="1"/>
  <c r="C693" i="25"/>
  <c r="B39" i="15"/>
  <c r="F39" i="15" s="1"/>
  <c r="B91" i="15"/>
  <c r="F91" i="15" s="1"/>
  <c r="H91" i="15" s="1"/>
  <c r="I91" i="15" s="1"/>
  <c r="C648" i="25"/>
  <c r="C710" i="25"/>
  <c r="B56" i="15"/>
  <c r="F56" i="15" s="1"/>
  <c r="C695" i="25"/>
  <c r="B41" i="15"/>
  <c r="F41" i="15" s="1"/>
  <c r="C680" i="25"/>
  <c r="B26" i="15"/>
  <c r="H26" i="15" s="1"/>
  <c r="I26" i="15" s="1"/>
  <c r="C682" i="25"/>
  <c r="B28" i="15"/>
  <c r="F28" i="15" s="1"/>
  <c r="C626" i="25"/>
  <c r="B63" i="15"/>
  <c r="F63" i="15" s="1"/>
  <c r="C704" i="25"/>
  <c r="B50" i="15"/>
  <c r="F50" i="15" s="1"/>
  <c r="C638" i="25"/>
  <c r="B76" i="15"/>
  <c r="F76" i="15" s="1"/>
  <c r="B27" i="15"/>
  <c r="F27" i="15" s="1"/>
  <c r="C681" i="25"/>
  <c r="C691" i="25"/>
  <c r="B37" i="15"/>
  <c r="F37" i="15" s="1"/>
  <c r="B19" i="15"/>
  <c r="C673" i="25"/>
  <c r="C700" i="25"/>
  <c r="B46" i="15"/>
  <c r="F46" i="15" s="1"/>
  <c r="C634" i="25"/>
  <c r="B67" i="15"/>
  <c r="C629" i="25"/>
  <c r="B64" i="15"/>
  <c r="F64" i="15" s="1"/>
  <c r="C688" i="25"/>
  <c r="B34" i="15"/>
  <c r="F34" i="15" s="1"/>
  <c r="B20" i="15"/>
  <c r="B47" i="15"/>
  <c r="F47" i="15" s="1"/>
  <c r="B72" i="15"/>
  <c r="B44" i="15"/>
  <c r="H44" i="15" s="1"/>
  <c r="I44" i="15" s="1"/>
  <c r="B48" i="15"/>
  <c r="F48" i="15" s="1"/>
  <c r="B57" i="15"/>
  <c r="F57" i="15" s="1"/>
  <c r="B81" i="15"/>
  <c r="C68" i="25"/>
  <c r="CE68" i="25" s="1"/>
  <c r="CE53" i="25"/>
  <c r="M63" i="31"/>
  <c r="BL85" i="24"/>
  <c r="C637" i="24" s="1"/>
  <c r="M22" i="31"/>
  <c r="AD85" i="24"/>
  <c r="I117" i="32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F32" i="15"/>
  <c r="M80" i="31"/>
  <c r="D369" i="32"/>
  <c r="CC85" i="24"/>
  <c r="E53" i="32"/>
  <c r="C24" i="15"/>
  <c r="G24" i="15" s="1"/>
  <c r="C677" i="24"/>
  <c r="M21" i="31"/>
  <c r="H81" i="32"/>
  <c r="V85" i="24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H23" i="15"/>
  <c r="I23" i="15" s="1"/>
  <c r="F81" i="15"/>
  <c r="H81" i="15"/>
  <c r="I81" i="15" s="1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M17" i="31"/>
  <c r="D81" i="32"/>
  <c r="R85" i="24"/>
  <c r="M5" i="31"/>
  <c r="F17" i="32"/>
  <c r="F85" i="24"/>
  <c r="M12" i="31"/>
  <c r="F49" i="32"/>
  <c r="M85" i="24"/>
  <c r="C138" i="8"/>
  <c r="D417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H19" i="15"/>
  <c r="I19" i="15" s="1"/>
  <c r="F19" i="15"/>
  <c r="M53" i="31"/>
  <c r="E241" i="32"/>
  <c r="BB85" i="24"/>
  <c r="C67" i="24"/>
  <c r="CE52" i="24"/>
  <c r="E85" i="32"/>
  <c r="C31" i="15"/>
  <c r="G31" i="15" s="1"/>
  <c r="C684" i="24"/>
  <c r="F30" i="15"/>
  <c r="M62" i="31"/>
  <c r="G273" i="32"/>
  <c r="BK85" i="24"/>
  <c r="F55" i="15"/>
  <c r="H20" i="15"/>
  <c r="I20" i="15" s="1"/>
  <c r="F20" i="15"/>
  <c r="M50" i="31"/>
  <c r="I209" i="32"/>
  <c r="AY85" i="24"/>
  <c r="G94" i="15"/>
  <c r="H94" i="15" s="1"/>
  <c r="I94" i="15" s="1"/>
  <c r="H21" i="15"/>
  <c r="I21" i="15" s="1"/>
  <c r="F2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M72" i="31"/>
  <c r="C337" i="32"/>
  <c r="BU85" i="24"/>
  <c r="F89" i="15"/>
  <c r="F90" i="15"/>
  <c r="M51" i="31"/>
  <c r="C241" i="32"/>
  <c r="AZ85" i="24"/>
  <c r="M58" i="31"/>
  <c r="C273" i="32"/>
  <c r="BG85" i="24"/>
  <c r="E21" i="32"/>
  <c r="C17" i="15"/>
  <c r="G17" i="15" s="1"/>
  <c r="C670" i="24"/>
  <c r="M42" i="31"/>
  <c r="H177" i="32"/>
  <c r="AQ85" i="24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C86" i="25"/>
  <c r="CE63" i="25"/>
  <c r="M9" i="31"/>
  <c r="C49" i="32"/>
  <c r="J85" i="24"/>
  <c r="F18" i="15"/>
  <c r="M36" i="31"/>
  <c r="I145" i="32"/>
  <c r="AK85" i="24"/>
  <c r="M34" i="31"/>
  <c r="G145" i="32"/>
  <c r="AI85" i="24"/>
  <c r="M44" i="31"/>
  <c r="C209" i="32"/>
  <c r="AS85" i="24"/>
  <c r="D616" i="25"/>
  <c r="M8" i="31"/>
  <c r="I17" i="32"/>
  <c r="I85" i="24"/>
  <c r="C92" i="15"/>
  <c r="G92" i="15" s="1"/>
  <c r="C373" i="32"/>
  <c r="C622" i="24"/>
  <c r="H53" i="15" l="1"/>
  <c r="I53" i="15" s="1"/>
  <c r="H71" i="15"/>
  <c r="I71" i="15" s="1"/>
  <c r="H54" i="15"/>
  <c r="I54" i="15" s="1"/>
  <c r="C695" i="24"/>
  <c r="C42" i="15"/>
  <c r="G42" i="15" s="1"/>
  <c r="C74" i="15"/>
  <c r="G74" i="15" s="1"/>
  <c r="H27" i="15"/>
  <c r="I27" i="15" s="1"/>
  <c r="H277" i="32"/>
  <c r="H36" i="15"/>
  <c r="I36" i="15" s="1"/>
  <c r="F85" i="15"/>
  <c r="F26" i="15"/>
  <c r="F24" i="15"/>
  <c r="H47" i="15"/>
  <c r="I47" i="15" s="1"/>
  <c r="H74" i="15"/>
  <c r="I74" i="15" s="1"/>
  <c r="F80" i="15"/>
  <c r="F44" i="15"/>
  <c r="H87" i="15"/>
  <c r="I87" i="15" s="1"/>
  <c r="H46" i="15"/>
  <c r="I46" i="15" s="1"/>
  <c r="F16" i="15"/>
  <c r="F72" i="15"/>
  <c r="H77" i="15"/>
  <c r="I77" i="15" s="1"/>
  <c r="F84" i="15"/>
  <c r="F51" i="15"/>
  <c r="H57" i="15"/>
  <c r="I57" i="15" s="1"/>
  <c r="H59" i="15"/>
  <c r="I59" i="15" s="1"/>
  <c r="F22" i="15"/>
  <c r="C649" i="25"/>
  <c r="M717" i="25" s="1"/>
  <c r="F25" i="15"/>
  <c r="C76" i="15"/>
  <c r="G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79" i="15" l="1"/>
  <c r="I79" i="15" s="1"/>
  <c r="H83" i="15"/>
  <c r="I83" i="15" s="1"/>
  <c r="H76" i="15"/>
  <c r="I76" i="15" s="1"/>
  <c r="H80" i="15"/>
  <c r="I80" i="15" s="1"/>
  <c r="H69" i="15"/>
  <c r="I69" i="15" s="1"/>
  <c r="H30" i="15"/>
  <c r="H72" i="15"/>
  <c r="I72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G15" i="15" l="1"/>
  <c r="H15" i="15" s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72" i="25" l="1"/>
  <c r="M681" i="25"/>
  <c r="M696" i="25"/>
  <c r="M693" i="25"/>
  <c r="M683" i="25"/>
  <c r="M674" i="25"/>
  <c r="M714" i="25"/>
  <c r="M689" i="25"/>
  <c r="M684" i="25"/>
  <c r="M706" i="25"/>
  <c r="M697" i="25"/>
  <c r="M708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M705" i="24" s="1"/>
  <c r="E183" i="32" s="1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669" i="25"/>
  <c r="L715" i="24"/>
  <c r="M716" i="25" l="1"/>
  <c r="K715" i="24"/>
  <c r="C23" i="32"/>
  <c r="M715" i="24"/>
</calcChain>
</file>

<file path=xl/sharedStrings.xml><?xml version="1.0" encoding="utf-8"?>
<sst xmlns="http://schemas.openxmlformats.org/spreadsheetml/2006/main" count="5773" uniqueCount="1389">
  <si>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</si>
  <si>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</si>
  <si>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</si>
  <si>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</si>
  <si>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</si>
  <si>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</si>
  <si>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</si>
  <si>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</si>
  <si>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</si>
  <si>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</si>
  <si>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</si>
  <si>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</si>
  <si>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</si>
  <si>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</si>
  <si>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</si>
  <si>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</si>
  <si>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</si>
  <si>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</si>
  <si>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</si>
  <si>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</si>
  <si>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</si>
  <si>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</si>
  <si>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</si>
  <si>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</si>
  <si>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</si>
  <si>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</si>
  <si>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</si>
  <si>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</si>
  <si>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</si>
  <si>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</si>
  <si>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</si>
  <si>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</si>
  <si>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</si>
  <si>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</si>
  <si>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</si>
  <si>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</si>
  <si>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</si>
  <si>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</si>
  <si>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</si>
  <si>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</si>
  <si>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</si>
  <si>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</si>
  <si>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</si>
  <si>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</si>
  <si>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</si>
  <si>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</si>
  <si>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</si>
  <si>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</si>
  <si>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</si>
  <si>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</si>
  <si>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</si>
  <si>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</si>
  <si>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</si>
  <si>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</si>
  <si>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</si>
  <si>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</si>
  <si>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</si>
  <si>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</si>
  <si>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</si>
  <si>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</si>
  <si>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</si>
  <si>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</si>
  <si>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</si>
  <si>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</si>
  <si>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</si>
  <si>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</si>
  <si>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</si>
  <si>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</si>
  <si>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</si>
  <si>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</si>
  <si>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</si>
  <si>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</si>
  <si>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</si>
  <si>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</si>
  <si>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</si>
  <si>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</si>
  <si>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</si>
  <si>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</si>
  <si>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</si>
  <si>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</si>
  <si>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</si>
  <si>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</si>
  <si>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</si>
  <si>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</si>
  <si>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</si>
  <si>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</si>
  <si>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</si>
  <si>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</si>
  <si>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</si>
  <si>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</si>
  <si>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</si>
  <si>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</si>
  <si>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</si>
  <si>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</si>
  <si>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</si>
  <si>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</si>
  <si>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</si>
  <si>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</si>
  <si>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</si>
  <si>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</si>
  <si>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</si>
  <si>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</si>
  <si>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</si>
  <si>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</si>
  <si>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</si>
  <si>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</si>
  <si>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</si>
  <si>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</si>
  <si>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</si>
  <si>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</si>
  <si>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</si>
  <si>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</si>
  <si>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</si>
  <si>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</si>
  <si>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</si>
  <si>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</si>
  <si>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</si>
  <si>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</si>
  <si>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</si>
  <si>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</si>
  <si>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</si>
  <si>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</si>
  <si>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</si>
  <si>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</si>
  <si>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</si>
  <si>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</si>
  <si>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</si>
  <si>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</si>
  <si>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</si>
  <si>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</si>
  <si>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</si>
  <si>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</si>
  <si>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</si>
  <si>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</si>
  <si>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</si>
  <si>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</si>
  <si>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</si>
  <si>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</si>
  <si>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</si>
  <si>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</si>
  <si>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</si>
  <si>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</si>
  <si>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</si>
  <si>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</si>
  <si>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</si>
  <si>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</si>
  <si>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</si>
  <si>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</si>
  <si>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</si>
  <si>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</si>
  <si>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</si>
  <si>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</si>
  <si>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</si>
  <si>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</si>
  <si>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</si>
  <si>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</si>
  <si>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</si>
  <si>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</si>
  <si>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</si>
  <si>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</si>
  <si>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</si>
  <si>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</si>
  <si>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</si>
  <si>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</si>
  <si>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</si>
  <si>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</si>
  <si>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</si>
  <si>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</si>
  <si>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</si>
  <si>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</si>
  <si>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</si>
  <si>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</si>
  <si>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</si>
  <si>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</si>
  <si>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</si>
  <si>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</si>
  <si>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</si>
  <si>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</si>
  <si>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</si>
  <si>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</si>
  <si>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</si>
  <si>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</si>
  <si>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</si>
  <si>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</si>
  <si>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</si>
  <si>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</si>
  <si>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</si>
  <si>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</si>
  <si>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</si>
  <si>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</si>
  <si>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</si>
  <si>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</si>
  <si>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</si>
  <si>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</si>
  <si>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</si>
  <si>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</si>
  <si>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</si>
  <si>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</si>
  <si>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</si>
  <si>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</si>
  <si>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</si>
  <si>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</si>
  <si>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</si>
  <si>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</si>
  <si>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</si>
  <si>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</si>
  <si>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</si>
  <si>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</si>
  <si>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</si>
  <si>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</si>
  <si>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</si>
  <si>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</si>
  <si>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</si>
  <si>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</si>
  <si>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</si>
  <si>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</si>
  <si>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</si>
  <si>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</si>
  <si>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</si>
  <si>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</si>
  <si>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</si>
  <si>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</si>
  <si>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</si>
  <si>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</si>
  <si>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</si>
  <si>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</si>
  <si>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</si>
  <si>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</si>
  <si>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</si>
  <si>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</si>
  <si>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</si>
  <si>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</si>
  <si>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</si>
  <si>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</si>
  <si>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</si>
  <si>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</si>
  <si>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</si>
  <si>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</si>
  <si>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</si>
  <si>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</si>
  <si>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</si>
  <si>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</si>
  <si>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</si>
  <si>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</si>
  <si>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</si>
  <si>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</si>
  <si>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</si>
  <si>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</si>
  <si>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</si>
  <si>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</si>
  <si>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</si>
  <si>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</si>
  <si>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</si>
  <si>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</si>
  <si>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</si>
  <si>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</si>
  <si>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</si>
  <si>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</si>
  <si>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</si>
  <si>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</si>
  <si>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</si>
  <si>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</si>
  <si>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</si>
  <si>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</si>
  <si>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</si>
  <si>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</si>
  <si>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</si>
  <si>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</si>
  <si>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</si>
  <si>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</si>
  <si>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</si>
  <si>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</si>
  <si>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</si>
  <si>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</si>
  <si>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</si>
  <si>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</si>
  <si>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</si>
  <si>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</si>
  <si>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</si>
  <si>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</si>
  <si>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</si>
  <si>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</si>
  <si>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</si>
  <si>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</si>
  <si>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</si>
  <si>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</si>
  <si>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</si>
  <si>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</si>
  <si>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</si>
  <si>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</si>
  <si>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</si>
  <si>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</si>
  <si>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</si>
  <si>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</si>
  <si>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</si>
  <si>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</si>
  <si>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</si>
  <si>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</si>
  <si>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</si>
  <si>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</si>
  <si>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</si>
  <si>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</si>
  <si>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</si>
  <si>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</si>
  <si>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</si>
  <si>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</si>
  <si>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</si>
  <si>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</si>
  <si>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</si>
  <si>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</si>
  <si>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</si>
  <si>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</si>
  <si>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</si>
  <si>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</si>
  <si>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</si>
  <si>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</si>
  <si>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</si>
  <si>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</si>
  <si>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</si>
  <si>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</si>
  <si>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</si>
  <si>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</si>
  <si>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</si>
  <si>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</si>
  <si>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</si>
  <si>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</si>
  <si>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</si>
  <si>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</si>
  <si>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</si>
  <si>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</si>
  <si>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</si>
  <si>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</si>
  <si>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</si>
  <si>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</si>
  <si>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</si>
  <si>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</si>
  <si>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</si>
  <si>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</si>
  <si>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</si>
  <si>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</si>
  <si>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</si>
  <si>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</si>
  <si>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</si>
  <si>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</si>
  <si>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</si>
  <si>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</si>
  <si>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</si>
  <si>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</si>
  <si>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</si>
  <si>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</si>
  <si>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</si>
  <si>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</si>
  <si>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</si>
  <si>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</si>
  <si>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</si>
  <si>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</si>
  <si>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</si>
  <si>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</si>
  <si>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</si>
  <si>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</si>
  <si>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</si>
  <si>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</si>
  <si>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</si>
  <si>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</si>
  <si>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</si>
  <si>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</si>
  <si>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</si>
  <si>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</si>
  <si>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</si>
  <si>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</si>
  <si>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</si>
  <si>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</si>
  <si>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</si>
  <si>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</si>
  <si>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</si>
  <si>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</si>
  <si>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</si>
  <si>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</si>
  <si>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</si>
  <si>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</si>
  <si>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</si>
  <si>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</si>
  <si>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</si>
  <si>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</si>
  <si>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</si>
  <si>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</si>
  <si>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</si>
  <si>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</si>
  <si>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</si>
  <si>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</si>
  <si>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</si>
  <si>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</si>
  <si>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</si>
  <si>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</si>
  <si>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</si>
  <si>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</si>
  <si>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</si>
  <si>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</si>
  <si>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</si>
  <si>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</si>
  <si>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</si>
  <si>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</si>
  <si>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</si>
  <si>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</si>
  <si>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</si>
  <si>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</si>
  <si>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</si>
  <si>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</si>
  <si>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</si>
  <si>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</si>
  <si>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</si>
  <si>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</si>
  <si>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</si>
  <si>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</si>
  <si>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</si>
  <si>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</si>
  <si>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</si>
  <si>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</si>
  <si>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</si>
  <si>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</si>
  <si>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</si>
  <si>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</si>
  <si>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</si>
  <si>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</si>
  <si>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</si>
  <si>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</si>
  <si>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</si>
  <si>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</si>
  <si>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</si>
  <si>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</si>
  <si>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</si>
  <si>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</si>
  <si>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</si>
  <si>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</si>
  <si>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</si>
  <si>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</si>
  <si>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</si>
  <si>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</si>
  <si>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</si>
  <si>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</si>
  <si>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</si>
  <si>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</si>
  <si>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</si>
  <si>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</si>
  <si>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</si>
  <si>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</si>
  <si>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</si>
  <si>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</si>
  <si>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</si>
  <si>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</si>
  <si>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</si>
  <si>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</si>
  <si>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</si>
  <si>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</si>
  <si>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</si>
  <si>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</si>
  <si>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</si>
  <si>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</si>
  <si>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</si>
  <si>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</si>
  <si>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</si>
  <si>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</si>
  <si>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</si>
  <si>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</si>
  <si>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</si>
  <si>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</si>
  <si>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</si>
  <si>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</si>
  <si>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</si>
  <si>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</si>
  <si>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</si>
  <si>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</si>
  <si>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</si>
  <si>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</si>
  <si>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</si>
  <si>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</si>
  <si>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</si>
  <si>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</si>
  <si>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</si>
  <si>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</si>
  <si>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</si>
  <si>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</si>
  <si>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</si>
  <si>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</si>
  <si>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</si>
  <si>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</si>
  <si>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</si>
  <si>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</si>
  <si>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</si>
  <si>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</si>
  <si>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</si>
  <si>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</si>
  <si>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</si>
  <si>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</si>
  <si>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</si>
  <si>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</si>
  <si>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</si>
  <si>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</si>
  <si>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</si>
  <si>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</si>
  <si>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</si>
  <si>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</si>
  <si>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</si>
  <si>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</si>
  <si>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</si>
  <si>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</si>
  <si>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</si>
  <si>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</si>
  <si>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</si>
  <si>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</si>
  <si>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</si>
  <si>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</si>
  <si>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</si>
  <si>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</si>
  <si>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</si>
  <si>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</si>
  <si>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</si>
  <si>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</si>
  <si>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</si>
  <si>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</si>
  <si>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</si>
  <si>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</si>
  <si>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</si>
  <si>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</si>
  <si>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</si>
  <si>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</si>
  <si>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</si>
  <si>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</si>
  <si>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</si>
  <si>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</si>
  <si>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</si>
  <si>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</si>
  <si>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</si>
  <si>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</si>
  <si>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</si>
  <si>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</si>
  <si>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</si>
  <si>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</si>
  <si>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</si>
  <si>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</si>
  <si>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</si>
  <si>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</si>
  <si>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</si>
  <si>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</si>
  <si>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</si>
  <si>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</si>
  <si>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</si>
  <si>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</si>
  <si>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</si>
  <si>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</si>
  <si>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</si>
  <si>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</si>
  <si>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</si>
  <si>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</si>
  <si>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</si>
  <si>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</si>
  <si>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</si>
  <si>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</si>
  <si>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</si>
  <si>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</si>
  <si>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</si>
  <si>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</si>
  <si>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</si>
  <si>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</si>
  <si>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</si>
  <si>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</si>
  <si>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</si>
  <si>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</si>
  <si>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</si>
  <si>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</si>
  <si>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</si>
  <si>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</si>
  <si>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</si>
  <si>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</si>
  <si>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</si>
  <si>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</si>
  <si>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</si>
  <si>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</si>
  <si>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</si>
  <si>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</si>
  <si>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</si>
  <si>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</si>
  <si>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</si>
  <si>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</si>
  <si>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</si>
  <si>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</si>
  <si>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</si>
  <si>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</si>
  <si>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</si>
  <si>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</si>
  <si>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</si>
  <si>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</si>
  <si>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</si>
  <si>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</si>
  <si>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</si>
  <si>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</si>
  <si>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</si>
  <si>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</si>
  <si>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</si>
  <si>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</si>
  <si>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</si>
  <si>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</si>
  <si>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</si>
  <si>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</si>
  <si>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</si>
  <si>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</si>
  <si>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</si>
  <si>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</si>
  <si>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</si>
  <si>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</si>
  <si>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</si>
  <si>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</si>
  <si>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</si>
  <si>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</si>
  <si>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</si>
  <si>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</si>
  <si>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</si>
  <si>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</si>
  <si>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</si>
  <si>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</si>
  <si>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</si>
  <si>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</si>
  <si>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</si>
  <si>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</si>
  <si>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</si>
  <si>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</si>
  <si>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</si>
  <si>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</si>
  <si>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</si>
  <si>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</si>
  <si>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</si>
  <si>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</si>
  <si>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</si>
  <si>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</si>
  <si>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</si>
  <si>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</si>
  <si>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</si>
  <si>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</si>
  <si>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</si>
  <si>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</si>
  <si>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</si>
  <si>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</si>
  <si>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</si>
  <si>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</si>
  <si>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</si>
  <si>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</si>
  <si>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</si>
  <si>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</si>
  <si>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</si>
  <si>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</si>
  <si>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</si>
  <si>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</si>
  <si>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</si>
  <si>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</si>
  <si>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</si>
  <si>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</si>
  <si>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</si>
  <si>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</si>
  <si>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</si>
  <si>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</si>
  <si>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</si>
  <si>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</si>
  <si>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</si>
  <si>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</si>
  <si>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</si>
  <si>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</si>
  <si>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</si>
  <si>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</si>
  <si>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</si>
  <si>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</si>
  <si>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</si>
  <si>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</si>
  <si>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</si>
  <si>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</si>
  <si>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</si>
  <si>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</si>
  <si>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</si>
  <si>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</si>
  <si>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</si>
  <si>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</si>
  <si>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</si>
  <si>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</si>
  <si>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</si>
  <si>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</si>
  <si>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</si>
  <si>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</si>
  <si>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</si>
  <si>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</si>
  <si>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</si>
  <si>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</si>
  <si>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</si>
  <si>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</si>
  <si>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</si>
  <si>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</si>
  <si>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</si>
  <si>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</si>
  <si>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</si>
  <si>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</si>
  <si>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</si>
  <si>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</si>
  <si>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</si>
  <si>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</si>
  <si>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</si>
  <si>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</si>
  <si>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</si>
  <si>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</si>
  <si>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</si>
  <si>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</si>
  <si>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</si>
  <si>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</si>
  <si>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</si>
  <si>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</si>
  <si>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</si>
  <si>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</si>
  <si>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</si>
  <si>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</si>
  <si>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</si>
  <si>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</si>
  <si>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</si>
  <si>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</si>
  <si>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</si>
  <si>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</si>
  <si>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</si>
  <si>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</si>
  <si>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</si>
  <si>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</si>
  <si>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</si>
  <si>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</si>
  <si>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</si>
  <si>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</si>
  <si>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</si>
  <si>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</si>
  <si>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</si>
  <si>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</si>
  <si>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</si>
  <si>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</si>
  <si>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</si>
  <si>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</si>
  <si>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</si>
  <si>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</si>
  <si>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</si>
  <si>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</si>
  <si>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</si>
  <si>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</si>
  <si>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</si>
  <si>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</si>
  <si>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</si>
  <si>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</si>
  <si>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</si>
  <si>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</si>
  <si>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</si>
  <si>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</si>
  <si>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</si>
  <si>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</si>
  <si>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</si>
  <si>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</si>
  <si>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</si>
  <si>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</si>
  <si>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</si>
  <si>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</si>
  <si>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</si>
  <si>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</si>
  <si>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</si>
  <si>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</si>
  <si>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</si>
  <si>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</si>
  <si>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</si>
  <si>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</si>
  <si>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</si>
  <si>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</si>
  <si>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</si>
  <si>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</si>
  <si>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</si>
  <si>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</si>
  <si>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</si>
  <si>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</si>
  <si>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</si>
  <si>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</si>
  <si>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</si>
  <si>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</si>
  <si>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</si>
  <si>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</si>
  <si>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</si>
  <si>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</si>
  <si>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</si>
  <si>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</si>
  <si>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</si>
  <si>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</si>
  <si>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</si>
  <si>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</si>
  <si>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</si>
  <si>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</si>
  <si>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</si>
  <si>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</si>
  <si>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</si>
  <si>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</si>
  <si>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</si>
  <si>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</si>
  <si>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</si>
  <si>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</si>
  <si>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</si>
  <si>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</si>
  <si>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</si>
  <si>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</si>
  <si>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</si>
  <si>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</si>
  <si>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</si>
  <si>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</si>
  <si>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</si>
  <si>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</si>
  <si>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</si>
  <si>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</si>
  <si>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</si>
  <si>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</si>
  <si>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</si>
  <si>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</si>
  <si>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</si>
  <si>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</si>
  <si>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</si>
  <si>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</si>
  <si>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</si>
  <si>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</si>
  <si>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</si>
  <si>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</si>
  <si>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</si>
  <si>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</si>
  <si>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</si>
  <si>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</si>
  <si>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</si>
  <si>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</si>
  <si>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</si>
  <si>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</si>
  <si>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</si>
  <si>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</si>
  <si>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</si>
  <si>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</si>
  <si>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</si>
  <si>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</si>
  <si>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</si>
  <si>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</si>
  <si>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</si>
  <si>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</si>
  <si>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</si>
  <si>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</si>
  <si>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</si>
  <si>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</si>
  <si>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</si>
  <si>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</si>
  <si>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</si>
  <si>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</si>
  <si>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</si>
  <si>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</si>
  <si>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</si>
  <si>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</si>
  <si>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</si>
  <si>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</si>
  <si>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</si>
  <si>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</si>
  <si>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</si>
  <si>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</si>
  <si>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</si>
  <si>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</si>
  <si>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</si>
  <si>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</si>
  <si>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</si>
  <si>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</si>
  <si>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</si>
  <si>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</si>
  <si>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</si>
  <si>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</si>
  <si>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</si>
  <si>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</si>
  <si>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</si>
  <si>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</si>
  <si>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</si>
  <si>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</si>
  <si>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</si>
  <si>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</si>
  <si>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</si>
  <si>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</si>
  <si>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</si>
  <si>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</si>
  <si>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</si>
  <si>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</si>
  <si>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</si>
  <si>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</si>
  <si>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</si>
  <si>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</si>
  <si>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</si>
  <si>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</si>
  <si>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</si>
  <si>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</si>
  <si>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</si>
  <si>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</si>
  <si>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</si>
  <si>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</si>
  <si>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</si>
  <si>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</si>
  <si>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</si>
  <si>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</si>
  <si>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</si>
  <si>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</si>
  <si>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</si>
  <si>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</si>
  <si>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</si>
  <si>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</si>
  <si>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</si>
  <si>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</si>
  <si>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</si>
  <si>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</si>
  <si>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</si>
  <si>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</si>
  <si>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</si>
  <si>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</si>
  <si>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</si>
  <si>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</si>
  <si>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</si>
  <si>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</si>
  <si>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</si>
  <si>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</si>
  <si>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</si>
  <si>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</si>
  <si>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</si>
  <si>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</si>
  <si>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</si>
  <si>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</si>
  <si>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</si>
  <si>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</si>
  <si>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</si>
  <si>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</si>
  <si>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</si>
  <si>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</si>
  <si>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</si>
  <si>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</si>
  <si>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</si>
  <si>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</si>
  <si>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</si>
  <si>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</si>
  <si>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</si>
  <si>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</si>
  <si>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</si>
  <si>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</si>
  <si>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</si>
  <si>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</si>
  <si>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</si>
  <si>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</si>
  <si>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</si>
  <si>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</si>
  <si>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</si>
  <si>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</si>
  <si>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</si>
  <si>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</si>
  <si>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</si>
  <si>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</si>
  <si>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</si>
  <si>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</si>
  <si>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</si>
  <si>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</si>
  <si>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</si>
  <si>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</si>
  <si>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</si>
  <si>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</si>
  <si>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</si>
  <si>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</si>
  <si>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</si>
  <si>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</si>
  <si>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</si>
  <si>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</si>
  <si>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</si>
  <si>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</si>
  <si>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</si>
  <si>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</si>
  <si>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</si>
  <si>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</si>
  <si>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</si>
  <si>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</si>
  <si>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</si>
  <si>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</si>
  <si>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</si>
  <si>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</si>
  <si>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</si>
  <si>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</si>
  <si>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</si>
  <si>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</si>
  <si>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</si>
  <si>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</si>
  <si>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</si>
  <si>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</si>
  <si>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</si>
  <si>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</si>
  <si>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</si>
  <si>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</si>
  <si>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</si>
  <si>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</si>
  <si>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</si>
  <si>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</si>
  <si>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</si>
  <si>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</si>
  <si>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</si>
  <si>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</si>
  <si>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</si>
  <si>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</si>
  <si>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</si>
  <si>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</si>
  <si>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</si>
  <si>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</si>
  <si>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</si>
  <si>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</si>
  <si>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</si>
  <si>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</si>
  <si>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</si>
  <si>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</si>
  <si>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</si>
  <si>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</si>
  <si>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</si>
  <si>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</si>
  <si>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</si>
  <si>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</si>
  <si>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</si>
  <si>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</si>
  <si>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</si>
  <si>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</si>
  <si>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</si>
  <si>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</si>
  <si>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</si>
  <si>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</si>
  <si>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</si>
  <si>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</si>
  <si>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</si>
  <si>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</si>
  <si>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</si>
  <si>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</si>
  <si>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</si>
  <si>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</si>
  <si>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</si>
  <si>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</si>
  <si>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</si>
  <si>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</si>
  <si>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</si>
  <si>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</si>
  <si>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</si>
  <si>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</si>
  <si>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</si>
  <si>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</si>
  <si>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</si>
  <si>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</si>
  <si>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</si>
  <si>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</si>
  <si>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</si>
  <si>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</si>
  <si>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</si>
  <si>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</si>
  <si>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</si>
  <si>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</si>
  <si>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</si>
  <si>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</si>
  <si>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</si>
  <si>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</si>
  <si>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</si>
  <si>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</si>
  <si>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</si>
  <si>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</si>
  <si>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</si>
  <si>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</si>
  <si>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</si>
  <si>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</si>
  <si>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</si>
  <si>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</si>
  <si>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</si>
  <si>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</si>
  <si>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</si>
  <si>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</si>
  <si>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</si>
  <si>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</si>
  <si>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</si>
  <si>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</si>
  <si>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</si>
  <si>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</si>
  <si>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</si>
  <si>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</si>
  <si>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</si>
  <si>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</si>
  <si>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</si>
  <si>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</si>
  <si>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</si>
  <si>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</si>
  <si>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</si>
  <si>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</si>
  <si>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</si>
  <si>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</si>
  <si>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</si>
  <si>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</si>
  <si>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</si>
  <si>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</si>
  <si>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</si>
  <si>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</si>
  <si>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</si>
  <si>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</si>
  <si>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</si>
  <si>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</si>
  <si>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</si>
  <si>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</si>
  <si>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</si>
  <si>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</si>
  <si>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</si>
  <si>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</si>
  <si>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</si>
  <si>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</si>
  <si>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</si>
  <si>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</si>
  <si>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</si>
  <si>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</si>
  <si>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</si>
  <si>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</si>
  <si>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</si>
  <si>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</si>
  <si>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</si>
  <si>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</si>
  <si>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</si>
  <si>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</si>
  <si>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</si>
  <si>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</si>
  <si>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</si>
  <si>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</si>
  <si>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</si>
  <si>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</si>
  <si>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</si>
  <si>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</si>
  <si>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</si>
  <si>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</si>
  <si>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</si>
  <si>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</si>
  <si>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</si>
  <si>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</si>
  <si>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</si>
  <si>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</si>
  <si>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</si>
  <si>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</si>
  <si>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</si>
  <si>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</si>
  <si>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</si>
  <si>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</si>
  <si>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</si>
  <si>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</si>
  <si>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</si>
  <si>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</si>
  <si>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</si>
  <si>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</si>
  <si>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</si>
  <si>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</si>
  <si>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</si>
  <si>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</si>
  <si>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</si>
  <si>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</si>
  <si>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</si>
  <si>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</si>
  <si>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</si>
  <si>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</si>
  <si>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</si>
  <si>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</si>
  <si>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</si>
  <si>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</si>
  <si>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</si>
  <si>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</si>
  <si>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</si>
  <si>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</si>
  <si>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</si>
  <si>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</si>
  <si>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</si>
  <si>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</si>
  <si>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</si>
  <si>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</si>
  <si>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</si>
  <si>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</si>
  <si>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</si>
  <si>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</si>
  <si>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</si>
  <si>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</si>
  <si>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</si>
  <si>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</si>
  <si>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</si>
  <si>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</si>
  <si>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</si>
  <si>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</si>
  <si>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</si>
  <si>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</si>
  <si>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</si>
  <si>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</si>
  <si>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</si>
  <si>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</si>
  <si>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</si>
  <si>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</si>
  <si>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</si>
  <si>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</si>
  <si>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</si>
  <si>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</si>
  <si>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</si>
  <si>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</si>
  <si>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</si>
  <si>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</si>
  <si>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</si>
  <si>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</si>
  <si>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</si>
  <si>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</si>
  <si>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</si>
  <si>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</si>
  <si>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</si>
  <si>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</si>
  <si>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</si>
  <si>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</si>
  <si>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</si>
  <si>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</si>
  <si>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</si>
  <si>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</si>
  <si>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</si>
  <si>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</si>
  <si>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</si>
  <si>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</si>
  <si>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</si>
  <si>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</si>
  <si>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</si>
  <si>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</si>
  <si>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</si>
  <si>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</si>
  <si>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</si>
  <si>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</si>
  <si>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</si>
  <si>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</si>
  <si>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</si>
  <si>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</si>
  <si>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</si>
  <si>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</si>
  <si>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</si>
  <si>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</si>
  <si>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</si>
  <si>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</si>
  <si>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</si>
  <si>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</si>
  <si>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</si>
  <si>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</si>
  <si>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</si>
  <si>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</si>
  <si>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</si>
  <si>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</si>
  <si>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</si>
  <si>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</si>
  <si>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</si>
  <si>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</si>
  <si>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</si>
  <si>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</si>
  <si>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</si>
  <si>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</si>
  <si>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</si>
  <si>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</si>
  <si>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</si>
  <si>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</si>
  <si>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</si>
  <si>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</si>
  <si>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</si>
  <si>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</si>
  <si>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</si>
  <si>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</si>
  <si>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</si>
  <si>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</si>
  <si>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</si>
  <si>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</si>
  <si>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</si>
  <si>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</si>
  <si>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</si>
  <si>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</si>
  <si>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</si>
  <si>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</si>
  <si>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</si>
  <si>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</si>
  <si>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</si>
  <si>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</si>
  <si>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</si>
  <si>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</si>
  <si>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</si>
  <si>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</si>
  <si>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</si>
  <si>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</si>
  <si>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</si>
  <si>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</si>
  <si>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</si>
  <si>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</si>
  <si>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</si>
  <si>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</si>
  <si>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</si>
  <si>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</si>
  <si>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</si>
  <si>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</si>
  <si>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</si>
  <si>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</si>
  <si>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</si>
  <si>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</si>
  <si>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</si>
  <si>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</si>
  <si>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</si>
  <si>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</si>
  <si>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</si>
  <si>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</si>
  <si>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</si>
  <si>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</si>
  <si>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</si>
  <si>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</si>
  <si>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</si>
  <si>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</si>
  <si>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</si>
  <si>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</si>
  <si>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</si>
  <si>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</si>
  <si>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</si>
  <si>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</si>
  <si>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</si>
  <si>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</si>
  <si>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</si>
  <si>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</si>
  <si>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</si>
  <si>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</si>
  <si>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</si>
  <si>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</si>
  <si>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</si>
  <si>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</si>
  <si>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</si>
  <si>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</si>
  <si>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</si>
  <si>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</si>
  <si>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</si>
  <si>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</si>
  <si>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</si>
  <si>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</si>
  <si>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</si>
  <si>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</si>
  <si>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</si>
  <si>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</si>
  <si>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</si>
  <si>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</si>
  <si>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</si>
  <si>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</si>
  <si>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</si>
  <si>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</si>
  <si>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</si>
  <si>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</si>
  <si>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</si>
  <si>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</si>
  <si>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</si>
  <si>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</si>
  <si>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</si>
  <si>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</si>
  <si>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</si>
  <si>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</si>
  <si>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</si>
  <si>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</si>
  <si>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</si>
  <si>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</si>
  <si>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</si>
  <si>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</si>
  <si>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</si>
  <si>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</si>
  <si>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</si>
  <si>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</si>
  <si>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</si>
  <si>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172</t>
  </si>
  <si>
    <t>Public Hospital District #1-A of Whitman County</t>
  </si>
  <si>
    <t>835 SE Bishop Blvd</t>
  </si>
  <si>
    <t>Whitman</t>
  </si>
  <si>
    <t>WA</t>
  </si>
  <si>
    <t>Pullman</t>
  </si>
  <si>
    <t>Scott K Adams</t>
  </si>
  <si>
    <t>Steven D Febus</t>
  </si>
  <si>
    <t>Jeff Elbracht</t>
  </si>
  <si>
    <t>509-332-2541</t>
  </si>
  <si>
    <t>509-332-4242</t>
  </si>
  <si>
    <t>12/31/2022</t>
  </si>
  <si>
    <t xml:space="preserve">Steven D Febus </t>
  </si>
  <si>
    <t>Matthew Forge</t>
  </si>
  <si>
    <t>Washington</t>
  </si>
  <si>
    <t>99163</t>
  </si>
  <si>
    <t>Shauna Patrick</t>
  </si>
  <si>
    <t>shauna.patrick@pullmanregional.org</t>
  </si>
  <si>
    <t>If we receive the ERC payment, we will owe the CPA firm a 10% fee.  The auditors had us record the $822,665 fee in 2022 financials</t>
  </si>
  <si>
    <t>We applied for the Employee Retention Credit (ERC) for 2021-2022 with the IRS.  Our financial audit required us to report $8,226,654.00 as the possible income/payment in our 2022 Financial report.</t>
  </si>
  <si>
    <t>Name/Title: Matthew Forge, CEO</t>
  </si>
  <si>
    <t xml:space="preserve">Name/Title: Jeff Elebracht, Board President </t>
  </si>
  <si>
    <t>New Anesthesia Services Contract effective in 2022 for Anesthesia Providers.</t>
  </si>
  <si>
    <t>New Service Contract for EEG Services</t>
  </si>
  <si>
    <t>Increased Provider Recruiting costs</t>
  </si>
  <si>
    <t>Change in Billing requirements is reason for lower stat count. Some reduced services during the year due to staffing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</si>
</sst>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#,##0.0000000_);\(#,##0.0000000\)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3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0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7" fillId="9" borderId="0" xfId="0" applyFont="1" applyFill="1"/>
    <xf numFmtId="37" fontId="7" fillId="9" borderId="0" xfId="0" applyFont="1" applyFill="1" applyAlignment="1">
      <alignment vertical="center"/>
    </xf>
    <xf numFmtId="2" fontId="7" fillId="9" borderId="0" xfId="0" applyNumberFormat="1" applyFont="1" applyFill="1"/>
    <xf numFmtId="10" fontId="7" fillId="9" borderId="0" xfId="0" applyNumberFormat="1" applyFont="1" applyFill="1"/>
    <xf numFmtId="49" fontId="7" fillId="9" borderId="0" xfId="0" quotePrefix="1" applyNumberFormat="1" applyFont="1" applyFill="1"/>
    <xf numFmtId="37" fontId="32" fillId="9" borderId="0" xfId="0" applyFont="1" applyFill="1" applyAlignment="1">
      <alignment vertical="center"/>
    </xf>
    <xf numFmtId="37" fontId="32" fillId="9" borderId="0" xfId="0" applyFont="1" applyFill="1" applyAlignment="1">
      <alignment vertical="center" wrapText="1"/>
    </xf>
    <xf numFmtId="9" fontId="5" fillId="0" borderId="0" xfId="4"/>
    <xf numFmtId="169" fontId="11" fillId="0" borderId="0" xfId="0" applyNumberFormat="1" applyFont="1"/>
    <xf numFmtId="41" fontId="33" fillId="9" borderId="0" xfId="1" applyNumberFormat="1" applyFont="1" applyFill="1"/>
    <xf numFmtId="37" fontId="33" fillId="9" borderId="0" xfId="0" applyFont="1" applyFill="1"/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hauna.patrick@pullmanregional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CF90" sqref="CF90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1350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1329</v>
      </c>
    </row>
    <row r="6" spans="1:3" x14ac:dyDescent="0.35">
      <c r="A6" s="12" t="s">
        <v>4</v>
      </c>
    </row>
    <row r="7" spans="1:3" x14ac:dyDescent="0.35">
      <c r="A7" s="12" t="s">
        <v>1351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1352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1353</v>
      </c>
    </row>
    <row r="18" spans="1:10" ht="14.5" customHeight="1" x14ac:dyDescent="0.35">
      <c r="A18" s="18" t="s">
        <v>1354</v>
      </c>
    </row>
    <row r="19" spans="1:10" ht="14.5" customHeight="1" x14ac:dyDescent="0.35">
      <c r="A19" s="18" t="s">
        <v>1355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1356</v>
      </c>
      <c r="E23" s="71"/>
      <c r="F23" s="71"/>
      <c r="G23" s="71"/>
      <c r="I23" s="71"/>
      <c r="J23" s="71"/>
    </row>
    <row r="24" spans="1:10" x14ac:dyDescent="0.35">
      <c r="A24" s="18" t="s">
        <v>1357</v>
      </c>
    </row>
    <row r="25" spans="1:10" x14ac:dyDescent="0.35">
      <c r="A25" s="18" t="s">
        <v>1358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1359</v>
      </c>
      <c r="C28" s="17"/>
    </row>
    <row r="29" spans="1:10" x14ac:dyDescent="0.35">
      <c r="C29" s="17"/>
    </row>
    <row r="30" spans="1:10" x14ac:dyDescent="0.35">
      <c r="A30" s="12" t="s">
        <v>1348</v>
      </c>
      <c r="C30" s="330" t="s">
        <v>1349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1" t="s">
        <v>18</v>
      </c>
      <c r="B36" s="332"/>
      <c r="C36" s="333"/>
      <c r="D36" s="332"/>
      <c r="E36" s="332"/>
      <c r="F36" s="332"/>
      <c r="G36" s="332"/>
    </row>
    <row r="37" spans="1:83" x14ac:dyDescent="0.35">
      <c r="A37" s="334" t="s">
        <v>1341</v>
      </c>
      <c r="B37" s="335"/>
      <c r="C37" s="333"/>
      <c r="D37" s="332"/>
      <c r="E37" s="332"/>
      <c r="F37" s="332"/>
      <c r="G37" s="332"/>
    </row>
    <row r="38" spans="1:83" x14ac:dyDescent="0.35">
      <c r="A38" s="338" t="s">
        <v>1360</v>
      </c>
      <c r="B38" s="335"/>
      <c r="C38" s="333"/>
      <c r="D38" s="332"/>
      <c r="E38" s="332"/>
      <c r="F38" s="332"/>
      <c r="G38" s="332"/>
    </row>
    <row r="39" spans="1:83" x14ac:dyDescent="0.35">
      <c r="A39" s="337" t="s">
        <v>1342</v>
      </c>
      <c r="B39" s="332"/>
      <c r="C39" s="333"/>
      <c r="D39" s="332"/>
      <c r="E39" s="332"/>
      <c r="F39" s="332"/>
      <c r="G39" s="332"/>
    </row>
    <row r="40" spans="1:83" x14ac:dyDescent="0.35">
      <c r="A40" s="338" t="s">
        <v>1361</v>
      </c>
      <c r="B40" s="332"/>
      <c r="C40" s="333"/>
      <c r="D40" s="332"/>
      <c r="E40" s="332"/>
      <c r="F40" s="332"/>
      <c r="G40" s="332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1">
        <v>9509484</v>
      </c>
      <c r="C48" s="32">
        <f>IF($B$48,(ROUND((($B$48/$CE$61)*C61),0)))</f>
        <v>362394</v>
      </c>
      <c r="D48" s="32">
        <f t="shared" ref="D48:BO48" si="0">IF($B$48,(ROUND((($B$48/$CE$61)*D61),0)))</f>
        <v>0</v>
      </c>
      <c r="E48" s="32">
        <f t="shared" si="0"/>
        <v>808054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543838</v>
      </c>
      <c r="P48" s="32">
        <f t="shared" si="0"/>
        <v>1281665</v>
      </c>
      <c r="Q48" s="32">
        <f t="shared" si="0"/>
        <v>0</v>
      </c>
      <c r="R48" s="32">
        <f t="shared" si="0"/>
        <v>0</v>
      </c>
      <c r="S48" s="32">
        <f t="shared" si="0"/>
        <v>0</v>
      </c>
      <c r="T48" s="32">
        <f t="shared" si="0"/>
        <v>0</v>
      </c>
      <c r="U48" s="32">
        <f t="shared" si="0"/>
        <v>315718</v>
      </c>
      <c r="V48" s="32">
        <f t="shared" si="0"/>
        <v>0</v>
      </c>
      <c r="W48" s="32">
        <f t="shared" si="0"/>
        <v>84360</v>
      </c>
      <c r="X48" s="32">
        <f t="shared" si="0"/>
        <v>27584</v>
      </c>
      <c r="Y48" s="32">
        <f t="shared" si="0"/>
        <v>452337</v>
      </c>
      <c r="Z48" s="32">
        <f t="shared" si="0"/>
        <v>0</v>
      </c>
      <c r="AA48" s="32">
        <f t="shared" si="0"/>
        <v>65818</v>
      </c>
      <c r="AB48" s="32">
        <f t="shared" si="0"/>
        <v>206488</v>
      </c>
      <c r="AC48" s="32">
        <f t="shared" si="0"/>
        <v>243656</v>
      </c>
      <c r="AD48" s="32">
        <f t="shared" si="0"/>
        <v>0</v>
      </c>
      <c r="AE48" s="32">
        <f t="shared" si="0"/>
        <v>920361</v>
      </c>
      <c r="AF48" s="32">
        <f t="shared" si="0"/>
        <v>0</v>
      </c>
      <c r="AG48" s="32">
        <f t="shared" si="0"/>
        <v>1537521</v>
      </c>
      <c r="AH48" s="32">
        <f t="shared" si="0"/>
        <v>0</v>
      </c>
      <c r="AI48" s="32">
        <f t="shared" si="0"/>
        <v>0</v>
      </c>
      <c r="AJ48" s="32">
        <f t="shared" si="0"/>
        <v>27579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48726</v>
      </c>
      <c r="AW48" s="32">
        <f t="shared" si="0"/>
        <v>0</v>
      </c>
      <c r="AX48" s="32">
        <f t="shared" si="0"/>
        <v>0</v>
      </c>
      <c r="AY48" s="32">
        <f t="shared" si="0"/>
        <v>138298</v>
      </c>
      <c r="AZ48" s="32">
        <f t="shared" si="0"/>
        <v>0</v>
      </c>
      <c r="BA48" s="32">
        <f t="shared" si="0"/>
        <v>11236</v>
      </c>
      <c r="BB48" s="32">
        <f t="shared" si="0"/>
        <v>130046</v>
      </c>
      <c r="BC48" s="32">
        <f t="shared" si="0"/>
        <v>0</v>
      </c>
      <c r="BD48" s="32">
        <f t="shared" si="0"/>
        <v>120083</v>
      </c>
      <c r="BE48" s="32">
        <f t="shared" si="0"/>
        <v>163171</v>
      </c>
      <c r="BF48" s="32">
        <f t="shared" si="0"/>
        <v>155370</v>
      </c>
      <c r="BG48" s="32">
        <f t="shared" si="0"/>
        <v>0</v>
      </c>
      <c r="BH48" s="32">
        <f t="shared" si="0"/>
        <v>200192</v>
      </c>
      <c r="BI48" s="32">
        <f t="shared" si="0"/>
        <v>105441</v>
      </c>
      <c r="BJ48" s="32">
        <f t="shared" si="0"/>
        <v>0</v>
      </c>
      <c r="BK48" s="32">
        <f t="shared" si="0"/>
        <v>165243</v>
      </c>
      <c r="BL48" s="32">
        <f t="shared" si="0"/>
        <v>161675</v>
      </c>
      <c r="BM48" s="32">
        <f t="shared" si="0"/>
        <v>104161</v>
      </c>
      <c r="BN48" s="32">
        <f t="shared" si="0"/>
        <v>251497</v>
      </c>
      <c r="BO48" s="32">
        <f t="shared" si="0"/>
        <v>25118</v>
      </c>
      <c r="BP48" s="32">
        <f t="shared" ref="BP48:CD48" si="1">IF($B$48,(ROUND((($B$48/$CE$61)*BP61),0)))</f>
        <v>77095</v>
      </c>
      <c r="BQ48" s="32">
        <f t="shared" si="1"/>
        <v>0</v>
      </c>
      <c r="BR48" s="32">
        <f t="shared" si="1"/>
        <v>167738</v>
      </c>
      <c r="BS48" s="32">
        <f t="shared" si="1"/>
        <v>5252</v>
      </c>
      <c r="BT48" s="32">
        <f t="shared" si="1"/>
        <v>0</v>
      </c>
      <c r="BU48" s="32">
        <f t="shared" si="1"/>
        <v>0</v>
      </c>
      <c r="BV48" s="32">
        <f t="shared" si="1"/>
        <v>77492</v>
      </c>
      <c r="BW48" s="32">
        <f t="shared" si="1"/>
        <v>145233</v>
      </c>
      <c r="BX48" s="32">
        <f t="shared" si="1"/>
        <v>60332</v>
      </c>
      <c r="BY48" s="32">
        <f t="shared" si="1"/>
        <v>265774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52938</v>
      </c>
      <c r="CD48" s="32">
        <f t="shared" si="1"/>
        <v>0</v>
      </c>
      <c r="CE48" s="32">
        <f>SUM(C48:CD48)</f>
        <v>9509484</v>
      </c>
    </row>
    <row r="49" spans="1:83" x14ac:dyDescent="0.35">
      <c r="A49" s="20" t="s">
        <v>218</v>
      </c>
      <c r="B49" s="32">
        <f>B47+B48</f>
        <v>9509484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24">
        <v>3029616</v>
      </c>
      <c r="C52" s="32">
        <f>IF($B$52,ROUND(($B$52/($CE$90+$CF$90)*C90),0))</f>
        <v>97313</v>
      </c>
      <c r="D52" s="32">
        <f t="shared" ref="D52:BO52" si="2">IF($B$52,ROUND(($B$52/($CE$90+$CF$90)*D90),0))</f>
        <v>0</v>
      </c>
      <c r="E52" s="32">
        <f t="shared" si="2"/>
        <v>163108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194793</v>
      </c>
      <c r="P52" s="32">
        <f t="shared" si="2"/>
        <v>376179</v>
      </c>
      <c r="Q52" s="32">
        <f t="shared" si="2"/>
        <v>0</v>
      </c>
      <c r="R52" s="32">
        <f t="shared" si="2"/>
        <v>0</v>
      </c>
      <c r="S52" s="32">
        <f t="shared" si="2"/>
        <v>32422</v>
      </c>
      <c r="T52" s="32">
        <f t="shared" si="2"/>
        <v>0</v>
      </c>
      <c r="U52" s="32">
        <f t="shared" si="2"/>
        <v>48799</v>
      </c>
      <c r="V52" s="32">
        <f t="shared" si="2"/>
        <v>9270</v>
      </c>
      <c r="W52" s="32">
        <f t="shared" si="2"/>
        <v>15070</v>
      </c>
      <c r="X52" s="32">
        <f t="shared" si="2"/>
        <v>12408</v>
      </c>
      <c r="Y52" s="32">
        <f t="shared" si="2"/>
        <v>117280</v>
      </c>
      <c r="Z52" s="32">
        <f t="shared" si="2"/>
        <v>0</v>
      </c>
      <c r="AA52" s="32">
        <f t="shared" si="2"/>
        <v>8177</v>
      </c>
      <c r="AB52" s="32">
        <f t="shared" si="2"/>
        <v>23294</v>
      </c>
      <c r="AC52" s="32">
        <f t="shared" si="2"/>
        <v>30924</v>
      </c>
      <c r="AD52" s="32">
        <f t="shared" si="2"/>
        <v>0</v>
      </c>
      <c r="AE52" s="32">
        <f t="shared" si="2"/>
        <v>332966</v>
      </c>
      <c r="AF52" s="32">
        <f t="shared" si="2"/>
        <v>0</v>
      </c>
      <c r="AG52" s="32">
        <f t="shared" si="2"/>
        <v>142167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62514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11314</v>
      </c>
      <c r="AW52" s="32">
        <f t="shared" si="2"/>
        <v>0</v>
      </c>
      <c r="AX52" s="32">
        <f t="shared" si="2"/>
        <v>0</v>
      </c>
      <c r="AY52" s="32">
        <f t="shared" si="2"/>
        <v>108295</v>
      </c>
      <c r="AZ52" s="32">
        <f t="shared" si="2"/>
        <v>0</v>
      </c>
      <c r="BA52" s="32">
        <f t="shared" si="2"/>
        <v>30663</v>
      </c>
      <c r="BB52" s="32">
        <f t="shared" si="2"/>
        <v>10031</v>
      </c>
      <c r="BC52" s="32">
        <f t="shared" si="2"/>
        <v>0</v>
      </c>
      <c r="BD52" s="32">
        <f t="shared" si="2"/>
        <v>67815</v>
      </c>
      <c r="BE52" s="32">
        <f t="shared" si="2"/>
        <v>259042</v>
      </c>
      <c r="BF52" s="32">
        <f t="shared" si="2"/>
        <v>105680</v>
      </c>
      <c r="BG52" s="32">
        <f t="shared" si="2"/>
        <v>0</v>
      </c>
      <c r="BH52" s="32">
        <f t="shared" si="2"/>
        <v>24982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24530</v>
      </c>
      <c r="BM52" s="32">
        <f t="shared" si="2"/>
        <v>0</v>
      </c>
      <c r="BN52" s="32">
        <f t="shared" si="2"/>
        <v>50772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15545</v>
      </c>
      <c r="BW52" s="32">
        <f t="shared" si="3"/>
        <v>5586</v>
      </c>
      <c r="BX52" s="32">
        <f t="shared" si="3"/>
        <v>3565</v>
      </c>
      <c r="BY52" s="32">
        <f t="shared" si="3"/>
        <v>3209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641901</v>
      </c>
      <c r="CD52" s="32">
        <f t="shared" si="3"/>
        <v>0</v>
      </c>
      <c r="CE52" s="32">
        <f>SUM(C52:CD52)</f>
        <v>3029614</v>
      </c>
    </row>
    <row r="53" spans="1:83" x14ac:dyDescent="0.35">
      <c r="A53" s="20" t="s">
        <v>218</v>
      </c>
      <c r="B53" s="32">
        <f>B51+B52</f>
        <v>3029616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799</v>
      </c>
      <c r="D59" s="24"/>
      <c r="E59" s="24">
        <f>3224-799-17-11</f>
        <v>2397</v>
      </c>
      <c r="F59" s="24"/>
      <c r="G59" s="24"/>
      <c r="H59" s="24"/>
      <c r="I59" s="24"/>
      <c r="J59" s="24">
        <v>653</v>
      </c>
      <c r="K59" s="24"/>
      <c r="L59" s="24">
        <v>17</v>
      </c>
      <c r="M59" s="24"/>
      <c r="N59" s="24"/>
      <c r="O59" s="24">
        <v>359</v>
      </c>
      <c r="P59" s="30">
        <v>255187</v>
      </c>
      <c r="Q59" s="30">
        <v>109962</v>
      </c>
      <c r="R59" s="30">
        <f>3235*60</f>
        <v>194100</v>
      </c>
      <c r="S59" s="312"/>
      <c r="T59" s="312"/>
      <c r="U59" s="31">
        <v>126674</v>
      </c>
      <c r="V59" s="30">
        <v>4356</v>
      </c>
      <c r="W59" s="30">
        <v>2921</v>
      </c>
      <c r="X59" s="30">
        <v>6130</v>
      </c>
      <c r="Y59" s="30">
        <f>16387+3085+6041</f>
        <v>25513</v>
      </c>
      <c r="Z59" s="30"/>
      <c r="AA59" s="30">
        <v>1306</v>
      </c>
      <c r="AB59" s="312"/>
      <c r="AC59" s="30">
        <f>9705+467+99</f>
        <v>10271</v>
      </c>
      <c r="AD59" s="30"/>
      <c r="AE59" s="30">
        <f>13465+2187+5272+16355</f>
        <v>37279</v>
      </c>
      <c r="AF59" s="30"/>
      <c r="AG59" s="30">
        <v>14577</v>
      </c>
      <c r="AH59" s="30"/>
      <c r="AI59" s="30"/>
      <c r="AJ59" s="30">
        <v>397</v>
      </c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2"/>
      <c r="AW59" s="312"/>
      <c r="AX59" s="312"/>
      <c r="AY59" s="30">
        <v>18015</v>
      </c>
      <c r="AZ59" s="30">
        <f>73712-18015</f>
        <v>55697</v>
      </c>
      <c r="BA59" s="312"/>
      <c r="BB59" s="312"/>
      <c r="BC59" s="312"/>
      <c r="BD59" s="312"/>
      <c r="BE59" s="30">
        <v>127457</v>
      </c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  <c r="BS59" s="312"/>
      <c r="BT59" s="312"/>
      <c r="BU59" s="312"/>
      <c r="BV59" s="312"/>
      <c r="BW59" s="312"/>
      <c r="BX59" s="312"/>
      <c r="BY59" s="312"/>
      <c r="BZ59" s="312"/>
      <c r="CA59" s="312"/>
      <c r="CB59" s="312"/>
      <c r="CC59" s="312"/>
      <c r="CD59" s="263"/>
      <c r="CE59" s="32"/>
    </row>
    <row r="60" spans="1:83" s="225" customFormat="1" x14ac:dyDescent="0.35">
      <c r="A60" s="240" t="s">
        <v>247</v>
      </c>
      <c r="B60" s="241"/>
      <c r="C60" s="313">
        <v>14.72</v>
      </c>
      <c r="D60" s="313"/>
      <c r="E60" s="313">
        <f>3.74+21.49+1.82</f>
        <v>27.049999999999997</v>
      </c>
      <c r="F60" s="313"/>
      <c r="G60" s="313"/>
      <c r="H60" s="313"/>
      <c r="I60" s="313"/>
      <c r="J60" s="313"/>
      <c r="K60" s="313"/>
      <c r="L60" s="313"/>
      <c r="M60" s="313"/>
      <c r="N60" s="313"/>
      <c r="O60" s="313">
        <v>20.309999999999999</v>
      </c>
      <c r="P60" s="314">
        <f>26.01+27.26</f>
        <v>53.27</v>
      </c>
      <c r="Q60" s="314"/>
      <c r="R60" s="314"/>
      <c r="S60" s="315"/>
      <c r="T60" s="315"/>
      <c r="U60" s="316">
        <v>17.489999999999998</v>
      </c>
      <c r="V60" s="314"/>
      <c r="W60" s="314">
        <v>3.35</v>
      </c>
      <c r="X60" s="314">
        <v>0.91</v>
      </c>
      <c r="Y60" s="314">
        <f>14.44+5.69+1.96</f>
        <v>22.09</v>
      </c>
      <c r="Z60" s="314"/>
      <c r="AA60" s="314">
        <v>2.06</v>
      </c>
      <c r="AB60" s="315">
        <v>6.22</v>
      </c>
      <c r="AC60" s="314">
        <f>8.3+1.96+0.23</f>
        <v>10.490000000000002</v>
      </c>
      <c r="AD60" s="314"/>
      <c r="AE60" s="314">
        <f>33+2.17+4.14+3.81+1-0.3</f>
        <v>43.820000000000007</v>
      </c>
      <c r="AF60" s="314"/>
      <c r="AG60" s="314">
        <f>22.93+9.31+0.5</f>
        <v>32.74</v>
      </c>
      <c r="AH60" s="314"/>
      <c r="AI60" s="314"/>
      <c r="AJ60" s="314">
        <f>0.81+0.45</f>
        <v>1.26</v>
      </c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5">
        <v>2.0499999999999998</v>
      </c>
      <c r="AW60" s="315"/>
      <c r="AX60" s="315"/>
      <c r="AY60" s="314">
        <f>3.6+11.96</f>
        <v>15.56</v>
      </c>
      <c r="AZ60" s="314"/>
      <c r="BA60" s="315">
        <v>0.97</v>
      </c>
      <c r="BB60" s="315">
        <f>0.95+4.8</f>
        <v>5.75</v>
      </c>
      <c r="BC60" s="315"/>
      <c r="BD60" s="315">
        <v>6.24</v>
      </c>
      <c r="BE60" s="314">
        <v>7.87</v>
      </c>
      <c r="BF60" s="315">
        <v>12.64</v>
      </c>
      <c r="BG60" s="315"/>
      <c r="BH60" s="315">
        <f>4.61+2.35</f>
        <v>6.9600000000000009</v>
      </c>
      <c r="BI60" s="315">
        <v>3.54</v>
      </c>
      <c r="BJ60" s="315"/>
      <c r="BK60" s="315">
        <f>8.23+2.24</f>
        <v>10.47</v>
      </c>
      <c r="BL60" s="315">
        <v>13.36</v>
      </c>
      <c r="BM60" s="315">
        <v>4.6399999999999997</v>
      </c>
      <c r="BN60" s="315">
        <v>5.36</v>
      </c>
      <c r="BO60" s="315">
        <v>1.26</v>
      </c>
      <c r="BP60" s="315">
        <v>3.86</v>
      </c>
      <c r="BQ60" s="315"/>
      <c r="BR60" s="315">
        <f>5.74+0.58</f>
        <v>6.32</v>
      </c>
      <c r="BS60" s="315">
        <v>0.5</v>
      </c>
      <c r="BT60" s="315"/>
      <c r="BU60" s="315"/>
      <c r="BV60" s="315">
        <v>3.91</v>
      </c>
      <c r="BW60" s="315">
        <v>1.05</v>
      </c>
      <c r="BX60" s="315">
        <v>1.8</v>
      </c>
      <c r="BY60" s="315">
        <v>6.53</v>
      </c>
      <c r="BZ60" s="315"/>
      <c r="CA60" s="315"/>
      <c r="CB60" s="315"/>
      <c r="CC60" s="315">
        <v>1.35</v>
      </c>
      <c r="CD60" s="246" t="s">
        <v>233</v>
      </c>
      <c r="CE60" s="267">
        <f t="shared" ref="CE60:CE68" si="4">SUM(C60:CD60)</f>
        <v>377.77000000000015</v>
      </c>
    </row>
    <row r="61" spans="1:83" x14ac:dyDescent="0.35">
      <c r="A61" s="39" t="s">
        <v>248</v>
      </c>
      <c r="B61" s="20"/>
      <c r="C61" s="24">
        <v>1381870</v>
      </c>
      <c r="D61" s="24"/>
      <c r="E61" s="24">
        <f>960375+1848598+272280-2</f>
        <v>3081251</v>
      </c>
      <c r="F61" s="24"/>
      <c r="G61" s="24"/>
      <c r="H61" s="24"/>
      <c r="I61" s="24"/>
      <c r="J61" s="24"/>
      <c r="K61" s="24"/>
      <c r="L61" s="24"/>
      <c r="M61" s="24"/>
      <c r="N61" s="24"/>
      <c r="O61" s="24">
        <v>2073749</v>
      </c>
      <c r="P61" s="30">
        <f>2330804+2556409</f>
        <v>4887213</v>
      </c>
      <c r="Q61" s="30"/>
      <c r="R61" s="30"/>
      <c r="S61" s="317"/>
      <c r="T61" s="317"/>
      <c r="U61" s="31">
        <v>1203889</v>
      </c>
      <c r="V61" s="30"/>
      <c r="W61" s="30">
        <v>321680</v>
      </c>
      <c r="X61" s="30">
        <v>105184</v>
      </c>
      <c r="Y61" s="30">
        <f>990596+551214+183029</f>
        <v>1724839</v>
      </c>
      <c r="Z61" s="30"/>
      <c r="AA61" s="30">
        <v>250975</v>
      </c>
      <c r="AB61" s="318">
        <v>787376</v>
      </c>
      <c r="AC61" s="30">
        <f>728314+186481+14308</f>
        <v>929103</v>
      </c>
      <c r="AD61" s="30"/>
      <c r="AE61" s="30">
        <f>2669205+188200+295331+236224+120539</f>
        <v>3509499</v>
      </c>
      <c r="AF61" s="30"/>
      <c r="AG61" s="30">
        <f>2409243+62432+3391161</f>
        <v>5862836</v>
      </c>
      <c r="AH61" s="30"/>
      <c r="AI61" s="30"/>
      <c r="AJ61" s="30">
        <f>80030+25133</f>
        <v>105163</v>
      </c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17">
        <v>185801</v>
      </c>
      <c r="AW61" s="317"/>
      <c r="AX61" s="317"/>
      <c r="AY61" s="30">
        <v>527355</v>
      </c>
      <c r="AZ61" s="30"/>
      <c r="BA61" s="317">
        <v>42843</v>
      </c>
      <c r="BB61" s="317">
        <f>436243+59645</f>
        <v>495888</v>
      </c>
      <c r="BC61" s="317"/>
      <c r="BD61" s="317">
        <v>457896</v>
      </c>
      <c r="BE61" s="30">
        <v>622201</v>
      </c>
      <c r="BF61" s="317">
        <v>592453</v>
      </c>
      <c r="BG61" s="317"/>
      <c r="BH61" s="317">
        <f>442612+320756</f>
        <v>763368</v>
      </c>
      <c r="BI61" s="317">
        <v>402064</v>
      </c>
      <c r="BJ61" s="317"/>
      <c r="BK61" s="317">
        <f>470859+159241</f>
        <v>630100</v>
      </c>
      <c r="BL61" s="317">
        <v>616494</v>
      </c>
      <c r="BM61" s="317">
        <v>397183</v>
      </c>
      <c r="BN61" s="317">
        <v>959003</v>
      </c>
      <c r="BO61" s="317">
        <f>93110+2670</f>
        <v>95780</v>
      </c>
      <c r="BP61" s="317">
        <v>293977</v>
      </c>
      <c r="BQ61" s="317"/>
      <c r="BR61" s="317">
        <f>605514+34102</f>
        <v>639616</v>
      </c>
      <c r="BS61" s="317">
        <v>20028</v>
      </c>
      <c r="BT61" s="317"/>
      <c r="BU61" s="317"/>
      <c r="BV61" s="317">
        <v>295489</v>
      </c>
      <c r="BW61" s="317">
        <f>55457+498343</f>
        <v>553800</v>
      </c>
      <c r="BX61" s="317">
        <f>230058</f>
        <v>230058</v>
      </c>
      <c r="BY61" s="317">
        <v>1013443</v>
      </c>
      <c r="BZ61" s="317"/>
      <c r="CA61" s="317"/>
      <c r="CB61" s="317"/>
      <c r="CC61" s="317">
        <v>201862</v>
      </c>
      <c r="CD61" s="29" t="s">
        <v>233</v>
      </c>
      <c r="CE61" s="32">
        <f t="shared" si="4"/>
        <v>36261329</v>
      </c>
    </row>
    <row r="62" spans="1:83" x14ac:dyDescent="0.35">
      <c r="A62" s="39" t="s">
        <v>9</v>
      </c>
      <c r="B62" s="20"/>
      <c r="C62" s="32">
        <f>ROUND(C47+C48,0)</f>
        <v>362394</v>
      </c>
      <c r="D62" s="32">
        <f t="shared" ref="D62:BO62" si="5">ROUND(D47+D48,0)</f>
        <v>0</v>
      </c>
      <c r="E62" s="32">
        <f t="shared" si="5"/>
        <v>808054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543838</v>
      </c>
      <c r="P62" s="32">
        <f t="shared" si="5"/>
        <v>1281665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315718</v>
      </c>
      <c r="V62" s="32">
        <f t="shared" si="5"/>
        <v>0</v>
      </c>
      <c r="W62" s="32">
        <f t="shared" si="5"/>
        <v>84360</v>
      </c>
      <c r="X62" s="32">
        <f t="shared" si="5"/>
        <v>27584</v>
      </c>
      <c r="Y62" s="32">
        <f t="shared" si="5"/>
        <v>452337</v>
      </c>
      <c r="Z62" s="32">
        <f t="shared" si="5"/>
        <v>0</v>
      </c>
      <c r="AA62" s="32">
        <f t="shared" si="5"/>
        <v>65818</v>
      </c>
      <c r="AB62" s="32">
        <f t="shared" si="5"/>
        <v>206488</v>
      </c>
      <c r="AC62" s="32">
        <f t="shared" si="5"/>
        <v>243656</v>
      </c>
      <c r="AD62" s="32">
        <f t="shared" si="5"/>
        <v>0</v>
      </c>
      <c r="AE62" s="32">
        <f t="shared" si="5"/>
        <v>920361</v>
      </c>
      <c r="AF62" s="32">
        <f t="shared" si="5"/>
        <v>0</v>
      </c>
      <c r="AG62" s="32">
        <f t="shared" si="5"/>
        <v>1537521</v>
      </c>
      <c r="AH62" s="32">
        <f t="shared" si="5"/>
        <v>0</v>
      </c>
      <c r="AI62" s="32">
        <f t="shared" si="5"/>
        <v>0</v>
      </c>
      <c r="AJ62" s="32">
        <f t="shared" si="5"/>
        <v>27579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48726</v>
      </c>
      <c r="AW62" s="32">
        <f t="shared" si="5"/>
        <v>0</v>
      </c>
      <c r="AX62" s="32">
        <f t="shared" si="5"/>
        <v>0</v>
      </c>
      <c r="AY62" s="32">
        <f t="shared" ref="AY62" si="6">ROUND(AY47+AY48,0)</f>
        <v>138298</v>
      </c>
      <c r="AZ62" s="32"/>
      <c r="BA62" s="32">
        <f t="shared" si="5"/>
        <v>11236</v>
      </c>
      <c r="BB62" s="32">
        <f t="shared" si="5"/>
        <v>130046</v>
      </c>
      <c r="BC62" s="32">
        <f t="shared" si="5"/>
        <v>0</v>
      </c>
      <c r="BD62" s="32">
        <f t="shared" si="5"/>
        <v>120083</v>
      </c>
      <c r="BE62" s="32">
        <f t="shared" si="5"/>
        <v>163171</v>
      </c>
      <c r="BF62" s="32">
        <f t="shared" si="5"/>
        <v>155370</v>
      </c>
      <c r="BG62" s="32">
        <f t="shared" si="5"/>
        <v>0</v>
      </c>
      <c r="BH62" s="32">
        <f t="shared" si="5"/>
        <v>200192</v>
      </c>
      <c r="BI62" s="32">
        <f t="shared" si="5"/>
        <v>105441</v>
      </c>
      <c r="BJ62" s="32">
        <f t="shared" si="5"/>
        <v>0</v>
      </c>
      <c r="BK62" s="32">
        <f t="shared" si="5"/>
        <v>165243</v>
      </c>
      <c r="BL62" s="32">
        <f t="shared" si="5"/>
        <v>161675</v>
      </c>
      <c r="BM62" s="32">
        <f t="shared" si="5"/>
        <v>104161</v>
      </c>
      <c r="BN62" s="32">
        <f t="shared" si="5"/>
        <v>251497</v>
      </c>
      <c r="BO62" s="32">
        <f t="shared" si="5"/>
        <v>25118</v>
      </c>
      <c r="BP62" s="32">
        <f t="shared" ref="BP62:CC62" si="7">ROUND(BP47+BP48,0)</f>
        <v>77095</v>
      </c>
      <c r="BQ62" s="32">
        <f t="shared" si="7"/>
        <v>0</v>
      </c>
      <c r="BR62" s="32">
        <f t="shared" si="7"/>
        <v>167738</v>
      </c>
      <c r="BS62" s="32">
        <f t="shared" si="7"/>
        <v>5252</v>
      </c>
      <c r="BT62" s="32">
        <f t="shared" si="7"/>
        <v>0</v>
      </c>
      <c r="BU62" s="32">
        <f t="shared" si="7"/>
        <v>0</v>
      </c>
      <c r="BV62" s="32">
        <f t="shared" si="7"/>
        <v>77492</v>
      </c>
      <c r="BW62" s="32">
        <f t="shared" si="7"/>
        <v>145233</v>
      </c>
      <c r="BX62" s="32">
        <f t="shared" si="7"/>
        <v>60332</v>
      </c>
      <c r="BY62" s="32">
        <f t="shared" si="7"/>
        <v>265774</v>
      </c>
      <c r="BZ62" s="32">
        <f t="shared" si="7"/>
        <v>0</v>
      </c>
      <c r="CA62" s="32">
        <f t="shared" si="7"/>
        <v>0</v>
      </c>
      <c r="CB62" s="32">
        <f t="shared" si="7"/>
        <v>0</v>
      </c>
      <c r="CC62" s="32">
        <f t="shared" si="7"/>
        <v>52938</v>
      </c>
      <c r="CD62" s="29" t="s">
        <v>233</v>
      </c>
      <c r="CE62" s="32">
        <f t="shared" si="4"/>
        <v>9509484</v>
      </c>
    </row>
    <row r="63" spans="1:83" x14ac:dyDescent="0.35">
      <c r="A63" s="39" t="s">
        <v>249</v>
      </c>
      <c r="B63" s="20"/>
      <c r="C63" s="24">
        <v>408265</v>
      </c>
      <c r="D63" s="24"/>
      <c r="E63" s="24">
        <f>512268+55477+30422+918621-1</f>
        <v>1516787</v>
      </c>
      <c r="F63" s="24"/>
      <c r="G63" s="24"/>
      <c r="H63" s="24"/>
      <c r="I63" s="24"/>
      <c r="J63" s="24"/>
      <c r="K63" s="24"/>
      <c r="L63" s="24"/>
      <c r="M63" s="24"/>
      <c r="N63" s="24"/>
      <c r="O63" s="24">
        <v>207993</v>
      </c>
      <c r="P63" s="30">
        <f>122058+59175</f>
        <v>181233</v>
      </c>
      <c r="Q63" s="30"/>
      <c r="R63" s="30">
        <v>1976211</v>
      </c>
      <c r="S63" s="317"/>
      <c r="T63" s="317"/>
      <c r="U63" s="31">
        <v>733713</v>
      </c>
      <c r="V63" s="30"/>
      <c r="W63" s="30">
        <v>71343</v>
      </c>
      <c r="X63" s="30"/>
      <c r="Y63" s="30">
        <f>664434</f>
        <v>664434</v>
      </c>
      <c r="Z63" s="30"/>
      <c r="AA63" s="30">
        <v>284710</v>
      </c>
      <c r="AB63" s="318">
        <f>54846+600</f>
        <v>55446</v>
      </c>
      <c r="AC63" s="30">
        <f>4665+15421</f>
        <v>20086</v>
      </c>
      <c r="AD63" s="30"/>
      <c r="AE63" s="30">
        <v>26196</v>
      </c>
      <c r="AF63" s="30"/>
      <c r="AG63" s="30">
        <f>61055+49408</f>
        <v>110463</v>
      </c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7">
        <v>4208</v>
      </c>
      <c r="AW63" s="317"/>
      <c r="AX63" s="317"/>
      <c r="AY63" s="30">
        <v>259517</v>
      </c>
      <c r="AZ63" s="30"/>
      <c r="BA63" s="317"/>
      <c r="BB63" s="317">
        <v>15697</v>
      </c>
      <c r="BC63" s="317"/>
      <c r="BD63" s="317"/>
      <c r="BE63" s="30">
        <v>63657</v>
      </c>
      <c r="BF63" s="317">
        <v>4928</v>
      </c>
      <c r="BG63" s="317"/>
      <c r="BH63" s="317">
        <v>755</v>
      </c>
      <c r="BI63" s="317">
        <v>50450</v>
      </c>
      <c r="BJ63" s="317"/>
      <c r="BK63" s="317">
        <f>117846+143892</f>
        <v>261738</v>
      </c>
      <c r="BL63" s="317"/>
      <c r="BM63" s="317">
        <v>94022</v>
      </c>
      <c r="BN63" s="317">
        <f>301510+65267</f>
        <v>366777</v>
      </c>
      <c r="BO63" s="317">
        <f>29+110299</f>
        <v>110328</v>
      </c>
      <c r="BP63" s="317">
        <v>557110</v>
      </c>
      <c r="BQ63" s="317"/>
      <c r="BR63" s="317">
        <v>109528</v>
      </c>
      <c r="BS63" s="317"/>
      <c r="BT63" s="317"/>
      <c r="BU63" s="317"/>
      <c r="BV63" s="317">
        <v>238524</v>
      </c>
      <c r="BW63" s="317"/>
      <c r="BX63" s="317">
        <v>98362</v>
      </c>
      <c r="BY63" s="317">
        <v>5108</v>
      </c>
      <c r="BZ63" s="317"/>
      <c r="CA63" s="317"/>
      <c r="CB63" s="317"/>
      <c r="CC63" s="317">
        <v>34480</v>
      </c>
      <c r="CD63" s="29" t="s">
        <v>233</v>
      </c>
      <c r="CE63" s="32">
        <f t="shared" si="4"/>
        <v>8532069</v>
      </c>
    </row>
    <row r="64" spans="1:83" x14ac:dyDescent="0.35">
      <c r="A64" s="39" t="s">
        <v>250</v>
      </c>
      <c r="B64" s="20"/>
      <c r="C64" s="24">
        <v>77864</v>
      </c>
      <c r="D64" s="24"/>
      <c r="E64" s="24">
        <f>6643+105052+3877</f>
        <v>115572</v>
      </c>
      <c r="F64" s="24"/>
      <c r="G64" s="24"/>
      <c r="H64" s="24"/>
      <c r="I64" s="24"/>
      <c r="J64" s="24"/>
      <c r="K64" s="24"/>
      <c r="L64" s="24"/>
      <c r="M64" s="24"/>
      <c r="N64" s="24"/>
      <c r="O64" s="24">
        <v>131940</v>
      </c>
      <c r="P64" s="30">
        <f>1518869+256040+2843</f>
        <v>1777752</v>
      </c>
      <c r="Q64" s="30">
        <v>28541</v>
      </c>
      <c r="R64" s="30">
        <v>127798</v>
      </c>
      <c r="S64" s="317">
        <f>5345920+25572-7</f>
        <v>5371485</v>
      </c>
      <c r="T64" s="317"/>
      <c r="U64" s="31">
        <f>849069+221884</f>
        <v>1070953</v>
      </c>
      <c r="V64" s="30"/>
      <c r="W64" s="30">
        <v>17795</v>
      </c>
      <c r="X64" s="30">
        <v>18846</v>
      </c>
      <c r="Y64" s="30">
        <f>101923+35290+451</f>
        <v>137664</v>
      </c>
      <c r="Z64" s="30"/>
      <c r="AA64" s="30">
        <v>192847</v>
      </c>
      <c r="AB64" s="318">
        <f>3747430+35440</f>
        <v>3782870</v>
      </c>
      <c r="AC64" s="30">
        <f>46481+3438</f>
        <v>49919</v>
      </c>
      <c r="AD64" s="30"/>
      <c r="AE64" s="30">
        <f>80509+13793+130+2025+3367</f>
        <v>99824</v>
      </c>
      <c r="AF64" s="30"/>
      <c r="AG64" s="30">
        <f>224691+26</f>
        <v>224717</v>
      </c>
      <c r="AH64" s="30"/>
      <c r="AI64" s="30"/>
      <c r="AJ64" s="30">
        <v>36897</v>
      </c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17">
        <v>7392</v>
      </c>
      <c r="AW64" s="317"/>
      <c r="AX64" s="317"/>
      <c r="AY64" s="30">
        <v>465560</v>
      </c>
      <c r="AZ64" s="30"/>
      <c r="BA64" s="317">
        <v>8</v>
      </c>
      <c r="BB64" s="317">
        <v>1094</v>
      </c>
      <c r="BC64" s="317"/>
      <c r="BD64" s="317">
        <v>19421</v>
      </c>
      <c r="BE64" s="30">
        <v>12678</v>
      </c>
      <c r="BF64" s="317">
        <v>65836</v>
      </c>
      <c r="BG64" s="317"/>
      <c r="BH64" s="317">
        <f>25660+23337</f>
        <v>48997</v>
      </c>
      <c r="BI64" s="317">
        <v>9834</v>
      </c>
      <c r="BJ64" s="317"/>
      <c r="BK64" s="317">
        <f>26965+357</f>
        <v>27322</v>
      </c>
      <c r="BL64" s="317">
        <v>13241</v>
      </c>
      <c r="BM64" s="317">
        <v>15226</v>
      </c>
      <c r="BN64" s="317">
        <f>39432+55</f>
        <v>39487</v>
      </c>
      <c r="BO64" s="317">
        <f>560+122699</f>
        <v>123259</v>
      </c>
      <c r="BP64" s="317">
        <v>3427</v>
      </c>
      <c r="BQ64" s="317"/>
      <c r="BR64" s="317">
        <v>21629</v>
      </c>
      <c r="BS64" s="317">
        <v>2280</v>
      </c>
      <c r="BT64" s="317"/>
      <c r="BU64" s="317"/>
      <c r="BV64" s="317">
        <v>7568</v>
      </c>
      <c r="BW64" s="317">
        <v>2165</v>
      </c>
      <c r="BX64" s="317">
        <v>1373</v>
      </c>
      <c r="BY64" s="317">
        <v>4070</v>
      </c>
      <c r="BZ64" s="317"/>
      <c r="CA64" s="317"/>
      <c r="CB64" s="317"/>
      <c r="CC64" s="317">
        <v>2721</v>
      </c>
      <c r="CD64" s="29" t="s">
        <v>233</v>
      </c>
      <c r="CE64" s="32">
        <f t="shared" si="4"/>
        <v>14157872</v>
      </c>
    </row>
    <row r="65" spans="1:83" x14ac:dyDescent="0.35">
      <c r="A65" s="39" t="s">
        <v>251</v>
      </c>
      <c r="B65" s="20"/>
      <c r="C65" s="24">
        <v>480</v>
      </c>
      <c r="D65" s="24"/>
      <c r="E65" s="24">
        <f>342</f>
        <v>342</v>
      </c>
      <c r="F65" s="24"/>
      <c r="G65" s="24"/>
      <c r="H65" s="24"/>
      <c r="I65" s="24"/>
      <c r="J65" s="24"/>
      <c r="K65" s="24"/>
      <c r="L65" s="24"/>
      <c r="M65" s="24"/>
      <c r="N65" s="24"/>
      <c r="O65" s="24">
        <v>480</v>
      </c>
      <c r="P65" s="30">
        <f>960+480</f>
        <v>1440</v>
      </c>
      <c r="Q65" s="30"/>
      <c r="R65" s="30"/>
      <c r="S65" s="317"/>
      <c r="T65" s="317"/>
      <c r="U65" s="31">
        <v>960</v>
      </c>
      <c r="V65" s="30"/>
      <c r="W65" s="30"/>
      <c r="X65" s="30"/>
      <c r="Y65" s="30">
        <f>840+360</f>
        <v>1200</v>
      </c>
      <c r="Z65" s="30"/>
      <c r="AA65" s="30"/>
      <c r="AB65" s="318">
        <v>42534</v>
      </c>
      <c r="AC65" s="30">
        <v>480</v>
      </c>
      <c r="AD65" s="30"/>
      <c r="AE65" s="30">
        <f>32788+2791</f>
        <v>35579</v>
      </c>
      <c r="AF65" s="30"/>
      <c r="AG65" s="30">
        <f>480+750+480</f>
        <v>1710</v>
      </c>
      <c r="AH65" s="30"/>
      <c r="AI65" s="30"/>
      <c r="AJ65" s="30">
        <v>79</v>
      </c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7"/>
      <c r="AW65" s="317"/>
      <c r="AX65" s="317"/>
      <c r="AY65" s="30">
        <v>112</v>
      </c>
      <c r="AZ65" s="30"/>
      <c r="BA65" s="317"/>
      <c r="BB65" s="317">
        <f>3057+480</f>
        <v>3537</v>
      </c>
      <c r="BC65" s="317"/>
      <c r="BD65" s="317">
        <v>1497</v>
      </c>
      <c r="BE65" s="30">
        <v>554300</v>
      </c>
      <c r="BF65" s="317">
        <v>53594</v>
      </c>
      <c r="BG65" s="317"/>
      <c r="BH65" s="317">
        <f>116255+480</f>
        <v>116735</v>
      </c>
      <c r="BI65" s="317">
        <v>4433</v>
      </c>
      <c r="BJ65" s="317"/>
      <c r="BK65" s="317">
        <v>5412</v>
      </c>
      <c r="BL65" s="317">
        <v>480</v>
      </c>
      <c r="BM65" s="317">
        <v>176</v>
      </c>
      <c r="BN65" s="317">
        <v>1158</v>
      </c>
      <c r="BO65" s="317">
        <f>440+11268</f>
        <v>11708</v>
      </c>
      <c r="BP65" s="317"/>
      <c r="BQ65" s="317"/>
      <c r="BR65" s="317">
        <v>440</v>
      </c>
      <c r="BS65" s="317"/>
      <c r="BT65" s="317"/>
      <c r="BU65" s="317"/>
      <c r="BV65" s="317"/>
      <c r="BW65" s="317">
        <v>480</v>
      </c>
      <c r="BX65" s="317">
        <v>680</v>
      </c>
      <c r="BY65" s="317">
        <v>964</v>
      </c>
      <c r="BZ65" s="317"/>
      <c r="CA65" s="317"/>
      <c r="CB65" s="317"/>
      <c r="CC65" s="317"/>
      <c r="CD65" s="29" t="s">
        <v>233</v>
      </c>
      <c r="CE65" s="32">
        <f t="shared" si="4"/>
        <v>840990</v>
      </c>
    </row>
    <row r="66" spans="1:83" x14ac:dyDescent="0.35">
      <c r="A66" s="39" t="s">
        <v>252</v>
      </c>
      <c r="B66" s="20"/>
      <c r="C66" s="24">
        <v>24658</v>
      </c>
      <c r="D66" s="24"/>
      <c r="E66" s="24">
        <f>19120+9675+3444</f>
        <v>32239</v>
      </c>
      <c r="F66" s="24"/>
      <c r="G66" s="24"/>
      <c r="H66" s="24"/>
      <c r="I66" s="24"/>
      <c r="J66" s="24"/>
      <c r="K66" s="24"/>
      <c r="L66" s="24"/>
      <c r="M66" s="24"/>
      <c r="N66" s="24"/>
      <c r="O66" s="24">
        <v>78976</v>
      </c>
      <c r="P66" s="30">
        <f>398273+39126</f>
        <v>437399</v>
      </c>
      <c r="Q66" s="30">
        <v>1367</v>
      </c>
      <c r="R66" s="30">
        <v>1072</v>
      </c>
      <c r="S66" s="317"/>
      <c r="T66" s="317"/>
      <c r="U66" s="31">
        <v>216434</v>
      </c>
      <c r="V66" s="30">
        <v>26105</v>
      </c>
      <c r="W66" s="30">
        <v>168601</v>
      </c>
      <c r="X66" s="30">
        <v>171249</v>
      </c>
      <c r="Y66" s="30">
        <f>55934+214781+88857</f>
        <v>359572</v>
      </c>
      <c r="Z66" s="30"/>
      <c r="AA66" s="30">
        <v>133108</v>
      </c>
      <c r="AB66" s="318">
        <f>18651+9486</f>
        <v>28137</v>
      </c>
      <c r="AC66" s="30">
        <f>12316+3933</f>
        <v>16249</v>
      </c>
      <c r="AD66" s="30"/>
      <c r="AE66" s="30">
        <f>65614+5273+1294</f>
        <v>72181</v>
      </c>
      <c r="AF66" s="30"/>
      <c r="AG66" s="30">
        <f>56419+3996</f>
        <v>60415</v>
      </c>
      <c r="AH66" s="30">
        <v>123435</v>
      </c>
      <c r="AI66" s="30"/>
      <c r="AJ66" s="30">
        <v>11922</v>
      </c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17">
        <v>1890</v>
      </c>
      <c r="AW66" s="317"/>
      <c r="AX66" s="317"/>
      <c r="AY66" s="30">
        <v>18553</v>
      </c>
      <c r="AZ66" s="30"/>
      <c r="BA66" s="317">
        <v>221233</v>
      </c>
      <c r="BB66" s="317">
        <v>17174</v>
      </c>
      <c r="BC66" s="317"/>
      <c r="BD66" s="317">
        <v>4059</v>
      </c>
      <c r="BE66" s="30">
        <v>210813</v>
      </c>
      <c r="BF66" s="317">
        <v>11150</v>
      </c>
      <c r="BG66" s="317"/>
      <c r="BH66" s="317">
        <f>316399+1162406</f>
        <v>1478805</v>
      </c>
      <c r="BI66" s="317">
        <v>114097</v>
      </c>
      <c r="BJ66" s="317"/>
      <c r="BK66" s="317">
        <f>358400+44242-2</f>
        <v>402640</v>
      </c>
      <c r="BL66" s="317">
        <v>189</v>
      </c>
      <c r="BM66" s="317">
        <v>37300</v>
      </c>
      <c r="BN66" s="317">
        <v>40795</v>
      </c>
      <c r="BO66" s="317">
        <v>11426</v>
      </c>
      <c r="BP66" s="317">
        <v>47578</v>
      </c>
      <c r="BQ66" s="317"/>
      <c r="BR66" s="317">
        <f>98833+36782</f>
        <v>135615</v>
      </c>
      <c r="BS66" s="317"/>
      <c r="BT66" s="317"/>
      <c r="BU66" s="317"/>
      <c r="BV66" s="317">
        <v>47231</v>
      </c>
      <c r="BW66" s="317">
        <v>24705</v>
      </c>
      <c r="BX66" s="317">
        <v>98130</v>
      </c>
      <c r="BY66" s="317">
        <v>439</v>
      </c>
      <c r="BZ66" s="317"/>
      <c r="CA66" s="317"/>
      <c r="CB66" s="317"/>
      <c r="CC66" s="317">
        <v>331</v>
      </c>
      <c r="CD66" s="29" t="s">
        <v>233</v>
      </c>
      <c r="CE66" s="32">
        <f t="shared" si="4"/>
        <v>4887272</v>
      </c>
    </row>
    <row r="67" spans="1:83" x14ac:dyDescent="0.35">
      <c r="A67" s="39" t="s">
        <v>11</v>
      </c>
      <c r="B67" s="20"/>
      <c r="C67" s="32">
        <f t="shared" ref="C67:BN67" si="8">ROUND(C51+C52,0)</f>
        <v>97313</v>
      </c>
      <c r="D67" s="32">
        <f t="shared" si="8"/>
        <v>0</v>
      </c>
      <c r="E67" s="32">
        <f t="shared" si="8"/>
        <v>163108</v>
      </c>
      <c r="F67" s="32">
        <f t="shared" si="8"/>
        <v>0</v>
      </c>
      <c r="G67" s="32">
        <f t="shared" si="8"/>
        <v>0</v>
      </c>
      <c r="H67" s="32">
        <f t="shared" si="8"/>
        <v>0</v>
      </c>
      <c r="I67" s="32">
        <f t="shared" si="8"/>
        <v>0</v>
      </c>
      <c r="J67" s="32">
        <f t="shared" si="8"/>
        <v>0</v>
      </c>
      <c r="K67" s="32">
        <f t="shared" si="8"/>
        <v>0</v>
      </c>
      <c r="L67" s="32">
        <f t="shared" si="8"/>
        <v>0</v>
      </c>
      <c r="M67" s="32">
        <f t="shared" si="8"/>
        <v>0</v>
      </c>
      <c r="N67" s="32">
        <f t="shared" si="8"/>
        <v>0</v>
      </c>
      <c r="O67" s="32">
        <f t="shared" si="8"/>
        <v>194793</v>
      </c>
      <c r="P67" s="32">
        <f t="shared" si="8"/>
        <v>376179</v>
      </c>
      <c r="Q67" s="32">
        <f t="shared" si="8"/>
        <v>0</v>
      </c>
      <c r="R67" s="32">
        <f t="shared" si="8"/>
        <v>0</v>
      </c>
      <c r="S67" s="32">
        <f t="shared" si="8"/>
        <v>32422</v>
      </c>
      <c r="T67" s="32">
        <f t="shared" si="8"/>
        <v>0</v>
      </c>
      <c r="U67" s="32">
        <f t="shared" si="8"/>
        <v>48799</v>
      </c>
      <c r="V67" s="32">
        <f t="shared" si="8"/>
        <v>9270</v>
      </c>
      <c r="W67" s="32">
        <f t="shared" si="8"/>
        <v>15070</v>
      </c>
      <c r="X67" s="32">
        <f t="shared" si="8"/>
        <v>12408</v>
      </c>
      <c r="Y67" s="32">
        <f t="shared" si="8"/>
        <v>117280</v>
      </c>
      <c r="Z67" s="32">
        <f t="shared" si="8"/>
        <v>0</v>
      </c>
      <c r="AA67" s="32">
        <f t="shared" si="8"/>
        <v>8177</v>
      </c>
      <c r="AB67" s="32">
        <f t="shared" si="8"/>
        <v>23294</v>
      </c>
      <c r="AC67" s="32">
        <f t="shared" si="8"/>
        <v>30924</v>
      </c>
      <c r="AD67" s="32">
        <f t="shared" si="8"/>
        <v>0</v>
      </c>
      <c r="AE67" s="32">
        <f t="shared" si="8"/>
        <v>332966</v>
      </c>
      <c r="AF67" s="32">
        <f t="shared" si="8"/>
        <v>0</v>
      </c>
      <c r="AG67" s="32">
        <f t="shared" si="8"/>
        <v>142167</v>
      </c>
      <c r="AH67" s="32">
        <f t="shared" si="8"/>
        <v>0</v>
      </c>
      <c r="AI67" s="32">
        <f t="shared" si="8"/>
        <v>0</v>
      </c>
      <c r="AJ67" s="32">
        <f t="shared" si="8"/>
        <v>0</v>
      </c>
      <c r="AK67" s="32">
        <f t="shared" si="8"/>
        <v>0</v>
      </c>
      <c r="AL67" s="32">
        <f t="shared" si="8"/>
        <v>0</v>
      </c>
      <c r="AM67" s="32">
        <f t="shared" si="8"/>
        <v>0</v>
      </c>
      <c r="AN67" s="32">
        <f t="shared" si="8"/>
        <v>0</v>
      </c>
      <c r="AO67" s="32">
        <f t="shared" si="8"/>
        <v>0</v>
      </c>
      <c r="AP67" s="32">
        <f t="shared" si="8"/>
        <v>62514</v>
      </c>
      <c r="AQ67" s="32">
        <f t="shared" si="8"/>
        <v>0</v>
      </c>
      <c r="AR67" s="32">
        <f t="shared" si="8"/>
        <v>0</v>
      </c>
      <c r="AS67" s="32">
        <f t="shared" si="8"/>
        <v>0</v>
      </c>
      <c r="AT67" s="32">
        <f t="shared" si="8"/>
        <v>0</v>
      </c>
      <c r="AU67" s="32">
        <f t="shared" si="8"/>
        <v>0</v>
      </c>
      <c r="AV67" s="32">
        <f t="shared" si="8"/>
        <v>11314</v>
      </c>
      <c r="AW67" s="32">
        <f t="shared" si="8"/>
        <v>0</v>
      </c>
      <c r="AX67" s="32">
        <f t="shared" si="8"/>
        <v>0</v>
      </c>
      <c r="AY67" s="32">
        <f t="shared" ref="AY67" si="9">ROUND(AY51+AY52,0)</f>
        <v>108295</v>
      </c>
      <c r="AZ67" s="32"/>
      <c r="BA67" s="32">
        <f t="shared" si="8"/>
        <v>30663</v>
      </c>
      <c r="BB67" s="32">
        <f t="shared" si="8"/>
        <v>10031</v>
      </c>
      <c r="BC67" s="32">
        <f t="shared" si="8"/>
        <v>0</v>
      </c>
      <c r="BD67" s="32">
        <f t="shared" si="8"/>
        <v>67815</v>
      </c>
      <c r="BE67" s="32">
        <f t="shared" si="8"/>
        <v>259042</v>
      </c>
      <c r="BF67" s="32">
        <f t="shared" si="8"/>
        <v>105680</v>
      </c>
      <c r="BG67" s="32">
        <f t="shared" si="8"/>
        <v>0</v>
      </c>
      <c r="BH67" s="32">
        <f t="shared" si="8"/>
        <v>24982</v>
      </c>
      <c r="BI67" s="32">
        <f t="shared" si="8"/>
        <v>0</v>
      </c>
      <c r="BJ67" s="32">
        <f t="shared" si="8"/>
        <v>0</v>
      </c>
      <c r="BK67" s="32">
        <f t="shared" si="8"/>
        <v>0</v>
      </c>
      <c r="BL67" s="32">
        <f t="shared" si="8"/>
        <v>24530</v>
      </c>
      <c r="BM67" s="32">
        <f t="shared" si="8"/>
        <v>0</v>
      </c>
      <c r="BN67" s="32">
        <f t="shared" si="8"/>
        <v>50772</v>
      </c>
      <c r="BO67" s="32">
        <f t="shared" ref="BO67:CC67" si="10">ROUND(BO51+BO52,0)</f>
        <v>0</v>
      </c>
      <c r="BP67" s="32">
        <f t="shared" si="10"/>
        <v>0</v>
      </c>
      <c r="BQ67" s="32">
        <f t="shared" si="10"/>
        <v>0</v>
      </c>
      <c r="BR67" s="32">
        <f t="shared" si="10"/>
        <v>0</v>
      </c>
      <c r="BS67" s="32">
        <f t="shared" si="10"/>
        <v>0</v>
      </c>
      <c r="BT67" s="32">
        <f t="shared" si="10"/>
        <v>0</v>
      </c>
      <c r="BU67" s="32">
        <f t="shared" si="10"/>
        <v>0</v>
      </c>
      <c r="BV67" s="32">
        <f t="shared" si="10"/>
        <v>15545</v>
      </c>
      <c r="BW67" s="32">
        <f t="shared" si="10"/>
        <v>5586</v>
      </c>
      <c r="BX67" s="32">
        <f t="shared" si="10"/>
        <v>3565</v>
      </c>
      <c r="BY67" s="32">
        <f t="shared" si="10"/>
        <v>3209</v>
      </c>
      <c r="BZ67" s="32">
        <f t="shared" si="10"/>
        <v>0</v>
      </c>
      <c r="CA67" s="32">
        <f t="shared" si="10"/>
        <v>0</v>
      </c>
      <c r="CB67" s="32">
        <f t="shared" si="10"/>
        <v>0</v>
      </c>
      <c r="CC67" s="32">
        <f t="shared" si="10"/>
        <v>641901</v>
      </c>
      <c r="CD67" s="29" t="s">
        <v>233</v>
      </c>
      <c r="CE67" s="32">
        <f t="shared" si="4"/>
        <v>3029614</v>
      </c>
    </row>
    <row r="68" spans="1:83" x14ac:dyDescent="0.35">
      <c r="A68" s="39" t="s">
        <v>253</v>
      </c>
      <c r="B68" s="32"/>
      <c r="C68" s="24">
        <v>12914</v>
      </c>
      <c r="D68" s="24"/>
      <c r="E68" s="24">
        <f>60907</f>
        <v>60907</v>
      </c>
      <c r="F68" s="24"/>
      <c r="G68" s="24"/>
      <c r="H68" s="24"/>
      <c r="I68" s="24"/>
      <c r="J68" s="24"/>
      <c r="K68" s="24"/>
      <c r="L68" s="24"/>
      <c r="M68" s="24"/>
      <c r="N68" s="24"/>
      <c r="O68" s="24">
        <v>25801</v>
      </c>
      <c r="P68" s="30">
        <f>28648+44223</f>
        <v>72871</v>
      </c>
      <c r="Q68" s="30"/>
      <c r="R68" s="30"/>
      <c r="S68" s="317">
        <v>74856</v>
      </c>
      <c r="T68" s="317"/>
      <c r="U68" s="31">
        <v>4555</v>
      </c>
      <c r="V68" s="30"/>
      <c r="W68" s="30"/>
      <c r="X68" s="30"/>
      <c r="Y68" s="30">
        <f>30490</f>
        <v>30490</v>
      </c>
      <c r="Z68" s="30"/>
      <c r="AA68" s="30"/>
      <c r="AB68" s="30">
        <f>141266-1</f>
        <v>141265</v>
      </c>
      <c r="AC68" s="30">
        <f>1274+365</f>
        <v>1639</v>
      </c>
      <c r="AD68" s="30"/>
      <c r="AE68" s="30">
        <f>11301+41949</f>
        <v>53250</v>
      </c>
      <c r="AF68" s="30"/>
      <c r="AG68" s="30">
        <v>27219</v>
      </c>
      <c r="AH68" s="30"/>
      <c r="AI68" s="30"/>
      <c r="AJ68" s="30">
        <v>1340</v>
      </c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7"/>
      <c r="AW68" s="317"/>
      <c r="AX68" s="317"/>
      <c r="AY68" s="30">
        <v>12474</v>
      </c>
      <c r="AZ68" s="30"/>
      <c r="BA68" s="317"/>
      <c r="BB68" s="317">
        <v>2270</v>
      </c>
      <c r="BC68" s="317"/>
      <c r="BD68" s="317">
        <v>7166</v>
      </c>
      <c r="BE68" s="30">
        <v>7443</v>
      </c>
      <c r="BF68" s="317">
        <v>103</v>
      </c>
      <c r="BG68" s="317"/>
      <c r="BH68" s="317"/>
      <c r="BI68" s="317">
        <v>43283</v>
      </c>
      <c r="BJ68" s="317"/>
      <c r="BK68" s="317">
        <v>56400</v>
      </c>
      <c r="BL68" s="317">
        <v>4244</v>
      </c>
      <c r="BM68" s="317">
        <v>27614</v>
      </c>
      <c r="BN68" s="317">
        <v>71699</v>
      </c>
      <c r="BO68" s="317">
        <v>45232</v>
      </c>
      <c r="BP68" s="317">
        <v>371</v>
      </c>
      <c r="BQ68" s="317"/>
      <c r="BR68" s="317">
        <v>27911</v>
      </c>
      <c r="BS68" s="317">
        <v>666</v>
      </c>
      <c r="BT68" s="317"/>
      <c r="BU68" s="317"/>
      <c r="BV68" s="317">
        <v>25417</v>
      </c>
      <c r="BW68" s="317"/>
      <c r="BX68" s="317"/>
      <c r="BY68" s="317"/>
      <c r="BZ68" s="317"/>
      <c r="CA68" s="317"/>
      <c r="CB68" s="317"/>
      <c r="CC68" s="317"/>
      <c r="CD68" s="29" t="s">
        <v>233</v>
      </c>
      <c r="CE68" s="32">
        <f t="shared" si="4"/>
        <v>839400</v>
      </c>
    </row>
    <row r="69" spans="1:83" x14ac:dyDescent="0.35">
      <c r="A69" s="39" t="s">
        <v>254</v>
      </c>
      <c r="B69" s="20"/>
      <c r="C69" s="32">
        <f t="shared" ref="C69:BN69" si="11">SUM(C70:C83)</f>
        <v>3630</v>
      </c>
      <c r="D69" s="32">
        <f t="shared" si="11"/>
        <v>0</v>
      </c>
      <c r="E69" s="32">
        <f t="shared" si="11"/>
        <v>13488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1"/>
        <v>0</v>
      </c>
      <c r="O69" s="32">
        <f t="shared" si="11"/>
        <v>9254</v>
      </c>
      <c r="P69" s="32">
        <f t="shared" si="11"/>
        <v>22818</v>
      </c>
      <c r="Q69" s="32">
        <f t="shared" si="11"/>
        <v>0</v>
      </c>
      <c r="R69" s="32">
        <f t="shared" si="11"/>
        <v>0</v>
      </c>
      <c r="S69" s="32">
        <f t="shared" si="11"/>
        <v>218769</v>
      </c>
      <c r="T69" s="32">
        <f t="shared" si="11"/>
        <v>0</v>
      </c>
      <c r="U69" s="32">
        <f t="shared" si="11"/>
        <v>13944</v>
      </c>
      <c r="V69" s="32">
        <f t="shared" si="11"/>
        <v>0</v>
      </c>
      <c r="W69" s="32">
        <f t="shared" si="11"/>
        <v>110</v>
      </c>
      <c r="X69" s="32">
        <f t="shared" si="11"/>
        <v>0</v>
      </c>
      <c r="Y69" s="32">
        <f t="shared" si="11"/>
        <v>11873</v>
      </c>
      <c r="Z69" s="32">
        <f t="shared" si="11"/>
        <v>0</v>
      </c>
      <c r="AA69" s="32">
        <f t="shared" si="11"/>
        <v>4563</v>
      </c>
      <c r="AB69" s="32">
        <f t="shared" si="11"/>
        <v>4895</v>
      </c>
      <c r="AC69" s="32">
        <f t="shared" si="11"/>
        <v>2018</v>
      </c>
      <c r="AD69" s="32">
        <f t="shared" si="11"/>
        <v>0</v>
      </c>
      <c r="AE69" s="32">
        <f t="shared" si="11"/>
        <v>52612</v>
      </c>
      <c r="AF69" s="32">
        <f t="shared" si="11"/>
        <v>0</v>
      </c>
      <c r="AG69" s="32">
        <f t="shared" si="11"/>
        <v>49977</v>
      </c>
      <c r="AH69" s="32">
        <f t="shared" si="11"/>
        <v>0</v>
      </c>
      <c r="AI69" s="32">
        <f t="shared" si="11"/>
        <v>0</v>
      </c>
      <c r="AJ69" s="32">
        <f t="shared" si="11"/>
        <v>725</v>
      </c>
      <c r="AK69" s="32">
        <f t="shared" si="11"/>
        <v>0</v>
      </c>
      <c r="AL69" s="32">
        <f t="shared" si="11"/>
        <v>0</v>
      </c>
      <c r="AM69" s="32">
        <f t="shared" si="11"/>
        <v>0</v>
      </c>
      <c r="AN69" s="32">
        <f t="shared" si="11"/>
        <v>0</v>
      </c>
      <c r="AO69" s="32">
        <f t="shared" si="11"/>
        <v>0</v>
      </c>
      <c r="AP69" s="32">
        <f t="shared" si="11"/>
        <v>0</v>
      </c>
      <c r="AQ69" s="32">
        <f t="shared" si="11"/>
        <v>0</v>
      </c>
      <c r="AR69" s="32">
        <f t="shared" si="11"/>
        <v>0</v>
      </c>
      <c r="AS69" s="32">
        <f t="shared" si="11"/>
        <v>0</v>
      </c>
      <c r="AT69" s="32">
        <f t="shared" si="11"/>
        <v>0</v>
      </c>
      <c r="AU69" s="32">
        <f t="shared" si="11"/>
        <v>0</v>
      </c>
      <c r="AV69" s="32">
        <f t="shared" si="11"/>
        <v>71647</v>
      </c>
      <c r="AW69" s="32">
        <f t="shared" si="11"/>
        <v>0</v>
      </c>
      <c r="AX69" s="32">
        <f t="shared" si="11"/>
        <v>0</v>
      </c>
      <c r="AY69" s="32">
        <f t="shared" si="11"/>
        <v>662</v>
      </c>
      <c r="AZ69" s="32">
        <f t="shared" si="11"/>
        <v>0</v>
      </c>
      <c r="BA69" s="32">
        <f t="shared" si="11"/>
        <v>0</v>
      </c>
      <c r="BB69" s="32">
        <f t="shared" si="11"/>
        <v>8622</v>
      </c>
      <c r="BC69" s="32">
        <f t="shared" si="11"/>
        <v>0</v>
      </c>
      <c r="BD69" s="32">
        <f t="shared" si="11"/>
        <v>5002</v>
      </c>
      <c r="BE69" s="32">
        <f t="shared" si="11"/>
        <v>1709</v>
      </c>
      <c r="BF69" s="32">
        <f t="shared" si="11"/>
        <v>1741</v>
      </c>
      <c r="BG69" s="32">
        <f t="shared" si="11"/>
        <v>0</v>
      </c>
      <c r="BH69" s="32">
        <f t="shared" si="11"/>
        <v>5743</v>
      </c>
      <c r="BI69" s="32">
        <f t="shared" si="11"/>
        <v>236433</v>
      </c>
      <c r="BJ69" s="32">
        <f t="shared" si="11"/>
        <v>0</v>
      </c>
      <c r="BK69" s="32">
        <f t="shared" si="11"/>
        <v>7193</v>
      </c>
      <c r="BL69" s="32">
        <f t="shared" si="11"/>
        <v>0</v>
      </c>
      <c r="BM69" s="32">
        <f t="shared" si="11"/>
        <v>68077</v>
      </c>
      <c r="BN69" s="32">
        <f t="shared" si="11"/>
        <v>257775</v>
      </c>
      <c r="BO69" s="32">
        <f t="shared" ref="BO69:CD69" si="12">SUM(BO70:BO83)</f>
        <v>20</v>
      </c>
      <c r="BP69" s="32">
        <f t="shared" si="12"/>
        <v>22275</v>
      </c>
      <c r="BQ69" s="32">
        <f t="shared" si="12"/>
        <v>0</v>
      </c>
      <c r="BR69" s="32">
        <f t="shared" si="12"/>
        <v>59804</v>
      </c>
      <c r="BS69" s="32">
        <f t="shared" si="12"/>
        <v>4785</v>
      </c>
      <c r="BT69" s="32">
        <f t="shared" si="12"/>
        <v>0</v>
      </c>
      <c r="BU69" s="32">
        <f t="shared" si="12"/>
        <v>0</v>
      </c>
      <c r="BV69" s="32">
        <f t="shared" si="12"/>
        <v>703</v>
      </c>
      <c r="BW69" s="32">
        <f t="shared" si="12"/>
        <v>32287</v>
      </c>
      <c r="BX69" s="32">
        <f t="shared" si="12"/>
        <v>8941</v>
      </c>
      <c r="BY69" s="32">
        <f t="shared" si="12"/>
        <v>36443</v>
      </c>
      <c r="BZ69" s="32">
        <f t="shared" si="12"/>
        <v>0</v>
      </c>
      <c r="CA69" s="32">
        <f t="shared" si="12"/>
        <v>0</v>
      </c>
      <c r="CB69" s="32">
        <f t="shared" si="12"/>
        <v>0</v>
      </c>
      <c r="CC69" s="32">
        <f t="shared" si="12"/>
        <v>3755</v>
      </c>
      <c r="CD69" s="32">
        <f t="shared" si="12"/>
        <v>797251</v>
      </c>
      <c r="CE69" s="32">
        <f>SUM(CE70:CE84)</f>
        <v>11542569</v>
      </c>
    </row>
    <row r="70" spans="1:83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3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13">SUM(C71:CD71)</f>
        <v>0</v>
      </c>
    </row>
    <row r="72" spans="1:83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3"/>
        <v>0</v>
      </c>
    </row>
    <row r="73" spans="1:83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3"/>
        <v>0</v>
      </c>
    </row>
    <row r="74" spans="1:83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3"/>
        <v>0</v>
      </c>
    </row>
    <row r="75" spans="1:83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3"/>
        <v>0</v>
      </c>
    </row>
    <row r="76" spans="1:83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3"/>
        <v>0</v>
      </c>
    </row>
    <row r="77" spans="1:83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3"/>
        <v>0</v>
      </c>
    </row>
    <row r="78" spans="1:83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3"/>
        <v>0</v>
      </c>
    </row>
    <row r="79" spans="1:83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3"/>
        <v>0</v>
      </c>
    </row>
    <row r="80" spans="1:83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3"/>
        <v>0</v>
      </c>
    </row>
    <row r="81" spans="1:84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>
        <v>61256</v>
      </c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3"/>
        <v>61256</v>
      </c>
    </row>
    <row r="82" spans="1:84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3"/>
        <v>0</v>
      </c>
    </row>
    <row r="83" spans="1:84" x14ac:dyDescent="0.35">
      <c r="A83" s="33" t="s">
        <v>268</v>
      </c>
      <c r="B83" s="20"/>
      <c r="C83" s="24">
        <v>3630</v>
      </c>
      <c r="D83" s="24"/>
      <c r="E83" s="30">
        <f>1796+6304+5388</f>
        <v>13488</v>
      </c>
      <c r="F83" s="30"/>
      <c r="G83" s="24"/>
      <c r="H83" s="24"/>
      <c r="I83" s="30"/>
      <c r="J83" s="30"/>
      <c r="K83" s="30"/>
      <c r="L83" s="30"/>
      <c r="M83" s="24"/>
      <c r="N83" s="24"/>
      <c r="O83" s="24">
        <v>9254</v>
      </c>
      <c r="P83" s="30">
        <f>19478+3340</f>
        <v>22818</v>
      </c>
      <c r="Q83" s="30"/>
      <c r="R83" s="31"/>
      <c r="S83" s="30">
        <v>157513</v>
      </c>
      <c r="T83" s="24"/>
      <c r="U83" s="30">
        <v>13944</v>
      </c>
      <c r="V83" s="30"/>
      <c r="W83" s="24">
        <v>110</v>
      </c>
      <c r="X83" s="30"/>
      <c r="Y83" s="30">
        <f>8429+1725+1719</f>
        <v>11873</v>
      </c>
      <c r="Z83" s="30"/>
      <c r="AA83" s="30">
        <v>4563</v>
      </c>
      <c r="AB83" s="30">
        <v>4895</v>
      </c>
      <c r="AC83" s="30">
        <f>918+1100</f>
        <v>2018</v>
      </c>
      <c r="AD83" s="30"/>
      <c r="AE83" s="30">
        <f>40275+6213+6124</f>
        <v>52612</v>
      </c>
      <c r="AF83" s="30"/>
      <c r="AG83" s="30">
        <f>11286+1025+37666</f>
        <v>49977</v>
      </c>
      <c r="AH83" s="30"/>
      <c r="AI83" s="30"/>
      <c r="AJ83" s="30">
        <f>455+270</f>
        <v>725</v>
      </c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>
        <v>71647</v>
      </c>
      <c r="AW83" s="30"/>
      <c r="AX83" s="30"/>
      <c r="AY83" s="30">
        <v>662</v>
      </c>
      <c r="AZ83" s="30"/>
      <c r="BA83" s="30"/>
      <c r="BB83" s="30">
        <v>8622</v>
      </c>
      <c r="BC83" s="30"/>
      <c r="BD83" s="30">
        <v>5002</v>
      </c>
      <c r="BE83" s="30">
        <v>1709</v>
      </c>
      <c r="BF83" s="30">
        <v>1741</v>
      </c>
      <c r="BG83" s="30"/>
      <c r="BH83" s="31">
        <f>5430+313</f>
        <v>5743</v>
      </c>
      <c r="BI83" s="30">
        <v>236433</v>
      </c>
      <c r="BJ83" s="30"/>
      <c r="BK83" s="30">
        <f>254+6939</f>
        <v>7193</v>
      </c>
      <c r="BL83" s="30"/>
      <c r="BM83" s="30">
        <v>68077</v>
      </c>
      <c r="BN83" s="30">
        <f>250119+7656</f>
        <v>257775</v>
      </c>
      <c r="BO83" s="30">
        <v>20</v>
      </c>
      <c r="BP83" s="30">
        <v>22275</v>
      </c>
      <c r="BQ83" s="30"/>
      <c r="BR83" s="30">
        <v>59804</v>
      </c>
      <c r="BS83" s="30">
        <v>4785</v>
      </c>
      <c r="BT83" s="30"/>
      <c r="BU83" s="30"/>
      <c r="BV83" s="30">
        <v>703</v>
      </c>
      <c r="BW83" s="30">
        <f>26401+5886</f>
        <v>32287</v>
      </c>
      <c r="BX83" s="30">
        <v>8941</v>
      </c>
      <c r="BY83" s="30">
        <v>36443</v>
      </c>
      <c r="BZ83" s="30"/>
      <c r="CA83" s="30"/>
      <c r="CB83" s="30"/>
      <c r="CC83" s="30">
        <v>3755</v>
      </c>
      <c r="CD83" s="35">
        <f>822900-25649</f>
        <v>797251</v>
      </c>
      <c r="CE83" s="32">
        <f t="shared" si="13"/>
        <v>1978288</v>
      </c>
    </row>
    <row r="84" spans="1:84" x14ac:dyDescent="0.35">
      <c r="A84" s="39" t="s">
        <v>269</v>
      </c>
      <c r="B84" s="20"/>
      <c r="C84" s="24">
        <v>0</v>
      </c>
      <c r="D84" s="24"/>
      <c r="E84" s="24">
        <f>10440+243274</f>
        <v>253714</v>
      </c>
      <c r="F84" s="24"/>
      <c r="G84" s="24"/>
      <c r="H84" s="24"/>
      <c r="I84" s="24"/>
      <c r="J84" s="24"/>
      <c r="K84" s="24"/>
      <c r="L84" s="24"/>
      <c r="M84" s="24"/>
      <c r="N84" s="24"/>
      <c r="O84" s="24">
        <v>4395</v>
      </c>
      <c r="P84" s="24">
        <v>10080</v>
      </c>
      <c r="Q84" s="24"/>
      <c r="R84" s="24"/>
      <c r="S84" s="24">
        <v>19661</v>
      </c>
      <c r="T84" s="24"/>
      <c r="U84" s="24"/>
      <c r="V84" s="24"/>
      <c r="W84" s="24"/>
      <c r="X84" s="24"/>
      <c r="Y84" s="24">
        <v>7721</v>
      </c>
      <c r="Z84" s="24"/>
      <c r="AA84" s="24"/>
      <c r="AB84" s="24">
        <f>5463+1289</f>
        <v>6752</v>
      </c>
      <c r="AC84" s="24"/>
      <c r="AD84" s="24"/>
      <c r="AE84" s="24">
        <f>24221+32022+3292</f>
        <v>59535</v>
      </c>
      <c r="AF84" s="24"/>
      <c r="AG84" s="24"/>
      <c r="AH84" s="24"/>
      <c r="AI84" s="24"/>
      <c r="AJ84" s="24">
        <v>81185</v>
      </c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>
        <v>10520</v>
      </c>
      <c r="AW84" s="24"/>
      <c r="AX84" s="24"/>
      <c r="AY84" s="24">
        <v>345124</v>
      </c>
      <c r="AZ84" s="24"/>
      <c r="BA84" s="24"/>
      <c r="BB84" s="24"/>
      <c r="BC84" s="24"/>
      <c r="BD84" s="24"/>
      <c r="BE84" s="24"/>
      <c r="BF84" s="24"/>
      <c r="BG84" s="24"/>
      <c r="BH84" s="24">
        <v>15540</v>
      </c>
      <c r="BI84" s="24"/>
      <c r="BJ84" s="24"/>
      <c r="BK84" s="24">
        <v>59</v>
      </c>
      <c r="BL84" s="24"/>
      <c r="BM84" s="24">
        <v>316762</v>
      </c>
      <c r="BN84" s="24">
        <v>50000</v>
      </c>
      <c r="BO84" s="24"/>
      <c r="BP84" s="24">
        <v>15000</v>
      </c>
      <c r="BQ84" s="24"/>
      <c r="BR84" s="24">
        <v>31125</v>
      </c>
      <c r="BS84" s="24"/>
      <c r="BT84" s="24"/>
      <c r="BU84" s="24"/>
      <c r="BV84" s="24">
        <v>8504</v>
      </c>
      <c r="BW84" s="24">
        <v>9725</v>
      </c>
      <c r="BX84" s="24"/>
      <c r="BY84" s="24">
        <v>29947</v>
      </c>
      <c r="BZ84" s="24"/>
      <c r="CA84" s="24"/>
      <c r="CB84" s="24"/>
      <c r="CC84" s="24"/>
      <c r="CD84" s="35">
        <f>8226654+1022</f>
        <v>8227676</v>
      </c>
      <c r="CE84" s="32">
        <f t="shared" si="13"/>
        <v>9503025</v>
      </c>
    </row>
    <row r="85" spans="1:84" x14ac:dyDescent="0.35">
      <c r="A85" s="39" t="s">
        <v>270</v>
      </c>
      <c r="B85" s="32"/>
      <c r="C85" s="32">
        <f>SUM(C61:C69)-C84</f>
        <v>2369388</v>
      </c>
      <c r="D85" s="32">
        <f t="shared" ref="D85:BO85" si="14">SUM(D61:D69)-D84</f>
        <v>0</v>
      </c>
      <c r="E85" s="32">
        <f t="shared" si="14"/>
        <v>5538034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 t="shared" si="14"/>
        <v>0</v>
      </c>
      <c r="O85" s="32">
        <f t="shared" si="14"/>
        <v>3262429</v>
      </c>
      <c r="P85" s="32">
        <f t="shared" si="14"/>
        <v>9028490</v>
      </c>
      <c r="Q85" s="32">
        <f t="shared" si="14"/>
        <v>29908</v>
      </c>
      <c r="R85" s="32">
        <f t="shared" si="14"/>
        <v>2105081</v>
      </c>
      <c r="S85" s="32">
        <f t="shared" si="14"/>
        <v>5677871</v>
      </c>
      <c r="T85" s="32">
        <f t="shared" si="14"/>
        <v>0</v>
      </c>
      <c r="U85" s="32">
        <f t="shared" si="14"/>
        <v>3608965</v>
      </c>
      <c r="V85" s="32">
        <f t="shared" si="14"/>
        <v>35375</v>
      </c>
      <c r="W85" s="32">
        <f t="shared" si="14"/>
        <v>678959</v>
      </c>
      <c r="X85" s="32">
        <f t="shared" si="14"/>
        <v>335271</v>
      </c>
      <c r="Y85" s="32">
        <f t="shared" si="14"/>
        <v>3491968</v>
      </c>
      <c r="Z85" s="32">
        <f t="shared" si="14"/>
        <v>0</v>
      </c>
      <c r="AA85" s="32">
        <f t="shared" si="14"/>
        <v>940198</v>
      </c>
      <c r="AB85" s="32">
        <f t="shared" si="14"/>
        <v>5065553</v>
      </c>
      <c r="AC85" s="32">
        <f t="shared" si="14"/>
        <v>1294074</v>
      </c>
      <c r="AD85" s="32">
        <f t="shared" si="14"/>
        <v>0</v>
      </c>
      <c r="AE85" s="32">
        <f t="shared" si="14"/>
        <v>5042933</v>
      </c>
      <c r="AF85" s="32">
        <f t="shared" si="14"/>
        <v>0</v>
      </c>
      <c r="AG85" s="32">
        <f t="shared" si="14"/>
        <v>8017025</v>
      </c>
      <c r="AH85" s="32">
        <f t="shared" si="14"/>
        <v>123435</v>
      </c>
      <c r="AI85" s="32">
        <f t="shared" si="14"/>
        <v>0</v>
      </c>
      <c r="AJ85" s="32">
        <f t="shared" si="14"/>
        <v>102520</v>
      </c>
      <c r="AK85" s="32">
        <f t="shared" si="14"/>
        <v>0</v>
      </c>
      <c r="AL85" s="32">
        <f t="shared" si="14"/>
        <v>0</v>
      </c>
      <c r="AM85" s="32">
        <f t="shared" si="14"/>
        <v>0</v>
      </c>
      <c r="AN85" s="32">
        <f t="shared" si="14"/>
        <v>0</v>
      </c>
      <c r="AO85" s="32">
        <f t="shared" si="14"/>
        <v>0</v>
      </c>
      <c r="AP85" s="32">
        <f t="shared" si="14"/>
        <v>62514</v>
      </c>
      <c r="AQ85" s="32">
        <f t="shared" si="14"/>
        <v>0</v>
      </c>
      <c r="AR85" s="32">
        <f t="shared" si="14"/>
        <v>0</v>
      </c>
      <c r="AS85" s="32">
        <f t="shared" si="14"/>
        <v>0</v>
      </c>
      <c r="AT85" s="32">
        <f t="shared" si="14"/>
        <v>0</v>
      </c>
      <c r="AU85" s="32">
        <f t="shared" si="14"/>
        <v>0</v>
      </c>
      <c r="AV85" s="32">
        <f t="shared" si="14"/>
        <v>320458</v>
      </c>
      <c r="AW85" s="32">
        <f t="shared" si="14"/>
        <v>0</v>
      </c>
      <c r="AX85" s="32">
        <f t="shared" si="14"/>
        <v>0</v>
      </c>
      <c r="AY85" s="32">
        <f t="shared" si="14"/>
        <v>1185702</v>
      </c>
      <c r="AZ85" s="32">
        <f t="shared" si="14"/>
        <v>0</v>
      </c>
      <c r="BA85" s="32">
        <f t="shared" si="14"/>
        <v>305983</v>
      </c>
      <c r="BB85" s="32">
        <f t="shared" si="14"/>
        <v>684359</v>
      </c>
      <c r="BC85" s="32">
        <f t="shared" si="14"/>
        <v>0</v>
      </c>
      <c r="BD85" s="32">
        <f t="shared" si="14"/>
        <v>682939</v>
      </c>
      <c r="BE85" s="32">
        <f t="shared" si="14"/>
        <v>1895014</v>
      </c>
      <c r="BF85" s="32">
        <f t="shared" si="14"/>
        <v>990855</v>
      </c>
      <c r="BG85" s="32">
        <f t="shared" si="14"/>
        <v>0</v>
      </c>
      <c r="BH85" s="32">
        <f t="shared" si="14"/>
        <v>2624037</v>
      </c>
      <c r="BI85" s="32">
        <f t="shared" si="14"/>
        <v>966035</v>
      </c>
      <c r="BJ85" s="32">
        <f t="shared" si="14"/>
        <v>0</v>
      </c>
      <c r="BK85" s="32">
        <f t="shared" si="14"/>
        <v>1555989</v>
      </c>
      <c r="BL85" s="32">
        <f t="shared" si="14"/>
        <v>820853</v>
      </c>
      <c r="BM85" s="32">
        <f t="shared" si="14"/>
        <v>426997</v>
      </c>
      <c r="BN85" s="32">
        <f t="shared" si="14"/>
        <v>1988963</v>
      </c>
      <c r="BO85" s="32">
        <f t="shared" si="14"/>
        <v>422871</v>
      </c>
      <c r="BP85" s="32">
        <f t="shared" ref="BP85:CD85" si="15">SUM(BP61:BP69)-BP84</f>
        <v>986833</v>
      </c>
      <c r="BQ85" s="32">
        <f t="shared" si="15"/>
        <v>0</v>
      </c>
      <c r="BR85" s="32">
        <f t="shared" si="15"/>
        <v>1131156</v>
      </c>
      <c r="BS85" s="32">
        <f t="shared" si="15"/>
        <v>33011</v>
      </c>
      <c r="BT85" s="32">
        <f t="shared" si="15"/>
        <v>0</v>
      </c>
      <c r="BU85" s="32">
        <f t="shared" si="15"/>
        <v>0</v>
      </c>
      <c r="BV85" s="32">
        <f t="shared" si="15"/>
        <v>699465</v>
      </c>
      <c r="BW85" s="32">
        <f t="shared" si="15"/>
        <v>754531</v>
      </c>
      <c r="BX85" s="32">
        <f t="shared" si="15"/>
        <v>501441</v>
      </c>
      <c r="BY85" s="32">
        <f t="shared" si="15"/>
        <v>1299503</v>
      </c>
      <c r="BZ85" s="32">
        <f t="shared" si="15"/>
        <v>0</v>
      </c>
      <c r="CA85" s="32">
        <f t="shared" si="15"/>
        <v>0</v>
      </c>
      <c r="CB85" s="32">
        <f t="shared" si="15"/>
        <v>0</v>
      </c>
      <c r="CC85" s="32">
        <f t="shared" si="15"/>
        <v>937988</v>
      </c>
      <c r="CD85" s="32">
        <f t="shared" si="15"/>
        <v>-7430425</v>
      </c>
      <c r="CE85" s="32">
        <f t="shared" si="13"/>
        <v>70594549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660000</v>
      </c>
    </row>
    <row r="87" spans="1:84" x14ac:dyDescent="0.35">
      <c r="A87" s="26" t="s">
        <v>272</v>
      </c>
      <c r="B87" s="20"/>
      <c r="C87" s="24">
        <v>1998815</v>
      </c>
      <c r="D87" s="24"/>
      <c r="E87" s="24">
        <f>138144+501790+2621471-2</f>
        <v>3261403</v>
      </c>
      <c r="F87" s="24"/>
      <c r="G87" s="24"/>
      <c r="H87" s="24"/>
      <c r="I87" s="24"/>
      <c r="J87" s="24"/>
      <c r="K87" s="24"/>
      <c r="L87" s="24">
        <v>23803</v>
      </c>
      <c r="M87" s="24"/>
      <c r="N87" s="24"/>
      <c r="O87" s="24">
        <f>2718198+496044</f>
        <v>3214242</v>
      </c>
      <c r="P87" s="24">
        <f>3097134+30129+62140</f>
        <v>3189403</v>
      </c>
      <c r="Q87" s="24">
        <v>315208</v>
      </c>
      <c r="R87" s="24">
        <v>1711578</v>
      </c>
      <c r="S87" s="24">
        <f>3196567+1559487</f>
        <v>4756054</v>
      </c>
      <c r="T87" s="24"/>
      <c r="U87" s="24">
        <f>1755593+51309</f>
        <v>1806902</v>
      </c>
      <c r="V87" s="24">
        <v>44152</v>
      </c>
      <c r="W87" s="24">
        <v>67070</v>
      </c>
      <c r="X87" s="24">
        <v>252126</v>
      </c>
      <c r="Y87" s="24">
        <f>211002+415982</f>
        <v>626984</v>
      </c>
      <c r="Z87" s="24"/>
      <c r="AA87" s="24">
        <v>80238</v>
      </c>
      <c r="AB87" s="24">
        <v>3003981</v>
      </c>
      <c r="AC87" s="24">
        <v>1180134</v>
      </c>
      <c r="AD87" s="24"/>
      <c r="AE87" s="24">
        <v>381359</v>
      </c>
      <c r="AF87" s="24"/>
      <c r="AG87" s="24">
        <f>105840+150426</f>
        <v>256266</v>
      </c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6">SUM(C87:CD87)</f>
        <v>26169718</v>
      </c>
    </row>
    <row r="88" spans="1:84" x14ac:dyDescent="0.35">
      <c r="A88" s="26" t="s">
        <v>273</v>
      </c>
      <c r="B88" s="20"/>
      <c r="C88" s="24">
        <v>1019694</v>
      </c>
      <c r="D88" s="24"/>
      <c r="E88" s="24">
        <f>390935+478388+2552328+59842</f>
        <v>3481493</v>
      </c>
      <c r="F88" s="24"/>
      <c r="G88" s="24"/>
      <c r="H88" s="24"/>
      <c r="I88" s="24"/>
      <c r="J88" s="24"/>
      <c r="K88" s="24"/>
      <c r="L88" s="24"/>
      <c r="M88" s="24"/>
      <c r="N88" s="24"/>
      <c r="O88" s="24">
        <v>602770</v>
      </c>
      <c r="P88" s="24">
        <f>15415218+5279190+880627</f>
        <v>21575035</v>
      </c>
      <c r="Q88" s="24">
        <v>1535459</v>
      </c>
      <c r="R88" s="24">
        <v>6467895</v>
      </c>
      <c r="S88" s="24">
        <f>15310017+617498-1003</f>
        <v>15926512</v>
      </c>
      <c r="T88" s="24"/>
      <c r="U88" s="24">
        <f>11919059+113636</f>
        <v>12032695</v>
      </c>
      <c r="V88" s="24">
        <v>686062</v>
      </c>
      <c r="W88" s="24">
        <v>8047393</v>
      </c>
      <c r="X88" s="24">
        <v>12484945</v>
      </c>
      <c r="Y88" s="24">
        <f>5090973+6267253+1382223</f>
        <v>12740449</v>
      </c>
      <c r="Z88" s="24"/>
      <c r="AA88" s="24">
        <v>3845697</v>
      </c>
      <c r="AB88" s="24">
        <v>16017220</v>
      </c>
      <c r="AC88" s="24">
        <f>1071579+1332541+31352</f>
        <v>2435472</v>
      </c>
      <c r="AD88" s="24"/>
      <c r="AE88" s="24">
        <f>4584588+507146+327100+463740</f>
        <v>5882574</v>
      </c>
      <c r="AF88" s="24"/>
      <c r="AG88" s="24">
        <f>12216095+38339+6395536</f>
        <v>18649970</v>
      </c>
      <c r="AH88" s="24"/>
      <c r="AI88" s="24"/>
      <c r="AJ88" s="24">
        <v>166175</v>
      </c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6"/>
        <v>143597510</v>
      </c>
    </row>
    <row r="89" spans="1:84" x14ac:dyDescent="0.35">
      <c r="A89" s="26" t="s">
        <v>274</v>
      </c>
      <c r="B89" s="20"/>
      <c r="C89" s="32">
        <f>C87+C88</f>
        <v>3018509</v>
      </c>
      <c r="D89" s="32">
        <f t="shared" ref="D89:AV89" si="17">D87+D88</f>
        <v>0</v>
      </c>
      <c r="E89" s="32">
        <f t="shared" si="17"/>
        <v>6742896</v>
      </c>
      <c r="F89" s="32">
        <f t="shared" si="17"/>
        <v>0</v>
      </c>
      <c r="G89" s="32">
        <f t="shared" si="17"/>
        <v>0</v>
      </c>
      <c r="H89" s="32">
        <f t="shared" si="17"/>
        <v>0</v>
      </c>
      <c r="I89" s="32">
        <f t="shared" si="17"/>
        <v>0</v>
      </c>
      <c r="J89" s="32">
        <f t="shared" si="17"/>
        <v>0</v>
      </c>
      <c r="K89" s="32">
        <f t="shared" si="17"/>
        <v>0</v>
      </c>
      <c r="L89" s="32">
        <f t="shared" si="17"/>
        <v>23803</v>
      </c>
      <c r="M89" s="32">
        <f t="shared" si="17"/>
        <v>0</v>
      </c>
      <c r="N89" s="32">
        <f t="shared" si="17"/>
        <v>0</v>
      </c>
      <c r="O89" s="32">
        <f t="shared" si="17"/>
        <v>3817012</v>
      </c>
      <c r="P89" s="32">
        <f t="shared" si="17"/>
        <v>24764438</v>
      </c>
      <c r="Q89" s="32">
        <f t="shared" si="17"/>
        <v>1850667</v>
      </c>
      <c r="R89" s="32">
        <f t="shared" si="17"/>
        <v>8179473</v>
      </c>
      <c r="S89" s="32">
        <f t="shared" si="17"/>
        <v>20682566</v>
      </c>
      <c r="T89" s="32">
        <f t="shared" si="17"/>
        <v>0</v>
      </c>
      <c r="U89" s="32">
        <f t="shared" si="17"/>
        <v>13839597</v>
      </c>
      <c r="V89" s="32">
        <f t="shared" si="17"/>
        <v>730214</v>
      </c>
      <c r="W89" s="32">
        <f t="shared" si="17"/>
        <v>8114463</v>
      </c>
      <c r="X89" s="32">
        <f t="shared" si="17"/>
        <v>12737071</v>
      </c>
      <c r="Y89" s="32">
        <f t="shared" si="17"/>
        <v>13367433</v>
      </c>
      <c r="Z89" s="32">
        <f t="shared" si="17"/>
        <v>0</v>
      </c>
      <c r="AA89" s="32">
        <f t="shared" si="17"/>
        <v>3925935</v>
      </c>
      <c r="AB89" s="32">
        <f t="shared" si="17"/>
        <v>19021201</v>
      </c>
      <c r="AC89" s="32">
        <f t="shared" si="17"/>
        <v>3615606</v>
      </c>
      <c r="AD89" s="32">
        <f t="shared" si="17"/>
        <v>0</v>
      </c>
      <c r="AE89" s="32">
        <f t="shared" si="17"/>
        <v>6263933</v>
      </c>
      <c r="AF89" s="32">
        <f t="shared" si="17"/>
        <v>0</v>
      </c>
      <c r="AG89" s="32">
        <f t="shared" si="17"/>
        <v>18906236</v>
      </c>
      <c r="AH89" s="32">
        <f t="shared" si="17"/>
        <v>0</v>
      </c>
      <c r="AI89" s="32">
        <f t="shared" si="17"/>
        <v>0</v>
      </c>
      <c r="AJ89" s="32">
        <f t="shared" si="17"/>
        <v>166175</v>
      </c>
      <c r="AK89" s="32">
        <f t="shared" si="17"/>
        <v>0</v>
      </c>
      <c r="AL89" s="32">
        <f t="shared" si="17"/>
        <v>0</v>
      </c>
      <c r="AM89" s="32">
        <f t="shared" si="17"/>
        <v>0</v>
      </c>
      <c r="AN89" s="32">
        <f t="shared" si="17"/>
        <v>0</v>
      </c>
      <c r="AO89" s="32">
        <f t="shared" si="17"/>
        <v>0</v>
      </c>
      <c r="AP89" s="32">
        <f t="shared" si="17"/>
        <v>0</v>
      </c>
      <c r="AQ89" s="32">
        <f t="shared" si="17"/>
        <v>0</v>
      </c>
      <c r="AR89" s="32">
        <f t="shared" si="17"/>
        <v>0</v>
      </c>
      <c r="AS89" s="32">
        <f t="shared" si="17"/>
        <v>0</v>
      </c>
      <c r="AT89" s="32">
        <f t="shared" si="17"/>
        <v>0</v>
      </c>
      <c r="AU89" s="32">
        <f t="shared" si="17"/>
        <v>0</v>
      </c>
      <c r="AV89" s="32">
        <f t="shared" si="17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6"/>
        <v>169767228</v>
      </c>
    </row>
    <row r="90" spans="1:84" x14ac:dyDescent="0.35">
      <c r="A90" s="39" t="s">
        <v>275</v>
      </c>
      <c r="B90" s="32"/>
      <c r="C90" s="24">
        <v>4094</v>
      </c>
      <c r="D90" s="24"/>
      <c r="E90" s="24">
        <v>6862</v>
      </c>
      <c r="F90" s="24"/>
      <c r="G90" s="24"/>
      <c r="H90" s="24"/>
      <c r="I90" s="24"/>
      <c r="J90" s="24"/>
      <c r="K90" s="24"/>
      <c r="L90" s="24"/>
      <c r="M90" s="24"/>
      <c r="N90" s="24"/>
      <c r="O90" s="24">
        <v>8195</v>
      </c>
      <c r="P90" s="24">
        <f>11758+4068</f>
        <v>15826</v>
      </c>
      <c r="Q90" s="24"/>
      <c r="R90" s="24"/>
      <c r="S90" s="24">
        <v>1364</v>
      </c>
      <c r="T90" s="24"/>
      <c r="U90" s="24">
        <v>2053</v>
      </c>
      <c r="V90" s="24">
        <v>390</v>
      </c>
      <c r="W90" s="24">
        <v>634</v>
      </c>
      <c r="X90" s="24">
        <v>522</v>
      </c>
      <c r="Y90" s="24">
        <f>4534+400</f>
        <v>4934</v>
      </c>
      <c r="Z90" s="24"/>
      <c r="AA90" s="24">
        <f>305+39</f>
        <v>344</v>
      </c>
      <c r="AB90" s="24">
        <v>980</v>
      </c>
      <c r="AC90" s="24">
        <f>1301</f>
        <v>1301</v>
      </c>
      <c r="AD90" s="24"/>
      <c r="AE90" s="24">
        <f>13708+300</f>
        <v>14008</v>
      </c>
      <c r="AF90" s="24"/>
      <c r="AG90" s="24">
        <v>5981</v>
      </c>
      <c r="AH90" s="24"/>
      <c r="AI90" s="24"/>
      <c r="AJ90" s="24"/>
      <c r="AK90" s="24"/>
      <c r="AL90" s="24"/>
      <c r="AM90" s="24"/>
      <c r="AN90" s="24"/>
      <c r="AO90" s="24"/>
      <c r="AP90" s="24">
        <f>5260-2630</f>
        <v>2630</v>
      </c>
      <c r="AQ90" s="24"/>
      <c r="AR90" s="24"/>
      <c r="AS90" s="24"/>
      <c r="AT90" s="24"/>
      <c r="AU90" s="24"/>
      <c r="AV90" s="24">
        <f>326+150</f>
        <v>476</v>
      </c>
      <c r="AW90" s="24"/>
      <c r="AX90" s="24"/>
      <c r="AY90" s="24">
        <f>400+4156</f>
        <v>4556</v>
      </c>
      <c r="AZ90" s="24"/>
      <c r="BA90" s="24">
        <v>1290</v>
      </c>
      <c r="BB90" s="24">
        <v>422</v>
      </c>
      <c r="BC90" s="24"/>
      <c r="BD90" s="24">
        <f>194+2659</f>
        <v>2853</v>
      </c>
      <c r="BE90" s="24">
        <f>5318+294+973+4313</f>
        <v>10898</v>
      </c>
      <c r="BF90" s="24">
        <f>221+4225</f>
        <v>4446</v>
      </c>
      <c r="BG90" s="24"/>
      <c r="BH90" s="24">
        <f>94+79+239+639</f>
        <v>1051</v>
      </c>
      <c r="BI90" s="24"/>
      <c r="BJ90" s="24"/>
      <c r="BK90" s="24"/>
      <c r="BL90" s="24">
        <f>167+865</f>
        <v>1032</v>
      </c>
      <c r="BM90" s="24"/>
      <c r="BN90" s="24">
        <f>546+1590</f>
        <v>2136</v>
      </c>
      <c r="BO90" s="24"/>
      <c r="BP90" s="24"/>
      <c r="BQ90" s="24"/>
      <c r="BR90" s="24"/>
      <c r="BS90" s="24"/>
      <c r="BT90" s="24"/>
      <c r="BU90" s="24"/>
      <c r="BV90" s="24">
        <v>654</v>
      </c>
      <c r="BW90" s="24">
        <f>113+122</f>
        <v>235</v>
      </c>
      <c r="BX90" s="24">
        <v>150</v>
      </c>
      <c r="BY90" s="24">
        <v>135</v>
      </c>
      <c r="BZ90" s="24"/>
      <c r="CA90" s="24"/>
      <c r="CB90" s="24"/>
      <c r="CC90" s="24">
        <f>127457-100452</f>
        <v>27005</v>
      </c>
      <c r="CD90" s="263" t="s">
        <v>233</v>
      </c>
      <c r="CE90" s="32">
        <f t="shared" si="16"/>
        <v>127457</v>
      </c>
      <c r="CF90" s="32">
        <f>BE59-CE90</f>
        <v>0</v>
      </c>
    </row>
    <row r="91" spans="1:84" x14ac:dyDescent="0.35">
      <c r="A91" s="26" t="s">
        <v>276</v>
      </c>
      <c r="B91" s="20"/>
      <c r="C91" s="24">
        <v>3922</v>
      </c>
      <c r="D91" s="24"/>
      <c r="E91" s="24">
        <v>6678</v>
      </c>
      <c r="F91" s="24"/>
      <c r="G91" s="24"/>
      <c r="H91" s="24"/>
      <c r="I91" s="24"/>
      <c r="J91" s="24"/>
      <c r="K91" s="24"/>
      <c r="L91" s="24"/>
      <c r="M91" s="24"/>
      <c r="N91" s="24"/>
      <c r="O91" s="24">
        <v>3367</v>
      </c>
      <c r="P91" s="24">
        <v>2274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>
        <v>1774</v>
      </c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9" t="s">
        <v>233</v>
      </c>
      <c r="CE91" s="32">
        <f t="shared" si="16"/>
        <v>18015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3565</v>
      </c>
      <c r="D92" s="24"/>
      <c r="E92" s="24">
        <f>3565</f>
        <v>3565</v>
      </c>
      <c r="F92" s="24"/>
      <c r="G92" s="24"/>
      <c r="H92" s="24"/>
      <c r="I92" s="24"/>
      <c r="J92" s="24"/>
      <c r="K92" s="24"/>
      <c r="L92" s="24"/>
      <c r="M92" s="24"/>
      <c r="N92" s="24"/>
      <c r="O92" s="24">
        <v>3565</v>
      </c>
      <c r="P92" s="24">
        <v>2971</v>
      </c>
      <c r="Q92" s="24"/>
      <c r="R92" s="24"/>
      <c r="S92" s="24"/>
      <c r="T92" s="24"/>
      <c r="U92" s="24">
        <v>1188</v>
      </c>
      <c r="V92" s="24"/>
      <c r="W92" s="24">
        <v>149</v>
      </c>
      <c r="X92" s="24">
        <v>149</v>
      </c>
      <c r="Y92" s="24">
        <f>2674+297</f>
        <v>2971</v>
      </c>
      <c r="Z92" s="24"/>
      <c r="AA92" s="24">
        <v>148</v>
      </c>
      <c r="AB92" s="24">
        <v>297</v>
      </c>
      <c r="AC92" s="24">
        <f>297+297+148</f>
        <v>742</v>
      </c>
      <c r="AD92" s="24"/>
      <c r="AE92" s="24">
        <f>1782.45+148.54+148.54</f>
        <v>2079.5300000000002</v>
      </c>
      <c r="AF92" s="24"/>
      <c r="AG92" s="24">
        <v>2377</v>
      </c>
      <c r="AH92" s="24"/>
      <c r="AI92" s="24"/>
      <c r="AJ92" s="24">
        <v>149</v>
      </c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>
        <v>149</v>
      </c>
      <c r="AW92" s="24"/>
      <c r="AX92" s="319" t="s">
        <v>233</v>
      </c>
      <c r="AY92" s="319" t="s">
        <v>233</v>
      </c>
      <c r="AZ92" s="29" t="s">
        <v>233</v>
      </c>
      <c r="BA92" s="24"/>
      <c r="BB92" s="24">
        <v>149</v>
      </c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148</v>
      </c>
      <c r="BI92" s="24"/>
      <c r="BJ92" s="29" t="s">
        <v>233</v>
      </c>
      <c r="BK92" s="24">
        <v>148</v>
      </c>
      <c r="BL92" s="24">
        <v>148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>
        <v>148</v>
      </c>
      <c r="BW92" s="24"/>
      <c r="BX92" s="24">
        <v>148</v>
      </c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6"/>
        <v>24953.53</v>
      </c>
      <c r="CF92" s="20"/>
    </row>
    <row r="93" spans="1:84" x14ac:dyDescent="0.35">
      <c r="A93" s="26" t="s">
        <v>278</v>
      </c>
      <c r="B93" s="20"/>
      <c r="C93" s="24">
        <v>19617</v>
      </c>
      <c r="D93" s="24"/>
      <c r="E93" s="24">
        <f>58852</f>
        <v>58852</v>
      </c>
      <c r="F93" s="24"/>
      <c r="G93" s="24"/>
      <c r="H93" s="24"/>
      <c r="I93" s="24"/>
      <c r="J93" s="24">
        <v>22887</v>
      </c>
      <c r="K93" s="24"/>
      <c r="L93" s="24"/>
      <c r="M93" s="24"/>
      <c r="N93" s="24"/>
      <c r="O93" s="24">
        <v>45774</v>
      </c>
      <c r="P93" s="24">
        <v>58852</v>
      </c>
      <c r="Q93" s="24"/>
      <c r="R93" s="24"/>
      <c r="S93" s="24"/>
      <c r="T93" s="24"/>
      <c r="U93" s="24">
        <v>9809</v>
      </c>
      <c r="V93" s="24"/>
      <c r="W93" s="24"/>
      <c r="X93" s="24"/>
      <c r="Y93" s="24">
        <v>13078</v>
      </c>
      <c r="Z93" s="24"/>
      <c r="AA93" s="24"/>
      <c r="AB93" s="24"/>
      <c r="AC93" s="24"/>
      <c r="AD93" s="24"/>
      <c r="AE93" s="24">
        <v>38393</v>
      </c>
      <c r="AF93" s="24"/>
      <c r="AG93" s="24">
        <v>58852</v>
      </c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19" t="s">
        <v>233</v>
      </c>
      <c r="AY93" s="319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6"/>
        <v>326114</v>
      </c>
      <c r="CF93" s="32">
        <f>BA59</f>
        <v>0</v>
      </c>
    </row>
    <row r="94" spans="1:84" x14ac:dyDescent="0.35">
      <c r="A94" s="26" t="s">
        <v>279</v>
      </c>
      <c r="B94" s="20"/>
      <c r="C94" s="313">
        <v>9.67</v>
      </c>
      <c r="D94" s="313"/>
      <c r="E94" s="313">
        <v>14.09</v>
      </c>
      <c r="F94" s="313"/>
      <c r="G94" s="313"/>
      <c r="H94" s="313"/>
      <c r="I94" s="313"/>
      <c r="J94" s="313"/>
      <c r="K94" s="313"/>
      <c r="L94" s="313"/>
      <c r="M94" s="313"/>
      <c r="N94" s="313"/>
      <c r="O94" s="313">
        <f>14.24</f>
        <v>14.24</v>
      </c>
      <c r="P94" s="314">
        <v>30.57</v>
      </c>
      <c r="Q94" s="314"/>
      <c r="R94" s="314"/>
      <c r="S94" s="315"/>
      <c r="T94" s="315"/>
      <c r="U94" s="316"/>
      <c r="V94" s="314"/>
      <c r="W94" s="314"/>
      <c r="X94" s="314"/>
      <c r="Y94" s="314"/>
      <c r="Z94" s="314"/>
      <c r="AA94" s="314"/>
      <c r="AB94" s="315"/>
      <c r="AC94" s="314"/>
      <c r="AD94" s="314"/>
      <c r="AE94" s="314"/>
      <c r="AF94" s="314"/>
      <c r="AG94" s="314">
        <f>15.2</f>
        <v>15.2</v>
      </c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5"/>
      <c r="AW94" s="319" t="s">
        <v>233</v>
      </c>
      <c r="AX94" s="319" t="s">
        <v>233</v>
      </c>
      <c r="AY94" s="319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0"/>
      <c r="BV94" s="320"/>
      <c r="BW94" s="320"/>
      <c r="BX94" s="320"/>
      <c r="BY94" s="320"/>
      <c r="BZ94" s="320"/>
      <c r="CA94" s="320"/>
      <c r="CB94" s="320"/>
      <c r="CC94" s="29" t="s">
        <v>233</v>
      </c>
      <c r="CD94" s="29" t="s">
        <v>233</v>
      </c>
      <c r="CE94" s="266">
        <f t="shared" si="16"/>
        <v>83.77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1" t="s">
        <v>1374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2" t="s">
        <v>1363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323" t="s">
        <v>1364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23" t="s">
        <v>1365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323" t="s">
        <v>1368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323" t="s">
        <v>1377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3" t="s">
        <v>1366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323" t="s">
        <v>1378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3" t="s">
        <v>1376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3" t="s">
        <v>1375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1371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41" t="s">
        <v>1372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41" t="s">
        <v>1373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1379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0" t="s">
        <v>1380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1072</v>
      </c>
      <c r="D127" s="50">
        <v>3196</v>
      </c>
      <c r="E127" s="20"/>
    </row>
    <row r="128" spans="1:5" x14ac:dyDescent="0.35">
      <c r="A128" s="20" t="s">
        <v>311</v>
      </c>
      <c r="B128" s="46" t="s">
        <v>284</v>
      </c>
      <c r="C128" s="47">
        <v>3</v>
      </c>
      <c r="D128" s="50">
        <v>17</v>
      </c>
      <c r="E128" s="20"/>
    </row>
    <row r="129" spans="1:5" x14ac:dyDescent="0.35">
      <c r="A129" s="20" t="s">
        <v>312</v>
      </c>
      <c r="B129" s="46" t="s">
        <v>284</v>
      </c>
      <c r="C129" s="47">
        <v>0</v>
      </c>
      <c r="D129" s="50">
        <v>0</v>
      </c>
      <c r="E129" s="20"/>
    </row>
    <row r="130" spans="1:5" x14ac:dyDescent="0.35">
      <c r="A130" s="20" t="s">
        <v>313</v>
      </c>
      <c r="B130" s="46" t="s">
        <v>284</v>
      </c>
      <c r="C130" s="47">
        <v>359</v>
      </c>
      <c r="D130" s="50">
        <v>653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2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13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8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>
        <v>2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35">
      <c r="A144" s="20" t="s">
        <v>325</v>
      </c>
      <c r="B144" s="46" t="s">
        <v>284</v>
      </c>
      <c r="C144" s="47">
        <v>42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8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>
        <v>23803</v>
      </c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311">
        <v>425</v>
      </c>
      <c r="C154" s="311">
        <v>259</v>
      </c>
      <c r="D154" s="311">
        <v>388</v>
      </c>
      <c r="E154" s="32">
        <f>SUM(B154:D154)</f>
        <v>1072</v>
      </c>
    </row>
    <row r="155" spans="1:6" x14ac:dyDescent="0.35">
      <c r="A155" s="20" t="s">
        <v>227</v>
      </c>
      <c r="B155" s="311">
        <v>1530</v>
      </c>
      <c r="C155" s="311">
        <v>664</v>
      </c>
      <c r="D155" s="311">
        <v>1672</v>
      </c>
      <c r="E155" s="32">
        <f>SUM(B155:D155)</f>
        <v>3866</v>
      </c>
    </row>
    <row r="156" spans="1:6" x14ac:dyDescent="0.35">
      <c r="A156" s="20" t="s">
        <v>332</v>
      </c>
      <c r="B156" s="311">
        <v>25810.5</v>
      </c>
      <c r="C156" s="311">
        <v>11107</v>
      </c>
      <c r="D156" s="311">
        <v>49117</v>
      </c>
      <c r="E156" s="32">
        <f>SUM(B156:D156)</f>
        <v>86034.5</v>
      </c>
    </row>
    <row r="157" spans="1:6" x14ac:dyDescent="0.35">
      <c r="A157" s="20" t="s">
        <v>272</v>
      </c>
      <c r="B157" s="50">
        <v>12682464</v>
      </c>
      <c r="C157" s="50">
        <v>3533733</v>
      </c>
      <c r="D157" s="50">
        <v>9953521</v>
      </c>
      <c r="E157" s="32">
        <f>SUM(B157:D157)</f>
        <v>26169718</v>
      </c>
      <c r="F157" s="18"/>
    </row>
    <row r="158" spans="1:6" x14ac:dyDescent="0.35">
      <c r="A158" s="20" t="s">
        <v>273</v>
      </c>
      <c r="B158" s="50">
        <v>49173640</v>
      </c>
      <c r="C158" s="50">
        <v>19300249</v>
      </c>
      <c r="D158" s="50">
        <v>75123622</v>
      </c>
      <c r="E158" s="32">
        <f>SUM(B158:D158)</f>
        <v>143597511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311">
        <v>3</v>
      </c>
      <c r="C160" s="311"/>
      <c r="D160" s="311"/>
      <c r="E160" s="32">
        <f>SUM(B160:D160)</f>
        <v>3</v>
      </c>
    </row>
    <row r="161" spans="1:7" x14ac:dyDescent="0.35">
      <c r="A161" s="20" t="s">
        <v>227</v>
      </c>
      <c r="B161" s="311">
        <v>17</v>
      </c>
      <c r="C161" s="311"/>
      <c r="D161" s="311"/>
      <c r="E161" s="32">
        <f>SUM(B161:D161)</f>
        <v>17</v>
      </c>
    </row>
    <row r="162" spans="1:7" x14ac:dyDescent="0.35">
      <c r="A162" s="20" t="s">
        <v>332</v>
      </c>
      <c r="B162" s="311"/>
      <c r="C162" s="311"/>
      <c r="D162" s="311"/>
      <c r="E162" s="32">
        <f>SUM(B162:D162)</f>
        <v>0</v>
      </c>
    </row>
    <row r="163" spans="1:7" x14ac:dyDescent="0.35">
      <c r="A163" s="20" t="s">
        <v>272</v>
      </c>
      <c r="B163" s="311">
        <v>23803</v>
      </c>
      <c r="C163" s="311"/>
      <c r="D163" s="311"/>
      <c r="E163" s="32">
        <f>SUM(B163:D163)</f>
        <v>23803</v>
      </c>
    </row>
    <row r="164" spans="1:7" x14ac:dyDescent="0.35">
      <c r="A164" s="20" t="s">
        <v>273</v>
      </c>
      <c r="B164" s="311"/>
      <c r="C164" s="311"/>
      <c r="D164" s="311"/>
      <c r="E164" s="32">
        <f>SUM(B164:D164)</f>
        <v>0</v>
      </c>
    </row>
    <row r="165" spans="1:7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7" x14ac:dyDescent="0.35">
      <c r="A166" s="20" t="s">
        <v>309</v>
      </c>
      <c r="B166" s="50">
        <v>0</v>
      </c>
      <c r="C166" s="50">
        <v>0</v>
      </c>
      <c r="D166" s="50">
        <v>0</v>
      </c>
      <c r="E166" s="32">
        <f>SUM(B166:D166)</f>
        <v>0</v>
      </c>
      <c r="G166" s="348"/>
    </row>
    <row r="167" spans="1:7" x14ac:dyDescent="0.35">
      <c r="A167" s="20" t="s">
        <v>227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 spans="1:7" x14ac:dyDescent="0.35">
      <c r="A168" s="20" t="s">
        <v>332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 spans="1:7" x14ac:dyDescent="0.35">
      <c r="A169" s="20" t="s">
        <v>272</v>
      </c>
      <c r="B169" s="50">
        <v>0</v>
      </c>
      <c r="C169" s="50">
        <v>0</v>
      </c>
      <c r="D169" s="50">
        <v>0</v>
      </c>
      <c r="E169" s="32">
        <f>SUM(B169:D169)</f>
        <v>0</v>
      </c>
      <c r="G169" s="349"/>
    </row>
    <row r="170" spans="1:7" x14ac:dyDescent="0.35">
      <c r="A170" s="20" t="s">
        <v>273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 spans="1:7" x14ac:dyDescent="0.35">
      <c r="A171" s="25"/>
      <c r="B171" s="25"/>
      <c r="C171" s="54"/>
      <c r="D171" s="55"/>
      <c r="E171" s="20"/>
    </row>
    <row r="172" spans="1:7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7" x14ac:dyDescent="0.35">
      <c r="A173" s="25" t="s">
        <v>338</v>
      </c>
      <c r="B173" s="50">
        <v>7526138</v>
      </c>
      <c r="C173" s="50">
        <f>1553974+3637860+1458223</f>
        <v>6650057</v>
      </c>
      <c r="D173" s="20"/>
      <c r="E173" s="20"/>
    </row>
    <row r="174" spans="1:7" x14ac:dyDescent="0.35">
      <c r="A174" s="25"/>
      <c r="B174" s="55"/>
      <c r="C174" s="54"/>
      <c r="D174" s="20"/>
      <c r="E174" s="20"/>
    </row>
    <row r="175" spans="1:7" x14ac:dyDescent="0.35">
      <c r="A175" s="25"/>
      <c r="B175" s="25"/>
      <c r="C175" s="54"/>
      <c r="D175" s="55"/>
      <c r="E175" s="20"/>
    </row>
    <row r="176" spans="1:7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2490634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282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175088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4755038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23078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983338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159048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922977.74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9509483.7400000002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352500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486900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839400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199925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214780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414705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14647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f>821121+61256</f>
        <v>882377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897024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504504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0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504504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311">
        <v>1813305</v>
      </c>
      <c r="C211" s="236"/>
      <c r="D211" s="311"/>
      <c r="E211" s="32">
        <f t="shared" ref="E211:E219" si="18">SUM(B211:C211)-D211</f>
        <v>1813305</v>
      </c>
    </row>
    <row r="212" spans="1:5" x14ac:dyDescent="0.35">
      <c r="A212" s="20" t="s">
        <v>367</v>
      </c>
      <c r="B212" s="311">
        <v>3772788</v>
      </c>
      <c r="C212" s="236"/>
      <c r="D212" s="311">
        <v>1102572</v>
      </c>
      <c r="E212" s="32">
        <f t="shared" si="18"/>
        <v>2670216</v>
      </c>
    </row>
    <row r="213" spans="1:5" x14ac:dyDescent="0.35">
      <c r="A213" s="20" t="s">
        <v>368</v>
      </c>
      <c r="B213" s="311">
        <v>18420292.370000001</v>
      </c>
      <c r="C213" s="236">
        <v>1073704</v>
      </c>
      <c r="D213" s="311">
        <v>371993</v>
      </c>
      <c r="E213" s="32">
        <f t="shared" si="18"/>
        <v>19122003.370000001</v>
      </c>
    </row>
    <row r="214" spans="1:5" x14ac:dyDescent="0.35">
      <c r="A214" s="20" t="s">
        <v>369</v>
      </c>
      <c r="B214" s="311">
        <v>15776334.35</v>
      </c>
      <c r="C214" s="236">
        <v>677600</v>
      </c>
      <c r="D214" s="311">
        <v>6440468</v>
      </c>
      <c r="E214" s="32">
        <f t="shared" si="18"/>
        <v>10013466.35</v>
      </c>
    </row>
    <row r="215" spans="1:5" x14ac:dyDescent="0.35">
      <c r="A215" s="20" t="s">
        <v>370</v>
      </c>
      <c r="B215" s="311">
        <v>1053251.2</v>
      </c>
      <c r="C215" s="236">
        <v>336790</v>
      </c>
      <c r="D215" s="311">
        <v>865891</v>
      </c>
      <c r="E215" s="32">
        <f t="shared" si="18"/>
        <v>524150.19999999995</v>
      </c>
    </row>
    <row r="216" spans="1:5" x14ac:dyDescent="0.35">
      <c r="A216" s="20" t="s">
        <v>371</v>
      </c>
      <c r="B216" s="311">
        <v>16548113.579999998</v>
      </c>
      <c r="C216" s="236">
        <v>4002363</v>
      </c>
      <c r="D216" s="311">
        <v>2413467</v>
      </c>
      <c r="E216" s="32">
        <f t="shared" si="18"/>
        <v>18137009.579999998</v>
      </c>
    </row>
    <row r="217" spans="1:5" x14ac:dyDescent="0.35">
      <c r="A217" s="20" t="s">
        <v>372</v>
      </c>
      <c r="B217" s="311">
        <v>0</v>
      </c>
      <c r="C217" s="236"/>
      <c r="D217" s="311"/>
      <c r="E217" s="32">
        <f t="shared" si="18"/>
        <v>0</v>
      </c>
    </row>
    <row r="218" spans="1:5" x14ac:dyDescent="0.35">
      <c r="A218" s="20" t="s">
        <v>373</v>
      </c>
      <c r="B218" s="311">
        <v>104566</v>
      </c>
      <c r="C218" s="236">
        <v>6314</v>
      </c>
      <c r="D218" s="311"/>
      <c r="E218" s="32">
        <f t="shared" si="18"/>
        <v>110880</v>
      </c>
    </row>
    <row r="219" spans="1:5" x14ac:dyDescent="0.35">
      <c r="A219" s="20" t="s">
        <v>374</v>
      </c>
      <c r="B219" s="50">
        <v>1334596</v>
      </c>
      <c r="C219" s="47">
        <v>8809261</v>
      </c>
      <c r="D219" s="50">
        <v>4433841</v>
      </c>
      <c r="E219" s="32">
        <f t="shared" si="18"/>
        <v>5710016</v>
      </c>
    </row>
    <row r="220" spans="1:5" x14ac:dyDescent="0.35">
      <c r="A220" s="20" t="s">
        <v>215</v>
      </c>
      <c r="B220" s="32">
        <f>SUM(B211:B219)</f>
        <v>58823246.5</v>
      </c>
      <c r="C220" s="265">
        <f>SUM(C211:C219)</f>
        <v>14906032</v>
      </c>
      <c r="D220" s="32">
        <f>SUM(D211:D219)</f>
        <v>15628232</v>
      </c>
      <c r="E220" s="32">
        <f>SUM(E211:E219)</f>
        <v>58101046.5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1988802.23</v>
      </c>
      <c r="C225" s="47">
        <v>92342</v>
      </c>
      <c r="D225" s="50">
        <v>1102571</v>
      </c>
      <c r="E225" s="32">
        <f t="shared" ref="E225:E232" si="19">SUM(B225:C225)-D225</f>
        <v>978573.23</v>
      </c>
    </row>
    <row r="226" spans="1:5" x14ac:dyDescent="0.35">
      <c r="A226" s="20" t="s">
        <v>368</v>
      </c>
      <c r="B226" s="50">
        <v>5591314.040000001</v>
      </c>
      <c r="C226" s="47">
        <v>840911</v>
      </c>
      <c r="D226" s="50">
        <v>442553</v>
      </c>
      <c r="E226" s="32">
        <f t="shared" si="19"/>
        <v>5989672.040000001</v>
      </c>
    </row>
    <row r="227" spans="1:5" x14ac:dyDescent="0.35">
      <c r="A227" s="20" t="s">
        <v>369</v>
      </c>
      <c r="B227" s="50">
        <v>12800840.51</v>
      </c>
      <c r="C227" s="47">
        <v>513706</v>
      </c>
      <c r="D227" s="50">
        <v>6440468</v>
      </c>
      <c r="E227" s="32">
        <f t="shared" si="19"/>
        <v>6874078.5099999998</v>
      </c>
    </row>
    <row r="228" spans="1:5" x14ac:dyDescent="0.35">
      <c r="A228" s="20" t="s">
        <v>370</v>
      </c>
      <c r="B228" s="50">
        <v>936007.74</v>
      </c>
      <c r="C228" s="47">
        <v>25642</v>
      </c>
      <c r="D228" s="50">
        <v>865891</v>
      </c>
      <c r="E228" s="32">
        <f t="shared" si="19"/>
        <v>95758.739999999991</v>
      </c>
    </row>
    <row r="229" spans="1:5" x14ac:dyDescent="0.35">
      <c r="A229" s="20" t="s">
        <v>371</v>
      </c>
      <c r="B229" s="50">
        <v>11877107.390000001</v>
      </c>
      <c r="C229" s="47">
        <v>1608678</v>
      </c>
      <c r="D229" s="50">
        <v>2303073</v>
      </c>
      <c r="E229" s="32">
        <f t="shared" si="19"/>
        <v>11182712.390000001</v>
      </c>
    </row>
    <row r="230" spans="1:5" x14ac:dyDescent="0.35">
      <c r="A230" s="20" t="s">
        <v>372</v>
      </c>
      <c r="B230" s="50">
        <v>0</v>
      </c>
      <c r="C230" s="47"/>
      <c r="D230" s="50"/>
      <c r="E230" s="32">
        <f t="shared" si="19"/>
        <v>0</v>
      </c>
    </row>
    <row r="231" spans="1:5" x14ac:dyDescent="0.35">
      <c r="A231" s="20" t="s">
        <v>373</v>
      </c>
      <c r="B231" s="50">
        <v>8341</v>
      </c>
      <c r="C231" s="47">
        <v>21860</v>
      </c>
      <c r="D231" s="50"/>
      <c r="E231" s="32">
        <f t="shared" si="19"/>
        <v>30201</v>
      </c>
    </row>
    <row r="232" spans="1:5" x14ac:dyDescent="0.35">
      <c r="A232" s="20" t="s">
        <v>374</v>
      </c>
      <c r="B232" s="50">
        <v>0</v>
      </c>
      <c r="C232" s="47"/>
      <c r="D232" s="50"/>
      <c r="E232" s="32">
        <f t="shared" si="19"/>
        <v>0</v>
      </c>
    </row>
    <row r="233" spans="1:5" x14ac:dyDescent="0.35">
      <c r="A233" s="20" t="s">
        <v>215</v>
      </c>
      <c r="B233" s="32">
        <f>SUM(B224:B232)</f>
        <v>33202412.91</v>
      </c>
      <c r="C233" s="265">
        <f>SUM(C224:C232)</f>
        <v>3103139</v>
      </c>
      <c r="D233" s="32">
        <f>SUM(D224:D232)</f>
        <v>11154556</v>
      </c>
      <c r="E233" s="32">
        <f>SUM(E224:E232)</f>
        <v>25150995.910000004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52" t="s">
        <v>377</v>
      </c>
      <c r="C236" s="352"/>
      <c r="D236" s="38"/>
      <c r="E236" s="38"/>
    </row>
    <row r="237" spans="1:5" x14ac:dyDescent="0.35">
      <c r="A237" s="56" t="s">
        <v>377</v>
      </c>
      <c r="B237" s="38"/>
      <c r="C237" s="47">
        <v>1122030</v>
      </c>
      <c r="D237" s="40">
        <f>C237</f>
        <v>1122030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31557160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12193142</v>
      </c>
      <c r="D240" s="20"/>
      <c r="E240" s="20"/>
    </row>
    <row r="241" spans="1:5" x14ac:dyDescent="0.35">
      <c r="A241" s="20" t="s">
        <v>381</v>
      </c>
      <c r="B241" s="46" t="s">
        <v>284</v>
      </c>
      <c r="C241" s="236">
        <v>872922</v>
      </c>
      <c r="D241" s="20"/>
      <c r="E241" s="20"/>
    </row>
    <row r="242" spans="1:5" x14ac:dyDescent="0.35">
      <c r="A242" s="20" t="s">
        <v>382</v>
      </c>
      <c r="B242" s="46" t="s">
        <v>284</v>
      </c>
      <c r="C242" s="236">
        <v>724024</v>
      </c>
      <c r="D242" s="20"/>
      <c r="E242" s="20"/>
    </row>
    <row r="243" spans="1:5" x14ac:dyDescent="0.35">
      <c r="A243" s="20" t="s">
        <v>383</v>
      </c>
      <c r="B243" s="46" t="s">
        <v>284</v>
      </c>
      <c r="C243" s="236"/>
      <c r="D243" s="20"/>
      <c r="E243" s="20"/>
    </row>
    <row r="244" spans="1:5" x14ac:dyDescent="0.35">
      <c r="A244" s="20" t="s">
        <v>384</v>
      </c>
      <c r="B244" s="46" t="s">
        <v>284</v>
      </c>
      <c r="C244" s="236">
        <v>35112394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80459642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1624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234560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998219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1232779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236">
        <v>399907</v>
      </c>
      <c r="D254" s="20"/>
      <c r="E254" s="20"/>
    </row>
    <row r="255" spans="1:5" x14ac:dyDescent="0.35">
      <c r="A255" s="20" t="s">
        <v>391</v>
      </c>
      <c r="B255" s="46" t="s">
        <v>284</v>
      </c>
      <c r="C255" s="236">
        <v>280634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680541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83494992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5751318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26251624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f>2052026+12089802</f>
        <v>14141828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10320509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2645244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517568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31344435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16999762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16999762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1813305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2670216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19122003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10013466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524150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18137010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110880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5710016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58101046</v>
      </c>
      <c r="E291" s="20"/>
    </row>
    <row r="292" spans="1:5" x14ac:dyDescent="0.35">
      <c r="A292" s="20" t="s">
        <v>416</v>
      </c>
      <c r="B292" s="46" t="s">
        <v>284</v>
      </c>
      <c r="C292" s="47">
        <v>25150996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32950050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>
        <v>3165262</v>
      </c>
      <c r="D295" s="20"/>
      <c r="E295" s="20"/>
    </row>
    <row r="296" spans="1:5" x14ac:dyDescent="0.35">
      <c r="A296" s="20" t="s">
        <v>420</v>
      </c>
      <c r="B296" s="46" t="s">
        <v>284</v>
      </c>
      <c r="C296" s="47">
        <v>688763</v>
      </c>
      <c r="D296" s="20"/>
      <c r="E296" s="20"/>
    </row>
    <row r="297" spans="1:5" x14ac:dyDescent="0.35">
      <c r="A297" s="20" t="s">
        <v>421</v>
      </c>
      <c r="B297" s="46" t="s">
        <v>284</v>
      </c>
      <c r="C297" s="47">
        <v>817922</v>
      </c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0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3294421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84588668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5656136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4338718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259871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-268000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2476499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12463224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2222769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10537052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340874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13100695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13100695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4"/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v>59024749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84588668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84588668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26169718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143597510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169767228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1122030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80459642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1232779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680541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83494992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86272236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2">
        <v>95205</v>
      </c>
      <c r="D370" s="32"/>
      <c r="E370" s="32"/>
    </row>
    <row r="371" spans="1:6" x14ac:dyDescent="0.35">
      <c r="A371" s="59" t="s">
        <v>480</v>
      </c>
      <c r="B371" s="40" t="s">
        <v>284</v>
      </c>
      <c r="C371" s="272">
        <v>268345</v>
      </c>
      <c r="D371" s="32"/>
      <c r="E371" s="32"/>
    </row>
    <row r="372" spans="1:6" x14ac:dyDescent="0.35">
      <c r="A372" s="59" t="s">
        <v>481</v>
      </c>
      <c r="B372" s="40" t="s">
        <v>284</v>
      </c>
      <c r="C372" s="272">
        <v>375574</v>
      </c>
      <c r="D372" s="32"/>
      <c r="E372" s="32"/>
    </row>
    <row r="373" spans="1:6" x14ac:dyDescent="0.35">
      <c r="A373" s="59" t="s">
        <v>482</v>
      </c>
      <c r="B373" s="40" t="s">
        <v>284</v>
      </c>
      <c r="C373" s="272"/>
      <c r="D373" s="32"/>
      <c r="E373" s="32"/>
    </row>
    <row r="374" spans="1:6" x14ac:dyDescent="0.35">
      <c r="A374" s="59" t="s">
        <v>483</v>
      </c>
      <c r="B374" s="40" t="s">
        <v>284</v>
      </c>
      <c r="C374" s="272"/>
      <c r="D374" s="32"/>
      <c r="E374" s="32"/>
    </row>
    <row r="375" spans="1:6" x14ac:dyDescent="0.35">
      <c r="A375" s="59" t="s">
        <v>484</v>
      </c>
      <c r="B375" s="40" t="s">
        <v>284</v>
      </c>
      <c r="C375" s="272"/>
      <c r="D375" s="32"/>
      <c r="E375" s="32"/>
    </row>
    <row r="376" spans="1:6" x14ac:dyDescent="0.35">
      <c r="A376" s="59" t="s">
        <v>485</v>
      </c>
      <c r="B376" s="40" t="s">
        <v>284</v>
      </c>
      <c r="C376" s="272"/>
      <c r="D376" s="32"/>
      <c r="E376" s="32"/>
    </row>
    <row r="377" spans="1:6" x14ac:dyDescent="0.35">
      <c r="A377" s="59" t="s">
        <v>486</v>
      </c>
      <c r="B377" s="40" t="s">
        <v>284</v>
      </c>
      <c r="C377" s="272"/>
      <c r="D377" s="32"/>
      <c r="E377" s="32"/>
    </row>
    <row r="378" spans="1:6" x14ac:dyDescent="0.35">
      <c r="A378" s="59" t="s">
        <v>487</v>
      </c>
      <c r="B378" s="40" t="s">
        <v>284</v>
      </c>
      <c r="C378" s="272"/>
      <c r="D378" s="32"/>
      <c r="E378" s="32"/>
    </row>
    <row r="379" spans="1:6" x14ac:dyDescent="0.35">
      <c r="A379" s="59" t="s">
        <v>488</v>
      </c>
      <c r="B379" s="40" t="s">
        <v>284</v>
      </c>
      <c r="C379" s="272">
        <v>345123</v>
      </c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712834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1797081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660000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2457081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88729317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36261329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9509484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8532069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14157872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840990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4887272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3029616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839400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414706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897024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504504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/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/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/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/>
      <c r="D410" s="32"/>
      <c r="E410" s="32"/>
    </row>
    <row r="411" spans="1:9" x14ac:dyDescent="0.35">
      <c r="A411" s="33" t="s">
        <v>265</v>
      </c>
      <c r="B411" s="40" t="s">
        <v>284</v>
      </c>
      <c r="C411" s="272">
        <v>1329472</v>
      </c>
      <c r="D411" s="32"/>
      <c r="E411" s="32"/>
    </row>
    <row r="412" spans="1:9" x14ac:dyDescent="0.35">
      <c r="A412" s="33" t="s">
        <v>266</v>
      </c>
      <c r="B412" s="40" t="s">
        <v>284</v>
      </c>
      <c r="C412" s="272"/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1978289-1329472</f>
        <v>648817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1978289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81852555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6876762</v>
      </c>
      <c r="E417" s="32"/>
    </row>
    <row r="418" spans="1:13" x14ac:dyDescent="0.35">
      <c r="A418" s="32" t="s">
        <v>508</v>
      </c>
      <c r="B418" s="20"/>
      <c r="C418" s="236">
        <f>-5533150-660000</f>
        <v>-6193150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-6193150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683612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>
        <f>8226654</f>
        <v>8226654</v>
      </c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8910266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116559</v>
      </c>
      <c r="E612" s="257">
        <f>SUM(C624:D647)+SUM(C668:D713)</f>
        <v>68064677.112758353</v>
      </c>
      <c r="F612" s="257">
        <f>CE64-(AX64+BD64+BE64+BG64+BJ64+BN64+BP64+BQ64+CB64+CC64+CD64)</f>
        <v>14080138</v>
      </c>
      <c r="G612" s="255">
        <f>CE91-(AX91+AY91+BD91+BE91+BG91+BJ91+BN91+BP91+BQ91+CB91+CC91+CD91)</f>
        <v>18015</v>
      </c>
      <c r="H612" s="260">
        <f>CE60-(AX60+AY60+AZ60+BD60+BE60+BG60+BJ60+BN60+BO60+BP60+BQ60+BR60+CB60+CC60+CD60)</f>
        <v>329.95000000000016</v>
      </c>
      <c r="I612" s="255">
        <f>CE92-(AX92+AY92+AZ92+BD92+BE92+BF92+BG92+BJ92+BN92+BO92+BP92+BQ92+BR92+CB92+CC92+CD92)</f>
        <v>24953.53</v>
      </c>
      <c r="J612" s="255">
        <f>CE93-(AX93+AY93+AZ93+BA93+BD93+BE93+BF93+BG93+BJ93+BN93+BO93+BP93+BQ93+BR93+CB93+CC93+CD93)</f>
        <v>326114</v>
      </c>
      <c r="K612" s="255">
        <f>CE89-(AW89+AX89+AY89+AZ89+BA89+BB89+BC89+BD89+BE89+BF89+BG89+BH89+BI89+BJ89+BK89+BL89+BM89+BN89+BO89+BP89+BQ89+BR89+BS89+BT89+BU89+BV89+BW89+BX89+CB89+CC89+CD89)</f>
        <v>169767228</v>
      </c>
      <c r="L612" s="261">
        <f>CE94-(AW94+AX94+AY94+AZ94+BA94+BB94+BC94+BD94+BE94+BF94+BG94+BH94+BI94+BJ94+BK94+BL94+BM94+BN94+BO94+BP94+BQ94+BR94+BS94+BT94+BU94+BV94+BW94+BX94+BY94+BZ94+CA94+CB94+CC94+CD94)</f>
        <v>83.77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1895014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-7430425</v>
      </c>
      <c r="D615" s="255">
        <f>SUM(C614:C615)</f>
        <v>-5535411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0</v>
      </c>
      <c r="D617" s="255">
        <f>(D615/D612)*BJ90</f>
        <v>0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0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1988963</v>
      </c>
      <c r="D619" s="255">
        <f>(D615/D612)*BN90</f>
        <v>-101439.08146089106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937988</v>
      </c>
      <c r="D620" s="255">
        <f>(D615/D612)*CC90</f>
        <v>-1282473.0312974546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986833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2529871.8872416541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682939</v>
      </c>
      <c r="D624" s="255">
        <f>(D615/D612)*BD90</f>
        <v>-135489.55964790363</v>
      </c>
      <c r="E624" s="257">
        <f>(E623/E612)*SUM(C624:D624)</f>
        <v>20347.954439547892</v>
      </c>
      <c r="F624" s="257">
        <f>SUM(C624:E624)</f>
        <v>567797.39479164418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1185702</v>
      </c>
      <c r="D625" s="255">
        <f>(D615/D612)*AY90</f>
        <v>-216365.38161789309</v>
      </c>
      <c r="E625" s="257">
        <f>(E623/E612)*SUM(C625:D625)</f>
        <v>36028.929602592849</v>
      </c>
      <c r="F625" s="257">
        <f>(F624/F612)*AY64</f>
        <v>18774.230417286952</v>
      </c>
      <c r="G625" s="255">
        <f>SUM(C625:F625)</f>
        <v>1024139.7784019867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1131156</v>
      </c>
      <c r="D626" s="255">
        <f>(D615/D612)*BR90</f>
        <v>0</v>
      </c>
      <c r="E626" s="257">
        <f>(E623/E612)*SUM(C626:D626)</f>
        <v>42043.536910400093</v>
      </c>
      <c r="F626" s="257">
        <f>(F624/F612)*BR64</f>
        <v>872.21374193551742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422871</v>
      </c>
      <c r="D627" s="255">
        <f>(D615/D612)*BO90</f>
        <v>0</v>
      </c>
      <c r="E627" s="257">
        <f>(E623/E612)*SUM(C627:D627)</f>
        <v>15717.542493553319</v>
      </c>
      <c r="F627" s="257">
        <f>(F624/F612)*BO64</f>
        <v>4970.5577519640274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0</v>
      </c>
      <c r="D628" s="255">
        <f>(D615/D612)*AZ90</f>
        <v>0</v>
      </c>
      <c r="E628" s="257">
        <f>(E623/E612)*SUM(C628:D628)</f>
        <v>0</v>
      </c>
      <c r="F628" s="257">
        <f>(F624/F612)*AZ64</f>
        <v>0</v>
      </c>
      <c r="G628" s="255">
        <f>(G625/G612)*AZ91</f>
        <v>0</v>
      </c>
      <c r="H628" s="257">
        <f>SUM(C626:G628)</f>
        <v>1617630.850897853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990855</v>
      </c>
      <c r="D629" s="255">
        <f>(D615/D612)*BF90</f>
        <v>-211141.45888348389</v>
      </c>
      <c r="E629" s="257">
        <f>(E623/E612)*SUM(C629:D629)</f>
        <v>28980.896574363753</v>
      </c>
      <c r="F629" s="257">
        <f>(F624/F612)*BF64</f>
        <v>2654.9107177431565</v>
      </c>
      <c r="G629" s="255">
        <f>(G625/G612)*BF91</f>
        <v>0</v>
      </c>
      <c r="H629" s="257">
        <f>(H628/H612)*BF60</f>
        <v>61969.552827243082</v>
      </c>
      <c r="I629" s="255">
        <f>SUM(C629:H629)</f>
        <v>873318.90123586613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305983</v>
      </c>
      <c r="D630" s="255">
        <f>(D615/D612)*BA90</f>
        <v>-61262.366612616788</v>
      </c>
      <c r="E630" s="257">
        <f>(E623/E612)*SUM(C630:D630)</f>
        <v>9095.9345859978075</v>
      </c>
      <c r="F630" s="257">
        <f>(F624/F612)*BA64</f>
        <v>0.32260899419687178</v>
      </c>
      <c r="G630" s="255">
        <f>(G625/G612)*BA91</f>
        <v>0</v>
      </c>
      <c r="H630" s="257">
        <f>(H628/H612)*BA60</f>
        <v>4755.5748609514067</v>
      </c>
      <c r="I630" s="255">
        <f>(I629/I612)*BA92</f>
        <v>0</v>
      </c>
      <c r="J630" s="255">
        <f>SUM(C630:I630)</f>
        <v>258572.46544332663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684359</v>
      </c>
      <c r="D632" s="255">
        <f>(D615/D612)*BB90</f>
        <v>-20040.867217460687</v>
      </c>
      <c r="E632" s="257">
        <f>(E623/E612)*SUM(C632:D632)</f>
        <v>24691.805494459441</v>
      </c>
      <c r="F632" s="257">
        <f>(F624/F612)*BB64</f>
        <v>44.116779956422214</v>
      </c>
      <c r="G632" s="255">
        <f>(G625/G612)*BB91</f>
        <v>0</v>
      </c>
      <c r="H632" s="257">
        <f>(H628/H612)*BB60</f>
        <v>28190.263351000609</v>
      </c>
      <c r="I632" s="255">
        <f>(I629/I612)*BB92</f>
        <v>5214.6736868148137</v>
      </c>
      <c r="J632" s="255">
        <f>(J630/J612)*BB93</f>
        <v>0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966035</v>
      </c>
      <c r="D634" s="255">
        <f>(D615/D612)*BI90</f>
        <v>0</v>
      </c>
      <c r="E634" s="257">
        <f>(E623/E612)*SUM(C634:D634)</f>
        <v>35906.212917792378</v>
      </c>
      <c r="F634" s="257">
        <f>(F624/F612)*BI64</f>
        <v>396.56710611650465</v>
      </c>
      <c r="G634" s="255">
        <f>(G625/G612)*BI91</f>
        <v>0</v>
      </c>
      <c r="H634" s="257">
        <f>(H628/H612)*BI60</f>
        <v>17355.396915224723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1555989</v>
      </c>
      <c r="D635" s="255">
        <f>(D615/D612)*BK90</f>
        <v>0</v>
      </c>
      <c r="E635" s="257">
        <f>(E623/E612)*SUM(C635:D635)</f>
        <v>57834.004287363132</v>
      </c>
      <c r="F635" s="257">
        <f>(F624/F612)*BK64</f>
        <v>1101.7903674308664</v>
      </c>
      <c r="G635" s="255">
        <f>(G625/G612)*BK91</f>
        <v>0</v>
      </c>
      <c r="H635" s="257">
        <f>(H628/H612)*BK60</f>
        <v>51330.792571300241</v>
      </c>
      <c r="I635" s="255">
        <f>(I629/I612)*BK92</f>
        <v>5179.6758768361906</v>
      </c>
      <c r="J635" s="255">
        <f>(J630/J612)*BK93</f>
        <v>0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2624037</v>
      </c>
      <c r="D636" s="255">
        <f>(D615/D612)*BH90</f>
        <v>-49912.207216945928</v>
      </c>
      <c r="E636" s="257">
        <f>(E623/E612)*SUM(C636:D636)</f>
        <v>95676.733127305444</v>
      </c>
      <c r="F636" s="257">
        <f>(F624/F612)*BH64</f>
        <v>1975.8591110830159</v>
      </c>
      <c r="G636" s="255">
        <f>(G625/G612)*BH91</f>
        <v>0</v>
      </c>
      <c r="H636" s="257">
        <f>(H628/H612)*BH60</f>
        <v>34122.475290950308</v>
      </c>
      <c r="I636" s="255">
        <f>(I629/I612)*BH92</f>
        <v>5179.6758768361906</v>
      </c>
      <c r="J636" s="255">
        <f>(J630/J612)*BH93</f>
        <v>0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820853</v>
      </c>
      <c r="D637" s="255">
        <f>(D615/D612)*BL90</f>
        <v>-49009.893290093431</v>
      </c>
      <c r="E637" s="257">
        <f>(E623/E612)*SUM(C637:D637)</f>
        <v>28688.363184207868</v>
      </c>
      <c r="F637" s="257">
        <f>(F624/F612)*BL64</f>
        <v>533.95821152009739</v>
      </c>
      <c r="G637" s="255">
        <f>(G625/G612)*BL91</f>
        <v>0</v>
      </c>
      <c r="H637" s="257">
        <f>(H628/H612)*BL60</f>
        <v>65499.464064237938</v>
      </c>
      <c r="I637" s="255">
        <f>(I629/I612)*BL92</f>
        <v>5179.6758768361906</v>
      </c>
      <c r="J637" s="255">
        <f>(J630/J612)*BL93</f>
        <v>0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426997</v>
      </c>
      <c r="D638" s="255">
        <f>(D615/D612)*BM90</f>
        <v>0</v>
      </c>
      <c r="E638" s="257">
        <f>(E623/E612)*SUM(C638:D638)</f>
        <v>15870.900326860405</v>
      </c>
      <c r="F638" s="257">
        <f>(F624/F612)*BM64</f>
        <v>614.00556820519625</v>
      </c>
      <c r="G638" s="255">
        <f>(G625/G612)*BM91</f>
        <v>0</v>
      </c>
      <c r="H638" s="257">
        <f>(H628/H612)*BM60</f>
        <v>22748.316860633535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33011</v>
      </c>
      <c r="D639" s="255">
        <f>(D615/D612)*BS90</f>
        <v>0</v>
      </c>
      <c r="E639" s="257">
        <f>(E623/E612)*SUM(C639:D639)</f>
        <v>1226.9741723946277</v>
      </c>
      <c r="F639" s="257">
        <f>(F624/F612)*BS64</f>
        <v>91.943563346108462</v>
      </c>
      <c r="G639" s="255">
        <f>(G625/G612)*BS91</f>
        <v>0</v>
      </c>
      <c r="H639" s="257">
        <f>(H628/H612)*BS60</f>
        <v>2451.3272479130965</v>
      </c>
      <c r="I639" s="255">
        <f>(I629/I612)*BS92</f>
        <v>0</v>
      </c>
      <c r="J639" s="255">
        <f>(J630/J612)*BS93</f>
        <v>0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699465</v>
      </c>
      <c r="D642" s="255">
        <f>(D615/D612)*BV90</f>
        <v>-31058.595166396419</v>
      </c>
      <c r="E642" s="257">
        <f>(E623/E612)*SUM(C642:D642)</f>
        <v>24843.761030989037</v>
      </c>
      <c r="F642" s="257">
        <f>(F624/F612)*BV64</f>
        <v>305.18810851024068</v>
      </c>
      <c r="G642" s="255">
        <f>(G625/G612)*BV91</f>
        <v>0</v>
      </c>
      <c r="H642" s="257">
        <f>(H628/H612)*BV60</f>
        <v>19169.379078680417</v>
      </c>
      <c r="I642" s="255">
        <f>(I629/I612)*BV92</f>
        <v>5179.6758768361906</v>
      </c>
      <c r="J642" s="255">
        <f>(J630/J612)*BV93</f>
        <v>0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754531</v>
      </c>
      <c r="D643" s="255">
        <f>(D615/D612)*BW90</f>
        <v>-11160.198568965074</v>
      </c>
      <c r="E643" s="257">
        <f>(E623/E612)*SUM(C643:D643)</f>
        <v>27630.086149107123</v>
      </c>
      <c r="F643" s="257">
        <f>(F624/F612)*BW64</f>
        <v>87.306059054528419</v>
      </c>
      <c r="G643" s="255">
        <f>(G625/G612)*BW91</f>
        <v>0</v>
      </c>
      <c r="H643" s="257">
        <f>(H628/H612)*BW60</f>
        <v>5147.7872206175025</v>
      </c>
      <c r="I643" s="255">
        <f>(I629/I612)*BW92</f>
        <v>0</v>
      </c>
      <c r="J643" s="255">
        <f>(J630/J612)*BW93</f>
        <v>0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501441</v>
      </c>
      <c r="D644" s="255">
        <f>(D615/D612)*BX90</f>
        <v>-7123.5310014670686</v>
      </c>
      <c r="E644" s="257">
        <f>(E623/E612)*SUM(C644:D644)</f>
        <v>18373.111006170122</v>
      </c>
      <c r="F644" s="257">
        <f>(F624/F612)*BX64</f>
        <v>55.367768629038117</v>
      </c>
      <c r="G644" s="255">
        <f>(G625/G612)*BX91</f>
        <v>0</v>
      </c>
      <c r="H644" s="257">
        <f>(H628/H612)*BX60</f>
        <v>8824.7780924871477</v>
      </c>
      <c r="I644" s="255">
        <f>(I629/I612)*BX92</f>
        <v>5179.6758768361906</v>
      </c>
      <c r="J644" s="255">
        <f>(J630/J612)*BX93</f>
        <v>0</v>
      </c>
      <c r="K644" s="257">
        <f>SUM(C631:J644)</f>
        <v>9520313.795643216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1299503</v>
      </c>
      <c r="D645" s="255">
        <f>(D615/D612)*BY90</f>
        <v>-6411.1779013203613</v>
      </c>
      <c r="E645" s="257">
        <f>(E623/E612)*SUM(C645:D645)</f>
        <v>48062.472153215247</v>
      </c>
      <c r="F645" s="257">
        <f>(F624/F612)*BY64</f>
        <v>164.12732579765853</v>
      </c>
      <c r="G645" s="255">
        <f>(G625/G612)*BY91</f>
        <v>0</v>
      </c>
      <c r="H645" s="257">
        <f>(H628/H612)*BY60</f>
        <v>32014.333857745041</v>
      </c>
      <c r="I645" s="255">
        <f>(I629/I612)*BY92</f>
        <v>0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0</v>
      </c>
      <c r="D647" s="255">
        <f>(D615/D612)*CA90</f>
        <v>0</v>
      </c>
      <c r="E647" s="257">
        <f>(E623/E612)*SUM(C647:D647)</f>
        <v>0</v>
      </c>
      <c r="F647" s="257">
        <f>(F624/F612)*CA64</f>
        <v>0</v>
      </c>
      <c r="G647" s="255">
        <f>(G625/G612)*CA91</f>
        <v>0</v>
      </c>
      <c r="H647" s="257">
        <f>(H628/H612)*CA60</f>
        <v>0</v>
      </c>
      <c r="I647" s="255">
        <f>(I629/I612)*CA92</f>
        <v>0</v>
      </c>
      <c r="J647" s="255">
        <f>(J630/J612)*CA93</f>
        <v>0</v>
      </c>
      <c r="K647" s="257">
        <v>0</v>
      </c>
      <c r="L647" s="257">
        <f>SUM(C645:K647)</f>
        <v>1373332.7554354374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13464100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2369388</v>
      </c>
      <c r="D668" s="255">
        <f>(D615/D612)*C90</f>
        <v>-194424.90613337452</v>
      </c>
      <c r="E668" s="257">
        <f>(E623/E612)*SUM(C668:D668)</f>
        <v>80840.433252123883</v>
      </c>
      <c r="F668" s="257">
        <f>(F624/F612)*C64</f>
        <v>3139.9533405181528</v>
      </c>
      <c r="G668" s="255">
        <f>(G625/G612)*C91</f>
        <v>222962.87598626653</v>
      </c>
      <c r="H668" s="257">
        <f>(H628/H612)*C60</f>
        <v>72167.074178561568</v>
      </c>
      <c r="I668" s="255">
        <f>(I629/I612)*C92</f>
        <v>124767.19257379067</v>
      </c>
      <c r="J668" s="255">
        <f>(J630/J612)*C93</f>
        <v>15554.119279153114</v>
      </c>
      <c r="K668" s="255">
        <f>(K644/K612)*C89</f>
        <v>169273.85346112389</v>
      </c>
      <c r="L668" s="255">
        <f>(L647/L612)*C94</f>
        <v>158530.83138427458</v>
      </c>
      <c r="M668" s="231">
        <f t="shared" ref="M668:M713" si="20">ROUND(SUM(D668:L668),0)</f>
        <v>652811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20"/>
        <v>0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5538034</v>
      </c>
      <c r="D670" s="255">
        <f>(D615/D612)*E90</f>
        <v>-325877.79821378016</v>
      </c>
      <c r="E670" s="257">
        <f>(E623/E612)*SUM(C670:D670)</f>
        <v>193728.78864857694</v>
      </c>
      <c r="F670" s="257">
        <f>(F624/F612)*E64</f>
        <v>4660.5708346651081</v>
      </c>
      <c r="G670" s="255">
        <f>(G625/G612)*E91</f>
        <v>379639.49154418358</v>
      </c>
      <c r="H670" s="257">
        <f>(H628/H612)*E60</f>
        <v>132616.8041120985</v>
      </c>
      <c r="I670" s="255">
        <f>(I629/I612)*E92</f>
        <v>124767.19257379067</v>
      </c>
      <c r="J670" s="255">
        <f>(J630/J612)*E93</f>
        <v>46663.150727263041</v>
      </c>
      <c r="K670" s="255">
        <f>(K644/K612)*E89</f>
        <v>378132.37906781078</v>
      </c>
      <c r="L670" s="255">
        <f>(L647/L612)*E94</f>
        <v>230992.70053820361</v>
      </c>
      <c r="M670" s="231">
        <f t="shared" si="20"/>
        <v>1165323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20"/>
        <v>0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20"/>
        <v>0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>
        <f>(I629/I612)*H92</f>
        <v>0</v>
      </c>
      <c r="J673" s="255">
        <f>(J630/J612)*H93</f>
        <v>0</v>
      </c>
      <c r="K673" s="255">
        <f>(K644/K612)*H89</f>
        <v>0</v>
      </c>
      <c r="L673" s="255">
        <f>(L647/L612)*H94</f>
        <v>0</v>
      </c>
      <c r="M673" s="231">
        <f t="shared" si="20"/>
        <v>0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20"/>
        <v>0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>
        <f>(I629/I612)*J92</f>
        <v>0</v>
      </c>
      <c r="J675" s="255">
        <f>(J630/J612)*J93</f>
        <v>18146.868937247149</v>
      </c>
      <c r="K675" s="255">
        <f>(K644/K612)*J89</f>
        <v>0</v>
      </c>
      <c r="L675" s="255">
        <f>(L647/L612)*J94</f>
        <v>0</v>
      </c>
      <c r="M675" s="231">
        <f t="shared" si="20"/>
        <v>18147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>
        <f>(I629/I612)*K92</f>
        <v>0</v>
      </c>
      <c r="J676" s="255">
        <f>(J630/J612)*K93</f>
        <v>0</v>
      </c>
      <c r="K676" s="255">
        <f>(K644/K612)*K89</f>
        <v>0</v>
      </c>
      <c r="L676" s="255">
        <f>(L647/L612)*K94</f>
        <v>0</v>
      </c>
      <c r="M676" s="231">
        <f t="shared" si="20"/>
        <v>0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>
        <f>(I629/I612)*L92</f>
        <v>0</v>
      </c>
      <c r="J677" s="255">
        <f>(J630/J612)*L93</f>
        <v>0</v>
      </c>
      <c r="K677" s="255">
        <f>(K644/K612)*L89</f>
        <v>1334.8396622091011</v>
      </c>
      <c r="L677" s="255">
        <f>(L647/L612)*L94</f>
        <v>0</v>
      </c>
      <c r="M677" s="231">
        <f t="shared" si="20"/>
        <v>1335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20"/>
        <v>0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>
        <f>(I629/I612)*N92</f>
        <v>0</v>
      </c>
      <c r="J679" s="255">
        <f>(J630/J612)*N93</f>
        <v>0</v>
      </c>
      <c r="K679" s="255">
        <f>(K644/K612)*N89</f>
        <v>0</v>
      </c>
      <c r="L679" s="255">
        <f>(L647/L612)*N94</f>
        <v>0</v>
      </c>
      <c r="M679" s="231">
        <f t="shared" si="20"/>
        <v>0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3262429</v>
      </c>
      <c r="D680" s="255">
        <f>(D615/D612)*O90</f>
        <v>-389182.24371348415</v>
      </c>
      <c r="E680" s="257">
        <f>(E623/E612)*SUM(C680:D680)</f>
        <v>106794.69149314459</v>
      </c>
      <c r="F680" s="257">
        <f>(F624/F612)*O64</f>
        <v>5320.6288367919078</v>
      </c>
      <c r="G680" s="255">
        <f>(G625/G612)*O91</f>
        <v>191411.52561085147</v>
      </c>
      <c r="H680" s="257">
        <f>(H628/H612)*O60</f>
        <v>99572.912810229973</v>
      </c>
      <c r="I680" s="255">
        <f>(I629/I612)*O92</f>
        <v>124767.19257379067</v>
      </c>
      <c r="J680" s="255">
        <f>(J630/J612)*O93</f>
        <v>36293.737874494298</v>
      </c>
      <c r="K680" s="255">
        <f>(K644/K612)*O89</f>
        <v>214052.80883620071</v>
      </c>
      <c r="L680" s="255">
        <f>(L647/L612)*O94</f>
        <v>233451.81374478491</v>
      </c>
      <c r="M680" s="231">
        <f t="shared" si="20"/>
        <v>622483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9028490</v>
      </c>
      <c r="D681" s="255">
        <f>(D615/D612)*P90</f>
        <v>-751580.0108614522</v>
      </c>
      <c r="E681" s="257">
        <f>(E623/E612)*SUM(C681:D681)</f>
        <v>307641.5371817908</v>
      </c>
      <c r="F681" s="257">
        <f>(F624/F612)*P64</f>
        <v>71689.848081434655</v>
      </c>
      <c r="G681" s="255">
        <f>(G625/G612)*P91</f>
        <v>129275.26261926827</v>
      </c>
      <c r="H681" s="257">
        <f>(H628/H612)*P60</f>
        <v>261164.40499266132</v>
      </c>
      <c r="I681" s="255">
        <f>(I629/I612)*P92</f>
        <v>103978.49344648866</v>
      </c>
      <c r="J681" s="255">
        <f>(J630/J612)*P93</f>
        <v>46663.150727263041</v>
      </c>
      <c r="K681" s="255">
        <f>(K644/K612)*P89</f>
        <v>1388755.789384457</v>
      </c>
      <c r="L681" s="255">
        <f>(L647/L612)*P94</f>
        <v>501167.27150126931</v>
      </c>
      <c r="M681" s="231">
        <f t="shared" si="20"/>
        <v>2058756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29908</v>
      </c>
      <c r="D682" s="255">
        <f>(D615/D612)*Q90</f>
        <v>0</v>
      </c>
      <c r="E682" s="257">
        <f>(E623/E612)*SUM(C682:D682)</f>
        <v>1111.639863923496</v>
      </c>
      <c r="F682" s="257">
        <f>(F624/F612)*Q64</f>
        <v>1150.9479129216147</v>
      </c>
      <c r="G682" s="255">
        <f>(G625/G612)*Q91</f>
        <v>0</v>
      </c>
      <c r="H682" s="257">
        <f>(H628/H612)*Q60</f>
        <v>0</v>
      </c>
      <c r="I682" s="255">
        <f>(I629/I612)*Q92</f>
        <v>0</v>
      </c>
      <c r="J682" s="255">
        <f>(J630/J612)*Q93</f>
        <v>0</v>
      </c>
      <c r="K682" s="255">
        <f>(K644/K612)*Q89</f>
        <v>103782.87245899806</v>
      </c>
      <c r="L682" s="255">
        <f>(L647/L612)*Q94</f>
        <v>0</v>
      </c>
      <c r="M682" s="231">
        <f t="shared" si="20"/>
        <v>106045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2105081</v>
      </c>
      <c r="D683" s="255">
        <f>(D615/D612)*R90</f>
        <v>0</v>
      </c>
      <c r="E683" s="257">
        <f>(E623/E612)*SUM(C683:D683)</f>
        <v>78243.010444962449</v>
      </c>
      <c r="F683" s="257">
        <f>(F624/F612)*R64</f>
        <v>5153.5980300464771</v>
      </c>
      <c r="G683" s="255">
        <f>(G625/G612)*R91</f>
        <v>0</v>
      </c>
      <c r="H683" s="257">
        <f>(H628/H612)*R60</f>
        <v>0</v>
      </c>
      <c r="I683" s="255">
        <f>(I629/I612)*R92</f>
        <v>0</v>
      </c>
      <c r="J683" s="255">
        <f>(J630/J612)*R93</f>
        <v>0</v>
      </c>
      <c r="K683" s="255">
        <f>(K644/K612)*R89</f>
        <v>458693.65106786805</v>
      </c>
      <c r="L683" s="255">
        <f>(L647/L612)*R94</f>
        <v>0</v>
      </c>
      <c r="M683" s="231">
        <f t="shared" si="20"/>
        <v>542090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5677871</v>
      </c>
      <c r="D684" s="255">
        <f>(D615/D612)*S90</f>
        <v>-64776.641906673874</v>
      </c>
      <c r="E684" s="257">
        <f>(E623/E612)*SUM(C684:D684)</f>
        <v>208631.11703960839</v>
      </c>
      <c r="F684" s="257">
        <f>(F624/F612)*S64</f>
        <v>216611.17164919799</v>
      </c>
      <c r="G684" s="255">
        <f>(G625/G612)*S91</f>
        <v>0</v>
      </c>
      <c r="H684" s="257">
        <f>(H628/H612)*S60</f>
        <v>0</v>
      </c>
      <c r="I684" s="255">
        <f>(I629/I612)*S92</f>
        <v>0</v>
      </c>
      <c r="J684" s="255">
        <f>(J630/J612)*S93</f>
        <v>0</v>
      </c>
      <c r="K684" s="255">
        <f>(K644/K612)*S89</f>
        <v>1159849.9942468361</v>
      </c>
      <c r="L684" s="255">
        <f>(L647/L612)*S94</f>
        <v>0</v>
      </c>
      <c r="M684" s="231">
        <f t="shared" si="20"/>
        <v>1520316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0</v>
      </c>
      <c r="L685" s="255">
        <f>(L647/L612)*T94</f>
        <v>0</v>
      </c>
      <c r="M685" s="231">
        <f t="shared" si="20"/>
        <v>0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3608965</v>
      </c>
      <c r="D686" s="255">
        <f>(D615/D612)*U90</f>
        <v>-97497.394306745948</v>
      </c>
      <c r="E686" s="257">
        <f>(E623/E612)*SUM(C686:D686)</f>
        <v>130516.49630080958</v>
      </c>
      <c r="F686" s="257">
        <f>(F624/F612)*U64</f>
        <v>43187.383770265304</v>
      </c>
      <c r="G686" s="255">
        <f>(G625/G612)*U91</f>
        <v>0</v>
      </c>
      <c r="H686" s="257">
        <f>(H628/H612)*U60</f>
        <v>85747.427132000113</v>
      </c>
      <c r="I686" s="255">
        <f>(I629/I612)*U92</f>
        <v>41577.398254604021</v>
      </c>
      <c r="J686" s="255">
        <f>(J630/J612)*U93</f>
        <v>7777.4560844784064</v>
      </c>
      <c r="K686" s="255">
        <f>(K644/K612)*U89</f>
        <v>776105.65830315882</v>
      </c>
      <c r="L686" s="255">
        <f>(L647/L612)*U94</f>
        <v>0</v>
      </c>
      <c r="M686" s="231">
        <f t="shared" si="20"/>
        <v>987414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35375</v>
      </c>
      <c r="D687" s="255">
        <f>(D615/D612)*V90</f>
        <v>-18521.180603814377</v>
      </c>
      <c r="E687" s="257">
        <f>(E623/E612)*SUM(C687:D687)</f>
        <v>626.43364652156492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>
        <f>(I629/I612)*V92</f>
        <v>0</v>
      </c>
      <c r="J687" s="255">
        <f>(J630/J612)*V93</f>
        <v>0</v>
      </c>
      <c r="K687" s="255">
        <f>(K644/K612)*V89</f>
        <v>40949.401718285786</v>
      </c>
      <c r="L687" s="255">
        <f>(L647/L612)*V94</f>
        <v>0</v>
      </c>
      <c r="M687" s="231">
        <f t="shared" si="20"/>
        <v>23055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678959</v>
      </c>
      <c r="D688" s="255">
        <f>(D615/D612)*W90</f>
        <v>-30108.791032867477</v>
      </c>
      <c r="E688" s="257">
        <f>(E623/E612)*SUM(C688:D688)</f>
        <v>24116.883710142942</v>
      </c>
      <c r="F688" s="257">
        <f>(F624/F612)*W64</f>
        <v>717.60338146666663</v>
      </c>
      <c r="G688" s="255">
        <f>(G625/G612)*W91</f>
        <v>0</v>
      </c>
      <c r="H688" s="257">
        <f>(H628/H612)*W60</f>
        <v>16423.892561017747</v>
      </c>
      <c r="I688" s="255">
        <f>(I629/I612)*W92</f>
        <v>5214.6736868148137</v>
      </c>
      <c r="J688" s="255">
        <f>(J630/J612)*W93</f>
        <v>0</v>
      </c>
      <c r="K688" s="255">
        <f>(K644/K612)*W89</f>
        <v>455047.97924329917</v>
      </c>
      <c r="L688" s="255">
        <f>(L647/L612)*W94</f>
        <v>0</v>
      </c>
      <c r="M688" s="231">
        <f t="shared" si="20"/>
        <v>471412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335271</v>
      </c>
      <c r="D689" s="255">
        <f>(D615/D612)*X90</f>
        <v>-24789.8878851054</v>
      </c>
      <c r="E689" s="257">
        <f>(E623/E612)*SUM(C689:D689)</f>
        <v>11540.1625391941</v>
      </c>
      <c r="F689" s="257">
        <f>(F624/F612)*X64</f>
        <v>759.98613807928075</v>
      </c>
      <c r="G689" s="255">
        <f>(G625/G612)*X91</f>
        <v>0</v>
      </c>
      <c r="H689" s="257">
        <f>(H628/H612)*X60</f>
        <v>4461.4155912018359</v>
      </c>
      <c r="I689" s="255">
        <f>(I629/I612)*X92</f>
        <v>5214.6736868148137</v>
      </c>
      <c r="J689" s="255">
        <f>(J630/J612)*X93</f>
        <v>0</v>
      </c>
      <c r="K689" s="255">
        <f>(K644/K612)*X89</f>
        <v>714277.50918679743</v>
      </c>
      <c r="L689" s="255">
        <f>(L647/L612)*X94</f>
        <v>0</v>
      </c>
      <c r="M689" s="231">
        <f t="shared" si="20"/>
        <v>711464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3491968</v>
      </c>
      <c r="D690" s="255">
        <f>(D615/D612)*Y90</f>
        <v>-234316.67974159011</v>
      </c>
      <c r="E690" s="257">
        <f>(E623/E612)*SUM(C690:D690)</f>
        <v>121082.48864391653</v>
      </c>
      <c r="F690" s="257">
        <f>(F624/F612)*Y64</f>
        <v>5551.4555721397692</v>
      </c>
      <c r="G690" s="255">
        <f>(G625/G612)*Y91</f>
        <v>0</v>
      </c>
      <c r="H690" s="257">
        <f>(H628/H612)*Y60</f>
        <v>108299.6378128006</v>
      </c>
      <c r="I690" s="255">
        <f>(I629/I612)*Y92</f>
        <v>103978.49344648866</v>
      </c>
      <c r="J690" s="255">
        <f>(J630/J612)*Y93</f>
        <v>10369.412852768743</v>
      </c>
      <c r="K690" s="255">
        <f>(K644/K612)*Y89</f>
        <v>749627.3474067467</v>
      </c>
      <c r="L690" s="255">
        <f>(L647/L612)*Y94</f>
        <v>0</v>
      </c>
      <c r="M690" s="231">
        <f t="shared" si="20"/>
        <v>864592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0</v>
      </c>
      <c r="L691" s="255">
        <f>(L647/L612)*Z94</f>
        <v>0</v>
      </c>
      <c r="M691" s="231">
        <f t="shared" si="20"/>
        <v>0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940198</v>
      </c>
      <c r="D692" s="255">
        <f>(D615/D612)*AA90</f>
        <v>-16336.631096697811</v>
      </c>
      <c r="E692" s="257">
        <f>(E623/E612)*SUM(C692:D692)</f>
        <v>34338.676153933447</v>
      </c>
      <c r="F692" s="257">
        <f>(F624/F612)*AA64</f>
        <v>7776.7720879855169</v>
      </c>
      <c r="G692" s="255">
        <f>(G625/G612)*AA91</f>
        <v>0</v>
      </c>
      <c r="H692" s="257">
        <f>(H628/H612)*AA60</f>
        <v>10099.468261401958</v>
      </c>
      <c r="I692" s="255">
        <f>(I629/I612)*AA92</f>
        <v>5179.6758768361906</v>
      </c>
      <c r="J692" s="255">
        <f>(J630/J612)*AA93</f>
        <v>0</v>
      </c>
      <c r="K692" s="255">
        <f>(K644/K612)*AA89</f>
        <v>220161.06159958357</v>
      </c>
      <c r="L692" s="255">
        <f>(L647/L612)*AA94</f>
        <v>0</v>
      </c>
      <c r="M692" s="231">
        <f t="shared" si="20"/>
        <v>261219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5065553</v>
      </c>
      <c r="D693" s="255">
        <f>(D615/D612)*AB90</f>
        <v>-46540.402542918178</v>
      </c>
      <c r="E693" s="257">
        <f>(E623/E612)*SUM(C693:D693)</f>
        <v>186549.9023962653</v>
      </c>
      <c r="F693" s="257">
        <f>(F624/F612)*AB64</f>
        <v>152548.48573469004</v>
      </c>
      <c r="G693" s="255">
        <f>(G625/G612)*AB91</f>
        <v>0</v>
      </c>
      <c r="H693" s="257">
        <f>(H628/H612)*AB60</f>
        <v>30494.51096403892</v>
      </c>
      <c r="I693" s="255">
        <f>(I629/I612)*AB92</f>
        <v>10394.349563651005</v>
      </c>
      <c r="J693" s="255">
        <f>(J630/J612)*AB93</f>
        <v>0</v>
      </c>
      <c r="K693" s="255">
        <f>(K644/K612)*AB89</f>
        <v>1066682.9188611275</v>
      </c>
      <c r="L693" s="255">
        <f>(L647/L612)*AB94</f>
        <v>0</v>
      </c>
      <c r="M693" s="231">
        <f t="shared" si="20"/>
        <v>1400130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1294074</v>
      </c>
      <c r="D694" s="255">
        <f>(D615/D612)*AC90</f>
        <v>-61784.758886057709</v>
      </c>
      <c r="E694" s="257">
        <f>(E623/E612)*SUM(C694:D694)</f>
        <v>45802.522546017484</v>
      </c>
      <c r="F694" s="257">
        <f>(F624/F612)*AC64</f>
        <v>2013.0397976642053</v>
      </c>
      <c r="G694" s="255">
        <f>(G625/G612)*AC91</f>
        <v>0</v>
      </c>
      <c r="H694" s="257">
        <f>(H628/H612)*AC60</f>
        <v>51428.845661216772</v>
      </c>
      <c r="I694" s="255">
        <f>(I629/I612)*AC92</f>
        <v>25968.375004138201</v>
      </c>
      <c r="J694" s="255">
        <f>(J630/J612)*AC93</f>
        <v>0</v>
      </c>
      <c r="K694" s="255">
        <f>(K644/K612)*AC89</f>
        <v>202758.23600895682</v>
      </c>
      <c r="L694" s="255">
        <f>(L647/L612)*AC94</f>
        <v>0</v>
      </c>
      <c r="M694" s="231">
        <f t="shared" si="20"/>
        <v>266186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20"/>
        <v>0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5042933</v>
      </c>
      <c r="D696" s="255">
        <f>(D615/D612)*AE90</f>
        <v>-665242.81512367132</v>
      </c>
      <c r="E696" s="257">
        <f>(E623/E612)*SUM(C696:D696)</f>
        <v>162712.81668500553</v>
      </c>
      <c r="F696" s="257">
        <f>(F624/F612)*AE64</f>
        <v>4025.515029588566</v>
      </c>
      <c r="G696" s="255">
        <f>(G625/G612)*AE91</f>
        <v>0</v>
      </c>
      <c r="H696" s="257">
        <f>(H628/H612)*AE60</f>
        <v>214834.32000710382</v>
      </c>
      <c r="I696" s="255">
        <f>(I629/I612)*AE92</f>
        <v>72778.995784845712</v>
      </c>
      <c r="J696" s="255">
        <f>(J630/J612)*AE93</f>
        <v>30441.418233395805</v>
      </c>
      <c r="K696" s="255">
        <f>(K644/K612)*AE89</f>
        <v>351272.78955679713</v>
      </c>
      <c r="L696" s="255">
        <f>(L647/L612)*AE94</f>
        <v>0</v>
      </c>
      <c r="M696" s="231">
        <f t="shared" si="20"/>
        <v>170823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20"/>
        <v>0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8017025</v>
      </c>
      <c r="D698" s="255">
        <f>(D615/D612)*AG90</f>
        <v>-284038.92613183026</v>
      </c>
      <c r="E698" s="257">
        <f>(E623/E612)*SUM(C698:D698)</f>
        <v>287424.62173589342</v>
      </c>
      <c r="F698" s="257">
        <f>(F624/F612)*AG64</f>
        <v>9061.9656686173039</v>
      </c>
      <c r="G698" s="255">
        <f>(G625/G612)*AG91</f>
        <v>100850.62264141683</v>
      </c>
      <c r="H698" s="257">
        <f>(H628/H612)*AG60</f>
        <v>160512.90819334958</v>
      </c>
      <c r="I698" s="255">
        <f>(I629/I612)*AG92</f>
        <v>83189.794319186665</v>
      </c>
      <c r="J698" s="255">
        <f>(J630/J612)*AG93</f>
        <v>46663.150727263041</v>
      </c>
      <c r="K698" s="255">
        <f>(K644/K612)*AG89</f>
        <v>1060235.839007081</v>
      </c>
      <c r="L698" s="255">
        <f>(L647/L612)*AG94</f>
        <v>249190.13826690524</v>
      </c>
      <c r="M698" s="231">
        <f t="shared" si="20"/>
        <v>1713090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123435</v>
      </c>
      <c r="D699" s="255">
        <f>(D615/D612)*AH90</f>
        <v>0</v>
      </c>
      <c r="E699" s="257">
        <f>(E623/E612)*SUM(C699:D699)</f>
        <v>4587.9118163500307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>
        <f>(I629/I612)*AH92</f>
        <v>0</v>
      </c>
      <c r="J699" s="255">
        <f>(J630/J612)*AH93</f>
        <v>0</v>
      </c>
      <c r="K699" s="255">
        <f>(K644/K612)*AH89</f>
        <v>0</v>
      </c>
      <c r="L699" s="255">
        <f>(L647/L612)*AH94</f>
        <v>0</v>
      </c>
      <c r="M699" s="231">
        <f t="shared" si="20"/>
        <v>4588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>
        <f>(I629/I612)*AI92</f>
        <v>0</v>
      </c>
      <c r="J700" s="255">
        <f>(J630/J612)*AI93</f>
        <v>0</v>
      </c>
      <c r="K700" s="255">
        <f>(K644/K612)*AI89</f>
        <v>0</v>
      </c>
      <c r="L700" s="255">
        <f>(L647/L612)*AI94</f>
        <v>0</v>
      </c>
      <c r="M700" s="231">
        <f t="shared" si="20"/>
        <v>0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102520</v>
      </c>
      <c r="D701" s="255">
        <f>(D615/D612)*AJ90</f>
        <v>0</v>
      </c>
      <c r="E701" s="257">
        <f>(E623/E612)*SUM(C701:D701)</f>
        <v>3810.5295857107399</v>
      </c>
      <c r="F701" s="257">
        <f>(F624/F612)*AJ64</f>
        <v>1487.9130073602473</v>
      </c>
      <c r="G701" s="255">
        <f>(G625/G612)*AJ91</f>
        <v>0</v>
      </c>
      <c r="H701" s="257">
        <f>(H628/H612)*AJ60</f>
        <v>6177.3446647410028</v>
      </c>
      <c r="I701" s="255">
        <f>(I629/I612)*AJ92</f>
        <v>5214.6736868148137</v>
      </c>
      <c r="J701" s="255">
        <f>(J630/J612)*AJ93</f>
        <v>0</v>
      </c>
      <c r="K701" s="255">
        <f>(K644/K612)*AJ89</f>
        <v>9318.866565878141</v>
      </c>
      <c r="L701" s="255">
        <f>(L647/L612)*AJ94</f>
        <v>0</v>
      </c>
      <c r="M701" s="231">
        <f t="shared" si="20"/>
        <v>26009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0</v>
      </c>
      <c r="D702" s="255">
        <f>(D615/D612)*AK90</f>
        <v>0</v>
      </c>
      <c r="E702" s="257">
        <f>(E623/E612)*SUM(C702:D702)</f>
        <v>0</v>
      </c>
      <c r="F702" s="257">
        <f>(F624/F612)*AK64</f>
        <v>0</v>
      </c>
      <c r="G702" s="255">
        <f>(G625/G612)*AK91</f>
        <v>0</v>
      </c>
      <c r="H702" s="257">
        <f>(H628/H612)*AK60</f>
        <v>0</v>
      </c>
      <c r="I702" s="255">
        <f>(I629/I612)*AK92</f>
        <v>0</v>
      </c>
      <c r="J702" s="255">
        <f>(J630/J612)*AK93</f>
        <v>0</v>
      </c>
      <c r="K702" s="255">
        <f>(K644/K612)*AK89</f>
        <v>0</v>
      </c>
      <c r="L702" s="255">
        <f>(L647/L612)*AK94</f>
        <v>0</v>
      </c>
      <c r="M702" s="231">
        <f t="shared" si="20"/>
        <v>0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0</v>
      </c>
      <c r="D703" s="255">
        <f>(D615/D612)*AL90</f>
        <v>0</v>
      </c>
      <c r="E703" s="257">
        <f>(E623/E612)*SUM(C703:D703)</f>
        <v>0</v>
      </c>
      <c r="F703" s="257">
        <f>(F624/F612)*AL64</f>
        <v>0</v>
      </c>
      <c r="G703" s="255">
        <f>(G625/G612)*AL91</f>
        <v>0</v>
      </c>
      <c r="H703" s="257">
        <f>(H628/H612)*AL60</f>
        <v>0</v>
      </c>
      <c r="I703" s="255">
        <f>(I629/I612)*AL92</f>
        <v>0</v>
      </c>
      <c r="J703" s="255">
        <f>(J630/J612)*AL93</f>
        <v>0</v>
      </c>
      <c r="K703" s="255">
        <f>(K644/K612)*AL89</f>
        <v>0</v>
      </c>
      <c r="L703" s="255">
        <f>(L647/L612)*AL94</f>
        <v>0</v>
      </c>
      <c r="M703" s="231">
        <f t="shared" si="20"/>
        <v>0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20"/>
        <v>0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20"/>
        <v>0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>
        <f>(I629/I612)*AO92</f>
        <v>0</v>
      </c>
      <c r="J706" s="255">
        <f>(J630/J612)*AO93</f>
        <v>0</v>
      </c>
      <c r="K706" s="255">
        <f>(K644/K612)*AO89</f>
        <v>0</v>
      </c>
      <c r="L706" s="255">
        <f>(L647/L612)*AO94</f>
        <v>0</v>
      </c>
      <c r="M706" s="231">
        <f t="shared" si="20"/>
        <v>0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62514</v>
      </c>
      <c r="D707" s="255">
        <f>(D615/D612)*AP90</f>
        <v>-124899.24355905593</v>
      </c>
      <c r="E707" s="257">
        <f>(E623/E612)*SUM(C707:D707)</f>
        <v>-2318.7750321259559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>
        <f>(I629/I612)*AP92</f>
        <v>0</v>
      </c>
      <c r="J707" s="255">
        <f>(J630/J612)*AP93</f>
        <v>0</v>
      </c>
      <c r="K707" s="255">
        <f>(K644/K612)*AP89</f>
        <v>0</v>
      </c>
      <c r="L707" s="255">
        <f>(L647/L612)*AP94</f>
        <v>0</v>
      </c>
      <c r="M707" s="231">
        <f t="shared" si="20"/>
        <v>-127218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20"/>
        <v>0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>
        <f>(I629/I612)*AR92</f>
        <v>0</v>
      </c>
      <c r="J709" s="255">
        <f>(J630/J612)*AR93</f>
        <v>0</v>
      </c>
      <c r="K709" s="255">
        <f>(K644/K612)*AR89</f>
        <v>0</v>
      </c>
      <c r="L709" s="255">
        <f>(L647/L612)*AR94</f>
        <v>0</v>
      </c>
      <c r="M709" s="231">
        <f t="shared" si="20"/>
        <v>0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20"/>
        <v>0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20"/>
        <v>0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20"/>
        <v>0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320458</v>
      </c>
      <c r="D713" s="255">
        <f>(D615/D612)*AV90</f>
        <v>-22605.338377988832</v>
      </c>
      <c r="E713" s="257">
        <f>(E623/E612)*SUM(C713:D713)</f>
        <v>11070.780133567727</v>
      </c>
      <c r="F713" s="257">
        <f>(F624/F612)*AV64</f>
        <v>298.09071063790952</v>
      </c>
      <c r="G713" s="255">
        <f>(G625/G612)*AV91</f>
        <v>0</v>
      </c>
      <c r="H713" s="257">
        <f>(H628/H612)*AV60</f>
        <v>10050.441716443695</v>
      </c>
      <c r="I713" s="255">
        <f>(I629/I612)*AV92</f>
        <v>5214.6736868148137</v>
      </c>
      <c r="J713" s="255">
        <f>(J630/J612)*AV93</f>
        <v>0</v>
      </c>
      <c r="K713" s="255">
        <f>(K644/K612)*AV89</f>
        <v>0</v>
      </c>
      <c r="L713" s="255">
        <f>(L647/L612)*AV94</f>
        <v>0</v>
      </c>
      <c r="M713" s="231">
        <f t="shared" si="20"/>
        <v>4029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70594549</v>
      </c>
      <c r="D715" s="231">
        <f>SUM(D616:D647)+SUM(D668:D713)</f>
        <v>-5535410.9999999991</v>
      </c>
      <c r="E715" s="231">
        <f>SUM(E624:E647)+SUM(E668:E713)</f>
        <v>2529871.8872416536</v>
      </c>
      <c r="F715" s="231">
        <f>SUM(F625:F648)+SUM(F668:F713)</f>
        <v>567797.39479164418</v>
      </c>
      <c r="G715" s="231">
        <f>SUM(G626:G647)+SUM(G668:G713)</f>
        <v>1024139.7784019867</v>
      </c>
      <c r="H715" s="231">
        <f>SUM(H629:H647)+SUM(H668:H713)</f>
        <v>1617630.8508978526</v>
      </c>
      <c r="I715" s="231">
        <f>SUM(I630:I647)+SUM(I668:I713)</f>
        <v>873318.90123586613</v>
      </c>
      <c r="J715" s="231">
        <f>SUM(J631:J647)+SUM(J668:J713)</f>
        <v>258572.46544332663</v>
      </c>
      <c r="K715" s="231">
        <f>SUM(K668:K713)</f>
        <v>9520313.795643216</v>
      </c>
      <c r="L715" s="231">
        <f>SUM(L668:L713)</f>
        <v>1373332.7554354377</v>
      </c>
      <c r="M715" s="231">
        <f>SUM(M668:M713)</f>
        <v>13464099</v>
      </c>
      <c r="N715" s="249" t="s">
        <v>669</v>
      </c>
    </row>
    <row r="716" spans="1:14" s="231" customFormat="1" ht="12.65" customHeight="1" x14ac:dyDescent="0.3">
      <c r="C716" s="252">
        <f>CE85</f>
        <v>70594549</v>
      </c>
      <c r="D716" s="231">
        <f>D615</f>
        <v>-5535411</v>
      </c>
      <c r="E716" s="231">
        <f>E623</f>
        <v>2529871.8872416541</v>
      </c>
      <c r="F716" s="231">
        <f>F624</f>
        <v>567797.39479164418</v>
      </c>
      <c r="G716" s="231">
        <f>G625</f>
        <v>1024139.7784019867</v>
      </c>
      <c r="H716" s="231">
        <f>H628</f>
        <v>1617630.850897853</v>
      </c>
      <c r="I716" s="231">
        <f>I629</f>
        <v>873318.90123586613</v>
      </c>
      <c r="J716" s="231">
        <f>J630</f>
        <v>258572.46544332663</v>
      </c>
      <c r="K716" s="231">
        <f>K644</f>
        <v>9520313.795643216</v>
      </c>
      <c r="L716" s="231">
        <f>L647</f>
        <v>1373332.7554354374</v>
      </c>
      <c r="M716" s="231">
        <f>C648</f>
        <v>13464100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CD44D2C0-6A82-42DE-94A0-8F91D35E0D26}"/>
  </hyperlinks>
  <printOptions horizontalCentered="1" gridLines="1" gridLinesSet="0"/>
  <pageMargins left="0.25" right="0.25" top="0.5" bottom="0.5" header="0.5" footer="0.5"/>
  <pageSetup orientation="portrait" r:id="rId5"/>
  <headerFooter alignWithMargins="0"/>
  <ignoredErrors>
    <ignoredError sqref="C200 C269 O87 P87:P89 P83 P61:P67 Y62:Y63 Y65 Y67:Y69 AB63:AB66 AC61:AC83 AB84 AE61:AE89 AG61:AG88 AC59 E59 E62 AY60 BB60:BB65 E64:E6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871</v>
      </c>
      <c r="B1" s="183"/>
      <c r="C1" s="183"/>
    </row>
    <row r="2" spans="1:3" ht="20.149999999999999" customHeight="1" x14ac:dyDescent="0.35">
      <c r="A2" s="182"/>
      <c r="B2" s="183"/>
      <c r="C2" s="108" t="s">
        <v>872</v>
      </c>
    </row>
    <row r="3" spans="1:3" ht="20.149999999999999" customHeight="1" x14ac:dyDescent="0.35">
      <c r="A3" s="134" t="str">
        <f>"Hospital: "&amp;data!C98</f>
        <v>Hospital: Public Hospital District #1-A of Whitman County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873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5751318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26251624</v>
      </c>
    </row>
    <row r="9" spans="1:3" ht="20.149999999999999" customHeight="1" x14ac:dyDescent="0.35">
      <c r="A9" s="188">
        <v>5</v>
      </c>
      <c r="B9" s="190" t="s">
        <v>874</v>
      </c>
      <c r="C9" s="190">
        <f>data!C269</f>
        <v>14141828</v>
      </c>
    </row>
    <row r="10" spans="1:3" ht="20.149999999999999" customHeight="1" x14ac:dyDescent="0.35">
      <c r="A10" s="188">
        <v>6</v>
      </c>
      <c r="B10" s="190" t="s">
        <v>875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876</v>
      </c>
      <c r="C11" s="190">
        <f>data!C271</f>
        <v>10320509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2645244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517568</v>
      </c>
    </row>
    <row r="15" spans="1:3" ht="20.149999999999999" customHeight="1" x14ac:dyDescent="0.35">
      <c r="A15" s="188">
        <v>11</v>
      </c>
      <c r="B15" s="190" t="s">
        <v>877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878</v>
      </c>
      <c r="C16" s="190">
        <f>data!D276</f>
        <v>31344435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879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16999762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880</v>
      </c>
      <c r="C22" s="190">
        <f>data!D281</f>
        <v>16999762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881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1813305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2670216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19122003</v>
      </c>
    </row>
    <row r="28" spans="1:3" ht="20.149999999999999" customHeight="1" x14ac:dyDescent="0.35">
      <c r="A28" s="188">
        <v>24</v>
      </c>
      <c r="B28" s="190" t="s">
        <v>882</v>
      </c>
      <c r="C28" s="190">
        <f>data!C286</f>
        <v>10013466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524150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18137010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110880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5710016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883</v>
      </c>
      <c r="C34" s="190">
        <f>data!C292</f>
        <v>25150996</v>
      </c>
    </row>
    <row r="35" spans="1:3" ht="20.149999999999999" customHeight="1" x14ac:dyDescent="0.35">
      <c r="A35" s="188">
        <v>31</v>
      </c>
      <c r="B35" s="190" t="s">
        <v>884</v>
      </c>
      <c r="C35" s="190">
        <f>data!D293</f>
        <v>32950050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885</v>
      </c>
      <c r="C37" s="189"/>
    </row>
    <row r="38" spans="1:3" ht="20.149999999999999" customHeight="1" x14ac:dyDescent="0.35">
      <c r="A38" s="188">
        <v>34</v>
      </c>
      <c r="B38" s="190" t="s">
        <v>886</v>
      </c>
      <c r="C38" s="190">
        <f>data!C295</f>
        <v>3165262</v>
      </c>
    </row>
    <row r="39" spans="1:3" ht="20.149999999999999" customHeight="1" x14ac:dyDescent="0.35">
      <c r="A39" s="188">
        <v>35</v>
      </c>
      <c r="B39" s="190" t="s">
        <v>887</v>
      </c>
      <c r="C39" s="190">
        <f>data!C296</f>
        <v>688763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817922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888</v>
      </c>
      <c r="C42" s="190">
        <f>data!D299</f>
        <v>3294421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889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890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891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892</v>
      </c>
      <c r="C50" s="190">
        <f>data!D308</f>
        <v>84588668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893</v>
      </c>
      <c r="B53" s="183"/>
      <c r="C53" s="183"/>
    </row>
    <row r="54" spans="1:3" ht="20.149999999999999" customHeight="1" x14ac:dyDescent="0.35">
      <c r="A54" s="182"/>
      <c r="B54" s="183"/>
      <c r="C54" s="108" t="s">
        <v>894</v>
      </c>
    </row>
    <row r="55" spans="1:3" ht="20.149999999999999" customHeight="1" x14ac:dyDescent="0.35">
      <c r="A55" s="134" t="str">
        <f>"Hospital: "&amp;data!C98</f>
        <v>Hospital: Public Hospital District #1-A of Whitman County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895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896</v>
      </c>
      <c r="C59" s="190">
        <f>data!C315</f>
        <v>5656136</v>
      </c>
    </row>
    <row r="60" spans="1:3" ht="20.149999999999999" customHeight="1" x14ac:dyDescent="0.35">
      <c r="A60" s="188">
        <v>4</v>
      </c>
      <c r="B60" s="190" t="s">
        <v>897</v>
      </c>
      <c r="C60" s="190">
        <f>data!C316</f>
        <v>4338718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259871</v>
      </c>
    </row>
    <row r="62" spans="1:3" ht="20.149999999999999" customHeight="1" x14ac:dyDescent="0.35">
      <c r="A62" s="188">
        <v>6</v>
      </c>
      <c r="B62" s="190" t="s">
        <v>898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899</v>
      </c>
      <c r="C63" s="190">
        <f>data!C319</f>
        <v>-268000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2476499</v>
      </c>
    </row>
    <row r="67" spans="1:3" ht="20.149999999999999" customHeight="1" x14ac:dyDescent="0.35">
      <c r="A67" s="188">
        <v>11</v>
      </c>
      <c r="B67" s="190" t="s">
        <v>900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901</v>
      </c>
      <c r="C68" s="190">
        <f>data!D324</f>
        <v>12463224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902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903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904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905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906</v>
      </c>
      <c r="C80" s="190">
        <f>data!C334</f>
        <v>2222769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10537052</v>
      </c>
    </row>
    <row r="82" spans="1:3" ht="20.149999999999999" customHeight="1" x14ac:dyDescent="0.35">
      <c r="A82" s="188">
        <v>26</v>
      </c>
      <c r="B82" s="190" t="s">
        <v>907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340874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13100695</v>
      </c>
    </row>
    <row r="86" spans="1:3" ht="20.149999999999999" customHeight="1" x14ac:dyDescent="0.35">
      <c r="A86" s="188">
        <v>30</v>
      </c>
      <c r="B86" s="190" t="s">
        <v>908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909</v>
      </c>
      <c r="C87" s="190">
        <f>data!D341</f>
        <v>13100695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910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911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912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913</v>
      </c>
      <c r="C98" s="190">
        <f>data!C348</f>
        <v>59024749</v>
      </c>
    </row>
    <row r="99" spans="1:3" ht="20.149999999999999" customHeight="1" x14ac:dyDescent="0.35">
      <c r="A99" s="188">
        <v>43</v>
      </c>
      <c r="B99" s="190" t="s">
        <v>914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915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916</v>
      </c>
      <c r="C102" s="190">
        <f>data!C343+data!C345+data!C346+data!C347+data!C348-data!C349</f>
        <v>59024749</v>
      </c>
    </row>
    <row r="103" spans="1:3" ht="20.149999999999999" customHeight="1" x14ac:dyDescent="0.35">
      <c r="A103" s="188">
        <v>47</v>
      </c>
      <c r="B103" s="190" t="s">
        <v>917</v>
      </c>
      <c r="C103" s="190">
        <f>data!D352</f>
        <v>84588668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918</v>
      </c>
      <c r="B106" s="183"/>
      <c r="C106" s="183"/>
    </row>
    <row r="107" spans="1:3" ht="20.149999999999999" customHeight="1" x14ac:dyDescent="0.35">
      <c r="A107" s="184"/>
      <c r="C107" s="108" t="s">
        <v>919</v>
      </c>
    </row>
    <row r="108" spans="1:3" ht="20.149999999999999" customHeight="1" x14ac:dyDescent="0.35">
      <c r="A108" s="134" t="str">
        <f>"Hospital: "&amp;data!C98</f>
        <v>Hospital: Public Hospital District #1-A of Whitman County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920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26169718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143597510</v>
      </c>
    </row>
    <row r="113" spans="1:3" ht="20.149999999999999" customHeight="1" x14ac:dyDescent="0.35">
      <c r="A113" s="188">
        <v>4</v>
      </c>
      <c r="B113" s="190" t="s">
        <v>921</v>
      </c>
      <c r="C113" s="190">
        <f>data!D360</f>
        <v>169767228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922</v>
      </c>
      <c r="C115" s="189"/>
    </row>
    <row r="116" spans="1:3" ht="20.149999999999999" customHeight="1" x14ac:dyDescent="0.35">
      <c r="A116" s="188">
        <v>7</v>
      </c>
      <c r="B116" s="202" t="s">
        <v>923</v>
      </c>
      <c r="C116" s="203">
        <f>data!C362</f>
        <v>1122030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80459642</v>
      </c>
    </row>
    <row r="118" spans="1:3" ht="20.149999999999999" customHeight="1" x14ac:dyDescent="0.35">
      <c r="A118" s="188">
        <v>9</v>
      </c>
      <c r="B118" s="190" t="s">
        <v>924</v>
      </c>
      <c r="C118" s="203">
        <f>data!C364</f>
        <v>1232779</v>
      </c>
    </row>
    <row r="119" spans="1:3" ht="20.149999999999999" customHeight="1" x14ac:dyDescent="0.35">
      <c r="A119" s="188">
        <v>10</v>
      </c>
      <c r="B119" s="190" t="s">
        <v>925</v>
      </c>
      <c r="C119" s="203">
        <f>data!C365</f>
        <v>680541</v>
      </c>
    </row>
    <row r="120" spans="1:3" ht="20.149999999999999" customHeight="1" x14ac:dyDescent="0.35">
      <c r="A120" s="188">
        <v>11</v>
      </c>
      <c r="B120" s="190" t="s">
        <v>869</v>
      </c>
      <c r="C120" s="203">
        <f>data!D366</f>
        <v>83494992</v>
      </c>
    </row>
    <row r="121" spans="1:3" ht="20.149999999999999" customHeight="1" x14ac:dyDescent="0.35">
      <c r="A121" s="188">
        <v>12</v>
      </c>
      <c r="B121" s="190" t="s">
        <v>926</v>
      </c>
      <c r="C121" s="203">
        <f>data!D367</f>
        <v>86272236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927</v>
      </c>
      <c r="B125" s="206" t="s">
        <v>479</v>
      </c>
      <c r="C125" s="205">
        <f>data!C370</f>
        <v>95205</v>
      </c>
    </row>
    <row r="126" spans="1:3" ht="20.149999999999999" customHeight="1" x14ac:dyDescent="0.35">
      <c r="A126" s="209" t="s">
        <v>928</v>
      </c>
      <c r="B126" s="206" t="s">
        <v>480</v>
      </c>
      <c r="C126" s="205">
        <f>data!C371</f>
        <v>268345</v>
      </c>
    </row>
    <row r="127" spans="1:3" ht="20.149999999999999" customHeight="1" x14ac:dyDescent="0.35">
      <c r="A127" s="209" t="s">
        <v>929</v>
      </c>
      <c r="B127" s="206" t="s">
        <v>481</v>
      </c>
      <c r="C127" s="205">
        <f>data!C372</f>
        <v>375574</v>
      </c>
    </row>
    <row r="128" spans="1:3" ht="20.149999999999999" customHeight="1" x14ac:dyDescent="0.35">
      <c r="A128" s="209" t="s">
        <v>930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931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932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933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934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935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936</v>
      </c>
      <c r="B134" s="206" t="s">
        <v>488</v>
      </c>
      <c r="C134" s="205">
        <f>data!C379</f>
        <v>345123</v>
      </c>
    </row>
    <row r="135" spans="1:3" ht="20.149999999999999" customHeight="1" x14ac:dyDescent="0.35">
      <c r="A135" s="209" t="s">
        <v>937</v>
      </c>
      <c r="B135" s="206" t="s">
        <v>489</v>
      </c>
      <c r="C135" s="205">
        <f>data!C380</f>
        <v>712834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938</v>
      </c>
      <c r="C137" s="203">
        <f>data!D383</f>
        <v>2457081</v>
      </c>
    </row>
    <row r="138" spans="1:3" ht="20.149999999999999" customHeight="1" x14ac:dyDescent="0.35">
      <c r="A138" s="188">
        <v>18</v>
      </c>
      <c r="B138" s="190" t="s">
        <v>939</v>
      </c>
      <c r="C138" s="203">
        <f>data!D384</f>
        <v>88729317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940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36261329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9509484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8532069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14157872</v>
      </c>
    </row>
    <row r="145" spans="1:3" ht="20.149999999999999" customHeight="1" x14ac:dyDescent="0.35">
      <c r="A145" s="188">
        <v>25</v>
      </c>
      <c r="B145" s="190" t="s">
        <v>941</v>
      </c>
      <c r="C145" s="203">
        <f>data!C393</f>
        <v>840990</v>
      </c>
    </row>
    <row r="146" spans="1:3" ht="20.149999999999999" customHeight="1" x14ac:dyDescent="0.35">
      <c r="A146" s="188">
        <v>26</v>
      </c>
      <c r="B146" s="190" t="s">
        <v>942</v>
      </c>
      <c r="C146" s="203">
        <f>data!C394</f>
        <v>4887272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3029616</v>
      </c>
    </row>
    <row r="148" spans="1:3" ht="20.149999999999999" customHeight="1" x14ac:dyDescent="0.35">
      <c r="A148" s="188">
        <v>28</v>
      </c>
      <c r="B148" s="190" t="s">
        <v>943</v>
      </c>
      <c r="C148" s="203">
        <f>data!C396</f>
        <v>839400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414706</v>
      </c>
    </row>
    <row r="150" spans="1:3" ht="20.149999999999999" customHeight="1" x14ac:dyDescent="0.35">
      <c r="A150" s="188">
        <v>30</v>
      </c>
      <c r="B150" s="190" t="s">
        <v>944</v>
      </c>
      <c r="C150" s="203">
        <f>data!C398</f>
        <v>897024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504504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945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946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947</v>
      </c>
      <c r="B155" s="207" t="s">
        <v>948</v>
      </c>
      <c r="C155" s="203">
        <f>data!C403</f>
        <v>0</v>
      </c>
    </row>
    <row r="156" spans="1:3" ht="20.149999999999999" customHeight="1" x14ac:dyDescent="0.35">
      <c r="A156" s="209" t="s">
        <v>949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950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951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952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953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954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955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956</v>
      </c>
      <c r="B163" s="207" t="s">
        <v>265</v>
      </c>
      <c r="C163" s="203">
        <f>data!C411</f>
        <v>1329472</v>
      </c>
    </row>
    <row r="164" spans="1:3" ht="20.149999999999999" customHeight="1" x14ac:dyDescent="0.35">
      <c r="A164" s="209" t="s">
        <v>957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958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959</v>
      </c>
      <c r="B166" s="207" t="s">
        <v>960</v>
      </c>
      <c r="C166" s="203">
        <f>data!C414</f>
        <v>648817</v>
      </c>
    </row>
    <row r="167" spans="1:3" ht="20.149999999999999" customHeight="1" x14ac:dyDescent="0.35">
      <c r="A167" s="188">
        <v>34</v>
      </c>
      <c r="B167" s="190" t="s">
        <v>961</v>
      </c>
      <c r="C167" s="203">
        <f>data!D416</f>
        <v>81852555</v>
      </c>
    </row>
    <row r="168" spans="1:3" ht="20.149999999999999" customHeight="1" x14ac:dyDescent="0.35">
      <c r="A168" s="188">
        <v>35</v>
      </c>
      <c r="B168" s="190" t="s">
        <v>962</v>
      </c>
      <c r="C168" s="203">
        <f>data!D417</f>
        <v>6876762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963</v>
      </c>
      <c r="C170" s="203">
        <f>data!D420</f>
        <v>-6193150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964</v>
      </c>
      <c r="C172" s="190">
        <f>data!D421</f>
        <v>683612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965</v>
      </c>
      <c r="C174" s="203">
        <f>data!C422</f>
        <v>8226654</v>
      </c>
    </row>
    <row r="175" spans="1:3" ht="20.149999999999999" customHeight="1" x14ac:dyDescent="0.35">
      <c r="A175" s="188">
        <v>42</v>
      </c>
      <c r="B175" s="190" t="s">
        <v>966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967</v>
      </c>
      <c r="C177" s="203">
        <f>data!D424</f>
        <v>8910266</v>
      </c>
    </row>
    <row r="178" spans="1:3" ht="20.149999999999999" customHeight="1" x14ac:dyDescent="0.35">
      <c r="A178" s="193">
        <v>45</v>
      </c>
      <c r="B178" s="192" t="s">
        <v>968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969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970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Public Hospital District #1-A of Whitman County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971</v>
      </c>
      <c r="C6" s="291" t="s">
        <v>103</v>
      </c>
      <c r="D6" s="292" t="s">
        <v>972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973</v>
      </c>
      <c r="E7" s="292" t="s">
        <v>175</v>
      </c>
      <c r="F7" s="292" t="s">
        <v>974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975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799</v>
      </c>
      <c r="D9" s="286">
        <f>data!D59</f>
        <v>0</v>
      </c>
      <c r="E9" s="286">
        <f>data!E59</f>
        <v>2397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14.72</v>
      </c>
      <c r="D10" s="293">
        <f>data!D60</f>
        <v>0</v>
      </c>
      <c r="E10" s="293">
        <f>data!E60</f>
        <v>27.049999999999997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1381870</v>
      </c>
      <c r="D11" s="286">
        <f>data!D61</f>
        <v>0</v>
      </c>
      <c r="E11" s="286">
        <f>data!E61</f>
        <v>3081251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362394</v>
      </c>
      <c r="D12" s="286">
        <f>data!D62</f>
        <v>0</v>
      </c>
      <c r="E12" s="286">
        <f>data!E62</f>
        <v>808054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408265</v>
      </c>
      <c r="D13" s="286">
        <f>data!D63</f>
        <v>0</v>
      </c>
      <c r="E13" s="286">
        <f>data!E63</f>
        <v>1516787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77864</v>
      </c>
      <c r="D14" s="286">
        <f>data!D64</f>
        <v>0</v>
      </c>
      <c r="E14" s="286">
        <f>data!E64</f>
        <v>115572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480</v>
      </c>
      <c r="D15" s="286">
        <f>data!D65</f>
        <v>0</v>
      </c>
      <c r="E15" s="286">
        <f>data!E65</f>
        <v>342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24658</v>
      </c>
      <c r="D16" s="286">
        <f>data!D66</f>
        <v>0</v>
      </c>
      <c r="E16" s="286">
        <f>data!E66</f>
        <v>32239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97313</v>
      </c>
      <c r="D17" s="286">
        <f>data!D67</f>
        <v>0</v>
      </c>
      <c r="E17" s="286">
        <f>data!E67</f>
        <v>163108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976</v>
      </c>
      <c r="C18" s="286">
        <f>data!C68</f>
        <v>12914</v>
      </c>
      <c r="D18" s="286">
        <f>data!D68</f>
        <v>0</v>
      </c>
      <c r="E18" s="286">
        <f>data!E68</f>
        <v>60907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977</v>
      </c>
      <c r="C19" s="286">
        <f>data!C69</f>
        <v>3630</v>
      </c>
      <c r="D19" s="286">
        <f>data!D69</f>
        <v>0</v>
      </c>
      <c r="E19" s="286">
        <f>data!E69</f>
        <v>13488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-253714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978</v>
      </c>
      <c r="C21" s="286">
        <f>data!C85</f>
        <v>2369388</v>
      </c>
      <c r="D21" s="286">
        <f>data!D85</f>
        <v>0</v>
      </c>
      <c r="E21" s="286">
        <f>data!E85</f>
        <v>5538034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979</v>
      </c>
      <c r="C23" s="294">
        <f>+data!M668</f>
        <v>652811</v>
      </c>
      <c r="D23" s="294">
        <f>+data!M669</f>
        <v>0</v>
      </c>
      <c r="E23" s="294">
        <f>+data!M670</f>
        <v>1165323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ht="20.149999999999999" customHeight="1" x14ac:dyDescent="0.35">
      <c r="A24" s="278">
        <v>19</v>
      </c>
      <c r="B24" s="294" t="s">
        <v>980</v>
      </c>
      <c r="C24" s="286">
        <f>data!C87</f>
        <v>1998815</v>
      </c>
      <c r="D24" s="286">
        <f>data!D87</f>
        <v>0</v>
      </c>
      <c r="E24" s="286">
        <f>data!E87</f>
        <v>3261403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981</v>
      </c>
      <c r="C25" s="286">
        <f>data!C88</f>
        <v>1019694</v>
      </c>
      <c r="D25" s="286">
        <f>data!D88</f>
        <v>0</v>
      </c>
      <c r="E25" s="286">
        <f>data!E88</f>
        <v>3481493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982</v>
      </c>
      <c r="C26" s="286">
        <f>data!C89</f>
        <v>3018509</v>
      </c>
      <c r="D26" s="286">
        <f>data!D89</f>
        <v>0</v>
      </c>
      <c r="E26" s="286">
        <f>data!E89</f>
        <v>6742896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49999999999999" customHeight="1" x14ac:dyDescent="0.35">
      <c r="A27" s="278" t="s">
        <v>983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984</v>
      </c>
      <c r="C28" s="286">
        <f>data!C90</f>
        <v>4094</v>
      </c>
      <c r="D28" s="286">
        <f>data!D90</f>
        <v>0</v>
      </c>
      <c r="E28" s="286">
        <f>data!E90</f>
        <v>6862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985</v>
      </c>
      <c r="C29" s="286">
        <f>data!C91</f>
        <v>3922</v>
      </c>
      <c r="D29" s="286">
        <f>data!D91</f>
        <v>0</v>
      </c>
      <c r="E29" s="286">
        <f>data!E91</f>
        <v>6678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986</v>
      </c>
      <c r="C30" s="286">
        <f>data!C92</f>
        <v>3565</v>
      </c>
      <c r="D30" s="286">
        <f>data!D92</f>
        <v>0</v>
      </c>
      <c r="E30" s="286">
        <f>data!E92</f>
        <v>3565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987</v>
      </c>
      <c r="C31" s="286">
        <f>data!C93</f>
        <v>19617</v>
      </c>
      <c r="D31" s="286">
        <f>data!D93</f>
        <v>0</v>
      </c>
      <c r="E31" s="286">
        <f>data!E93</f>
        <v>58852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9.67</v>
      </c>
      <c r="D32" s="293">
        <f>data!D94</f>
        <v>0</v>
      </c>
      <c r="E32" s="293">
        <f>data!E94</f>
        <v>14.09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969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988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Public Hospital District #1-A of Whitman County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971</v>
      </c>
      <c r="C38" s="292"/>
      <c r="D38" s="292" t="s">
        <v>111</v>
      </c>
      <c r="E38" s="292" t="s">
        <v>112</v>
      </c>
      <c r="F38" s="292" t="s">
        <v>989</v>
      </c>
      <c r="G38" s="292" t="s">
        <v>114</v>
      </c>
      <c r="H38" s="292" t="s">
        <v>990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975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653</v>
      </c>
      <c r="D41" s="286">
        <f>data!K59</f>
        <v>0</v>
      </c>
      <c r="E41" s="286">
        <f>data!L59</f>
        <v>17</v>
      </c>
      <c r="F41" s="286">
        <f>data!M59</f>
        <v>0</v>
      </c>
      <c r="G41" s="286">
        <f>data!N59</f>
        <v>0</v>
      </c>
      <c r="H41" s="286">
        <f>data!O59</f>
        <v>359</v>
      </c>
      <c r="I41" s="286">
        <f>data!P59</f>
        <v>255187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20.309999999999999</v>
      </c>
      <c r="I42" s="293">
        <f>data!P60</f>
        <v>53.27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2073749</v>
      </c>
      <c r="I43" s="286">
        <f>data!P61</f>
        <v>4887213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543838</v>
      </c>
      <c r="I44" s="286">
        <f>data!P62</f>
        <v>1281665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207993</v>
      </c>
      <c r="I45" s="286">
        <f>data!P63</f>
        <v>181233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131940</v>
      </c>
      <c r="I46" s="286">
        <f>data!P64</f>
        <v>1777752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480</v>
      </c>
      <c r="I47" s="286">
        <f>data!P65</f>
        <v>1440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78976</v>
      </c>
      <c r="I48" s="286">
        <f>data!P66</f>
        <v>437399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194793</v>
      </c>
      <c r="I49" s="286">
        <f>data!P67</f>
        <v>376179</v>
      </c>
    </row>
    <row r="50" spans="1:11" ht="20.149999999999999" customHeight="1" x14ac:dyDescent="0.35">
      <c r="A50" s="278">
        <v>13</v>
      </c>
      <c r="B50" s="286" t="s">
        <v>976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25801</v>
      </c>
      <c r="I50" s="286">
        <f>data!P68</f>
        <v>72871</v>
      </c>
    </row>
    <row r="51" spans="1:11" ht="20.149999999999999" customHeight="1" x14ac:dyDescent="0.35">
      <c r="A51" s="278">
        <v>14</v>
      </c>
      <c r="B51" s="286" t="s">
        <v>977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9254</v>
      </c>
      <c r="I51" s="286">
        <f>data!P69</f>
        <v>22818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-4395</v>
      </c>
      <c r="I52" s="286">
        <f>-data!P84</f>
        <v>-10080</v>
      </c>
    </row>
    <row r="53" spans="1:11" ht="20.149999999999999" customHeight="1" x14ac:dyDescent="0.35">
      <c r="A53" s="278">
        <v>16</v>
      </c>
      <c r="B53" s="294" t="s">
        <v>978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3262429</v>
      </c>
      <c r="I53" s="286">
        <f>data!P85</f>
        <v>9028490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979</v>
      </c>
      <c r="C55" s="294">
        <f>+data!M675</f>
        <v>18147</v>
      </c>
      <c r="D55" s="294">
        <f>+data!M676</f>
        <v>0</v>
      </c>
      <c r="E55" s="294">
        <f>+data!M677</f>
        <v>1335</v>
      </c>
      <c r="F55" s="294">
        <f>+data!M678</f>
        <v>0</v>
      </c>
      <c r="G55" s="294">
        <f>+data!M679</f>
        <v>0</v>
      </c>
      <c r="H55" s="294">
        <f>+data!M680</f>
        <v>622483</v>
      </c>
      <c r="I55" s="294">
        <f>+data!M681</f>
        <v>2058756</v>
      </c>
    </row>
    <row r="56" spans="1:11" ht="20.149999999999999" customHeight="1" x14ac:dyDescent="0.35">
      <c r="A56" s="278">
        <v>19</v>
      </c>
      <c r="B56" s="294" t="s">
        <v>980</v>
      </c>
      <c r="C56" s="286">
        <f>data!J87</f>
        <v>0</v>
      </c>
      <c r="D56" s="286">
        <f>data!K87</f>
        <v>0</v>
      </c>
      <c r="E56" s="286">
        <f>data!L87</f>
        <v>23803</v>
      </c>
      <c r="F56" s="286">
        <f>data!M87</f>
        <v>0</v>
      </c>
      <c r="G56" s="286">
        <f>data!N87</f>
        <v>0</v>
      </c>
      <c r="H56" s="286">
        <f>data!O87</f>
        <v>3214242</v>
      </c>
      <c r="I56" s="286">
        <f>data!P87</f>
        <v>3189403</v>
      </c>
    </row>
    <row r="57" spans="1:11" ht="20.149999999999999" customHeight="1" x14ac:dyDescent="0.35">
      <c r="A57" s="278">
        <v>20</v>
      </c>
      <c r="B57" s="294" t="s">
        <v>981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602770</v>
      </c>
      <c r="I57" s="286">
        <f>data!P88</f>
        <v>21575035</v>
      </c>
    </row>
    <row r="58" spans="1:11" ht="20.149999999999999" customHeight="1" x14ac:dyDescent="0.35">
      <c r="A58" s="278">
        <v>21</v>
      </c>
      <c r="B58" s="294" t="s">
        <v>982</v>
      </c>
      <c r="C58" s="286">
        <f>data!J89</f>
        <v>0</v>
      </c>
      <c r="D58" s="286">
        <f>data!K89</f>
        <v>0</v>
      </c>
      <c r="E58" s="286">
        <f>data!L89</f>
        <v>23803</v>
      </c>
      <c r="F58" s="286">
        <f>data!M89</f>
        <v>0</v>
      </c>
      <c r="G58" s="286">
        <f>data!N89</f>
        <v>0</v>
      </c>
      <c r="H58" s="286">
        <f>data!O89</f>
        <v>3817012</v>
      </c>
      <c r="I58" s="286">
        <f>data!P89</f>
        <v>24764438</v>
      </c>
    </row>
    <row r="59" spans="1:11" ht="20.149999999999999" customHeight="1" x14ac:dyDescent="0.35">
      <c r="A59" s="278" t="s">
        <v>983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984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8195</v>
      </c>
      <c r="I60" s="286">
        <f>data!P90</f>
        <v>15826</v>
      </c>
      <c r="K60" s="297"/>
    </row>
    <row r="61" spans="1:11" ht="20.149999999999999" customHeight="1" x14ac:dyDescent="0.35">
      <c r="A61" s="278">
        <v>23</v>
      </c>
      <c r="B61" s="286" t="s">
        <v>985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3367</v>
      </c>
      <c r="I61" s="286">
        <f>data!P91</f>
        <v>2274</v>
      </c>
    </row>
    <row r="62" spans="1:11" ht="20.149999999999999" customHeight="1" x14ac:dyDescent="0.35">
      <c r="A62" s="278">
        <v>24</v>
      </c>
      <c r="B62" s="286" t="s">
        <v>986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3565</v>
      </c>
      <c r="I62" s="286">
        <f>data!P92</f>
        <v>2971</v>
      </c>
    </row>
    <row r="63" spans="1:11" ht="20.149999999999999" customHeight="1" x14ac:dyDescent="0.35">
      <c r="A63" s="278">
        <v>25</v>
      </c>
      <c r="B63" s="286" t="s">
        <v>987</v>
      </c>
      <c r="C63" s="286">
        <f>data!J93</f>
        <v>22887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45774</v>
      </c>
      <c r="I63" s="286">
        <f>data!P93</f>
        <v>58852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14.24</v>
      </c>
      <c r="I64" s="293">
        <f>data!P94</f>
        <v>30.57</v>
      </c>
    </row>
    <row r="65" spans="1:9" ht="20.149999999999999" customHeight="1" x14ac:dyDescent="0.35">
      <c r="A65" s="279" t="s">
        <v>969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991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Public Hospital District #1-A of Whitman County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971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992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975</v>
      </c>
      <c r="C72" s="288" t="s">
        <v>993</v>
      </c>
      <c r="D72" s="287" t="s">
        <v>994</v>
      </c>
      <c r="E72" s="298"/>
      <c r="F72" s="298"/>
      <c r="G72" s="287" t="s">
        <v>995</v>
      </c>
      <c r="H72" s="287" t="s">
        <v>995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109962</v>
      </c>
      <c r="D73" s="294">
        <f>data!R59</f>
        <v>194100</v>
      </c>
      <c r="E73" s="298"/>
      <c r="F73" s="298"/>
      <c r="G73" s="286">
        <f>data!U59</f>
        <v>126674</v>
      </c>
      <c r="H73" s="286">
        <f>data!V59</f>
        <v>4356</v>
      </c>
      <c r="I73" s="286">
        <f>data!W59</f>
        <v>2921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0</v>
      </c>
      <c r="D74" s="293">
        <f>data!R60</f>
        <v>0</v>
      </c>
      <c r="E74" s="293">
        <f>data!S60</f>
        <v>0</v>
      </c>
      <c r="F74" s="293">
        <f>data!T60</f>
        <v>0</v>
      </c>
      <c r="G74" s="293">
        <f>data!U60</f>
        <v>17.489999999999998</v>
      </c>
      <c r="H74" s="293">
        <f>data!V60</f>
        <v>0</v>
      </c>
      <c r="I74" s="293">
        <f>data!W60</f>
        <v>3.35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0</v>
      </c>
      <c r="D75" s="286">
        <f>data!R61</f>
        <v>0</v>
      </c>
      <c r="E75" s="286">
        <f>data!S61</f>
        <v>0</v>
      </c>
      <c r="F75" s="286">
        <f>data!T61</f>
        <v>0</v>
      </c>
      <c r="G75" s="286">
        <f>data!U61</f>
        <v>1203889</v>
      </c>
      <c r="H75" s="286">
        <f>data!V61</f>
        <v>0</v>
      </c>
      <c r="I75" s="286">
        <f>data!W61</f>
        <v>321680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0</v>
      </c>
      <c r="D76" s="286">
        <f>data!R62</f>
        <v>0</v>
      </c>
      <c r="E76" s="286">
        <f>data!S62</f>
        <v>0</v>
      </c>
      <c r="F76" s="286">
        <f>data!T62</f>
        <v>0</v>
      </c>
      <c r="G76" s="286">
        <f>data!U62</f>
        <v>315718</v>
      </c>
      <c r="H76" s="286">
        <f>data!V62</f>
        <v>0</v>
      </c>
      <c r="I76" s="286">
        <f>data!W62</f>
        <v>84360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1976211</v>
      </c>
      <c r="E77" s="286">
        <f>data!S63</f>
        <v>0</v>
      </c>
      <c r="F77" s="286">
        <f>data!T63</f>
        <v>0</v>
      </c>
      <c r="G77" s="286">
        <f>data!U63</f>
        <v>733713</v>
      </c>
      <c r="H77" s="286">
        <f>data!V63</f>
        <v>0</v>
      </c>
      <c r="I77" s="286">
        <f>data!W63</f>
        <v>71343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28541</v>
      </c>
      <c r="D78" s="286">
        <f>data!R64</f>
        <v>127798</v>
      </c>
      <c r="E78" s="286">
        <f>data!S64</f>
        <v>5371485</v>
      </c>
      <c r="F78" s="286">
        <f>data!T64</f>
        <v>0</v>
      </c>
      <c r="G78" s="286">
        <f>data!U64</f>
        <v>1070953</v>
      </c>
      <c r="H78" s="286">
        <f>data!V64</f>
        <v>0</v>
      </c>
      <c r="I78" s="286">
        <f>data!W64</f>
        <v>17795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960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1367</v>
      </c>
      <c r="D80" s="286">
        <f>data!R66</f>
        <v>1072</v>
      </c>
      <c r="E80" s="286">
        <f>data!S66</f>
        <v>0</v>
      </c>
      <c r="F80" s="286">
        <f>data!T66</f>
        <v>0</v>
      </c>
      <c r="G80" s="286">
        <f>data!U66</f>
        <v>216434</v>
      </c>
      <c r="H80" s="286">
        <f>data!V66</f>
        <v>26105</v>
      </c>
      <c r="I80" s="286">
        <f>data!W66</f>
        <v>168601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0</v>
      </c>
      <c r="D81" s="286">
        <f>data!R67</f>
        <v>0</v>
      </c>
      <c r="E81" s="286">
        <f>data!S67</f>
        <v>32422</v>
      </c>
      <c r="F81" s="286">
        <f>data!T67</f>
        <v>0</v>
      </c>
      <c r="G81" s="286">
        <f>data!U67</f>
        <v>48799</v>
      </c>
      <c r="H81" s="286">
        <f>data!V67</f>
        <v>9270</v>
      </c>
      <c r="I81" s="286">
        <f>data!W67</f>
        <v>15070</v>
      </c>
    </row>
    <row r="82" spans="1:9" ht="20.149999999999999" customHeight="1" x14ac:dyDescent="0.35">
      <c r="A82" s="278">
        <v>13</v>
      </c>
      <c r="B82" s="286" t="s">
        <v>976</v>
      </c>
      <c r="C82" s="286">
        <f>data!Q68</f>
        <v>0</v>
      </c>
      <c r="D82" s="286">
        <f>data!R68</f>
        <v>0</v>
      </c>
      <c r="E82" s="286">
        <f>data!S68</f>
        <v>74856</v>
      </c>
      <c r="F82" s="286">
        <f>data!T68</f>
        <v>0</v>
      </c>
      <c r="G82" s="286">
        <f>data!U68</f>
        <v>4555</v>
      </c>
      <c r="H82" s="286">
        <f>data!V68</f>
        <v>0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977</v>
      </c>
      <c r="C83" s="286">
        <f>data!Q69</f>
        <v>0</v>
      </c>
      <c r="D83" s="286">
        <f>data!R69</f>
        <v>0</v>
      </c>
      <c r="E83" s="286">
        <f>data!S69</f>
        <v>218769</v>
      </c>
      <c r="F83" s="286">
        <f>data!T69</f>
        <v>0</v>
      </c>
      <c r="G83" s="286">
        <f>data!U69</f>
        <v>13944</v>
      </c>
      <c r="H83" s="286">
        <f>data!V69</f>
        <v>0</v>
      </c>
      <c r="I83" s="286">
        <f>data!W69</f>
        <v>110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19661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978</v>
      </c>
      <c r="C85" s="286">
        <f>data!Q85</f>
        <v>29908</v>
      </c>
      <c r="D85" s="286">
        <f>data!R85</f>
        <v>2105081</v>
      </c>
      <c r="E85" s="286">
        <f>data!S85</f>
        <v>5677871</v>
      </c>
      <c r="F85" s="286">
        <f>data!T85</f>
        <v>0</v>
      </c>
      <c r="G85" s="286">
        <f>data!U85</f>
        <v>3608965</v>
      </c>
      <c r="H85" s="286">
        <f>data!V85</f>
        <v>35375</v>
      </c>
      <c r="I85" s="286">
        <f>data!W85</f>
        <v>678959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979</v>
      </c>
      <c r="C87" s="294">
        <f>+data!M682</f>
        <v>106045</v>
      </c>
      <c r="D87" s="294">
        <f>+data!M683</f>
        <v>542090</v>
      </c>
      <c r="E87" s="294">
        <f>+data!M684</f>
        <v>1520316</v>
      </c>
      <c r="F87" s="294">
        <f>+data!M685</f>
        <v>0</v>
      </c>
      <c r="G87" s="294">
        <f>+data!M686</f>
        <v>987414</v>
      </c>
      <c r="H87" s="294">
        <f>+data!M687</f>
        <v>23055</v>
      </c>
      <c r="I87" s="294">
        <f>+data!M688</f>
        <v>471412</v>
      </c>
    </row>
    <row r="88" spans="1:9" ht="20.149999999999999" customHeight="1" x14ac:dyDescent="0.35">
      <c r="A88" s="278">
        <v>19</v>
      </c>
      <c r="B88" s="294" t="s">
        <v>980</v>
      </c>
      <c r="C88" s="286">
        <f>data!Q87</f>
        <v>315208</v>
      </c>
      <c r="D88" s="286">
        <f>data!R87</f>
        <v>1711578</v>
      </c>
      <c r="E88" s="286">
        <f>data!S87</f>
        <v>4756054</v>
      </c>
      <c r="F88" s="286">
        <f>data!T87</f>
        <v>0</v>
      </c>
      <c r="G88" s="286">
        <f>data!U87</f>
        <v>1806902</v>
      </c>
      <c r="H88" s="286">
        <f>data!V87</f>
        <v>44152</v>
      </c>
      <c r="I88" s="286">
        <f>data!W87</f>
        <v>67070</v>
      </c>
    </row>
    <row r="89" spans="1:9" ht="20.149999999999999" customHeight="1" x14ac:dyDescent="0.35">
      <c r="A89" s="278">
        <v>20</v>
      </c>
      <c r="B89" s="294" t="s">
        <v>981</v>
      </c>
      <c r="C89" s="286">
        <f>data!Q88</f>
        <v>1535459</v>
      </c>
      <c r="D89" s="286">
        <f>data!R88</f>
        <v>6467895</v>
      </c>
      <c r="E89" s="286">
        <f>data!S88</f>
        <v>15926512</v>
      </c>
      <c r="F89" s="286">
        <f>data!T88</f>
        <v>0</v>
      </c>
      <c r="G89" s="286">
        <f>data!U88</f>
        <v>12032695</v>
      </c>
      <c r="H89" s="286">
        <f>data!V88</f>
        <v>686062</v>
      </c>
      <c r="I89" s="286">
        <f>data!W88</f>
        <v>8047393</v>
      </c>
    </row>
    <row r="90" spans="1:9" ht="20.149999999999999" customHeight="1" x14ac:dyDescent="0.35">
      <c r="A90" s="278">
        <v>21</v>
      </c>
      <c r="B90" s="294" t="s">
        <v>982</v>
      </c>
      <c r="C90" s="286">
        <f>data!Q89</f>
        <v>1850667</v>
      </c>
      <c r="D90" s="286">
        <f>data!R89</f>
        <v>8179473</v>
      </c>
      <c r="E90" s="286">
        <f>data!S89</f>
        <v>20682566</v>
      </c>
      <c r="F90" s="286">
        <f>data!T89</f>
        <v>0</v>
      </c>
      <c r="G90" s="286">
        <f>data!U89</f>
        <v>13839597</v>
      </c>
      <c r="H90" s="286">
        <f>data!V89</f>
        <v>730214</v>
      </c>
      <c r="I90" s="286">
        <f>data!W89</f>
        <v>8114463</v>
      </c>
    </row>
    <row r="91" spans="1:9" ht="20.149999999999999" customHeight="1" x14ac:dyDescent="0.35">
      <c r="A91" s="278" t="s">
        <v>983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984</v>
      </c>
      <c r="C92" s="286">
        <f>data!Q90</f>
        <v>0</v>
      </c>
      <c r="D92" s="286">
        <f>data!R90</f>
        <v>0</v>
      </c>
      <c r="E92" s="286">
        <f>data!S90</f>
        <v>1364</v>
      </c>
      <c r="F92" s="286">
        <f>data!T90</f>
        <v>0</v>
      </c>
      <c r="G92" s="286">
        <f>data!U90</f>
        <v>2053</v>
      </c>
      <c r="H92" s="286">
        <f>data!V90</f>
        <v>390</v>
      </c>
      <c r="I92" s="286">
        <f>data!W90</f>
        <v>634</v>
      </c>
    </row>
    <row r="93" spans="1:9" ht="20.149999999999999" customHeight="1" x14ac:dyDescent="0.35">
      <c r="A93" s="278">
        <v>23</v>
      </c>
      <c r="B93" s="286" t="s">
        <v>985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986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1188</v>
      </c>
      <c r="H94" s="286">
        <f>data!V92</f>
        <v>0</v>
      </c>
      <c r="I94" s="286">
        <f>data!W92</f>
        <v>149</v>
      </c>
    </row>
    <row r="95" spans="1:9" ht="20.149999999999999" customHeight="1" x14ac:dyDescent="0.35">
      <c r="A95" s="278">
        <v>25</v>
      </c>
      <c r="B95" s="286" t="s">
        <v>987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9809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969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996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Public Hospital District #1-A of Whitman County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971</v>
      </c>
      <c r="C102" s="292" t="s">
        <v>997</v>
      </c>
      <c r="D102" s="292" t="s">
        <v>998</v>
      </c>
      <c r="E102" s="292" t="s">
        <v>998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975</v>
      </c>
      <c r="C104" s="287" t="s">
        <v>236</v>
      </c>
      <c r="D104" s="288" t="s">
        <v>999</v>
      </c>
      <c r="E104" s="288" t="s">
        <v>999</v>
      </c>
      <c r="F104" s="288" t="s">
        <v>999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6130</v>
      </c>
      <c r="D105" s="286">
        <f>data!Y59</f>
        <v>25513</v>
      </c>
      <c r="E105" s="286">
        <f>data!Z59</f>
        <v>0</v>
      </c>
      <c r="F105" s="286">
        <f>data!AA59</f>
        <v>1306</v>
      </c>
      <c r="G105" s="298"/>
      <c r="H105" s="286">
        <f>data!AC59</f>
        <v>10271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0.91</v>
      </c>
      <c r="D106" s="293">
        <f>data!Y60</f>
        <v>22.09</v>
      </c>
      <c r="E106" s="293">
        <f>data!Z60</f>
        <v>0</v>
      </c>
      <c r="F106" s="293">
        <f>data!AA60</f>
        <v>2.06</v>
      </c>
      <c r="G106" s="293">
        <f>data!AB60</f>
        <v>6.22</v>
      </c>
      <c r="H106" s="293">
        <f>data!AC60</f>
        <v>10.490000000000002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105184</v>
      </c>
      <c r="D107" s="286">
        <f>data!Y61</f>
        <v>1724839</v>
      </c>
      <c r="E107" s="286">
        <f>data!Z61</f>
        <v>0</v>
      </c>
      <c r="F107" s="286">
        <f>data!AA61</f>
        <v>250975</v>
      </c>
      <c r="G107" s="286">
        <f>data!AB61</f>
        <v>787376</v>
      </c>
      <c r="H107" s="286">
        <f>data!AC61</f>
        <v>929103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27584</v>
      </c>
      <c r="D108" s="286">
        <f>data!Y62</f>
        <v>452337</v>
      </c>
      <c r="E108" s="286">
        <f>data!Z62</f>
        <v>0</v>
      </c>
      <c r="F108" s="286">
        <f>data!AA62</f>
        <v>65818</v>
      </c>
      <c r="G108" s="286">
        <f>data!AB62</f>
        <v>206488</v>
      </c>
      <c r="H108" s="286">
        <f>data!AC62</f>
        <v>243656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0</v>
      </c>
      <c r="D109" s="286">
        <f>data!Y63</f>
        <v>664434</v>
      </c>
      <c r="E109" s="286">
        <f>data!Z63</f>
        <v>0</v>
      </c>
      <c r="F109" s="286">
        <f>data!AA63</f>
        <v>284710</v>
      </c>
      <c r="G109" s="286">
        <f>data!AB63</f>
        <v>55446</v>
      </c>
      <c r="H109" s="286">
        <f>data!AC63</f>
        <v>20086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18846</v>
      </c>
      <c r="D110" s="286">
        <f>data!Y64</f>
        <v>137664</v>
      </c>
      <c r="E110" s="286">
        <f>data!Z64</f>
        <v>0</v>
      </c>
      <c r="F110" s="286">
        <f>data!AA64</f>
        <v>192847</v>
      </c>
      <c r="G110" s="286">
        <f>data!AB64</f>
        <v>3782870</v>
      </c>
      <c r="H110" s="286">
        <f>data!AC64</f>
        <v>49919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1200</v>
      </c>
      <c r="E111" s="286">
        <f>data!Z65</f>
        <v>0</v>
      </c>
      <c r="F111" s="286">
        <f>data!AA65</f>
        <v>0</v>
      </c>
      <c r="G111" s="286">
        <f>data!AB65</f>
        <v>42534</v>
      </c>
      <c r="H111" s="286">
        <f>data!AC65</f>
        <v>480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171249</v>
      </c>
      <c r="D112" s="286">
        <f>data!Y66</f>
        <v>359572</v>
      </c>
      <c r="E112" s="286">
        <f>data!Z66</f>
        <v>0</v>
      </c>
      <c r="F112" s="286">
        <f>data!AA66</f>
        <v>133108</v>
      </c>
      <c r="G112" s="286">
        <f>data!AB66</f>
        <v>28137</v>
      </c>
      <c r="H112" s="286">
        <f>data!AC66</f>
        <v>16249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12408</v>
      </c>
      <c r="D113" s="286">
        <f>data!Y67</f>
        <v>117280</v>
      </c>
      <c r="E113" s="286">
        <f>data!Z67</f>
        <v>0</v>
      </c>
      <c r="F113" s="286">
        <f>data!AA67</f>
        <v>8177</v>
      </c>
      <c r="G113" s="286">
        <f>data!AB67</f>
        <v>23294</v>
      </c>
      <c r="H113" s="286">
        <f>data!AC67</f>
        <v>30924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976</v>
      </c>
      <c r="C114" s="286">
        <f>data!X68</f>
        <v>0</v>
      </c>
      <c r="D114" s="286">
        <f>data!Y68</f>
        <v>30490</v>
      </c>
      <c r="E114" s="286">
        <f>data!Z68</f>
        <v>0</v>
      </c>
      <c r="F114" s="286">
        <f>data!AA68</f>
        <v>0</v>
      </c>
      <c r="G114" s="286">
        <f>data!AB68</f>
        <v>141265</v>
      </c>
      <c r="H114" s="286">
        <f>data!AC68</f>
        <v>1639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977</v>
      </c>
      <c r="C115" s="286">
        <f>data!X69</f>
        <v>0</v>
      </c>
      <c r="D115" s="286">
        <f>data!Y69</f>
        <v>11873</v>
      </c>
      <c r="E115" s="286">
        <f>data!Z69</f>
        <v>0</v>
      </c>
      <c r="F115" s="286">
        <f>data!AA69</f>
        <v>4563</v>
      </c>
      <c r="G115" s="286">
        <f>data!AB69</f>
        <v>4895</v>
      </c>
      <c r="H115" s="286">
        <f>data!AC69</f>
        <v>2018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-7721</v>
      </c>
      <c r="E116" s="286">
        <f>-data!Z84</f>
        <v>0</v>
      </c>
      <c r="F116" s="286">
        <f>-data!AA84</f>
        <v>0</v>
      </c>
      <c r="G116" s="286">
        <f>-data!AB84</f>
        <v>-6752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978</v>
      </c>
      <c r="C117" s="286">
        <f>data!X85</f>
        <v>335271</v>
      </c>
      <c r="D117" s="286">
        <f>data!Y85</f>
        <v>3491968</v>
      </c>
      <c r="E117" s="286">
        <f>data!Z85</f>
        <v>0</v>
      </c>
      <c r="F117" s="286">
        <f>data!AA85</f>
        <v>940198</v>
      </c>
      <c r="G117" s="286">
        <f>data!AB85</f>
        <v>5065553</v>
      </c>
      <c r="H117" s="286">
        <f>data!AC85</f>
        <v>1294074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979</v>
      </c>
      <c r="C119" s="294">
        <f>+data!M689</f>
        <v>711464</v>
      </c>
      <c r="D119" s="294">
        <f>+data!M690</f>
        <v>864592</v>
      </c>
      <c r="E119" s="294">
        <f>+data!M691</f>
        <v>0</v>
      </c>
      <c r="F119" s="294">
        <f>+data!M692</f>
        <v>261219</v>
      </c>
      <c r="G119" s="294">
        <f>+data!M693</f>
        <v>1400130</v>
      </c>
      <c r="H119" s="294">
        <f>+data!M694</f>
        <v>266186</v>
      </c>
      <c r="I119" s="294">
        <f>+data!M695</f>
        <v>0</v>
      </c>
    </row>
    <row r="120" spans="1:9" ht="20.149999999999999" customHeight="1" x14ac:dyDescent="0.35">
      <c r="A120" s="278">
        <v>19</v>
      </c>
      <c r="B120" s="294" t="s">
        <v>980</v>
      </c>
      <c r="C120" s="286">
        <f>data!X87</f>
        <v>252126</v>
      </c>
      <c r="D120" s="286">
        <f>data!Y87</f>
        <v>626984</v>
      </c>
      <c r="E120" s="286">
        <f>data!Z87</f>
        <v>0</v>
      </c>
      <c r="F120" s="286">
        <f>data!AA87</f>
        <v>80238</v>
      </c>
      <c r="G120" s="286">
        <f>data!AB87</f>
        <v>3003981</v>
      </c>
      <c r="H120" s="286">
        <f>data!AC87</f>
        <v>1180134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981</v>
      </c>
      <c r="C121" s="286">
        <f>data!X88</f>
        <v>12484945</v>
      </c>
      <c r="D121" s="286">
        <f>data!Y88</f>
        <v>12740449</v>
      </c>
      <c r="E121" s="286">
        <f>data!Z88</f>
        <v>0</v>
      </c>
      <c r="F121" s="286">
        <f>data!AA88</f>
        <v>3845697</v>
      </c>
      <c r="G121" s="286">
        <f>data!AB88</f>
        <v>16017220</v>
      </c>
      <c r="H121" s="286">
        <f>data!AC88</f>
        <v>2435472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982</v>
      </c>
      <c r="C122" s="286">
        <f>data!X89</f>
        <v>12737071</v>
      </c>
      <c r="D122" s="286">
        <f>data!Y89</f>
        <v>13367433</v>
      </c>
      <c r="E122" s="286">
        <f>data!Z89</f>
        <v>0</v>
      </c>
      <c r="F122" s="286">
        <f>data!AA89</f>
        <v>3925935</v>
      </c>
      <c r="G122" s="286">
        <f>data!AB89</f>
        <v>19021201</v>
      </c>
      <c r="H122" s="286">
        <f>data!AC89</f>
        <v>3615606</v>
      </c>
      <c r="I122" s="286">
        <f>data!AD89</f>
        <v>0</v>
      </c>
    </row>
    <row r="123" spans="1:9" ht="20.149999999999999" customHeight="1" x14ac:dyDescent="0.35">
      <c r="A123" s="278" t="s">
        <v>983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984</v>
      </c>
      <c r="C124" s="286">
        <f>data!X90</f>
        <v>522</v>
      </c>
      <c r="D124" s="286">
        <f>data!Y90</f>
        <v>4934</v>
      </c>
      <c r="E124" s="286">
        <f>data!Z90</f>
        <v>0</v>
      </c>
      <c r="F124" s="286">
        <f>data!AA90</f>
        <v>344</v>
      </c>
      <c r="G124" s="286">
        <f>data!AB90</f>
        <v>980</v>
      </c>
      <c r="H124" s="286">
        <f>data!AC90</f>
        <v>1301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985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986</v>
      </c>
      <c r="C126" s="286">
        <f>data!X92</f>
        <v>149</v>
      </c>
      <c r="D126" s="286">
        <f>data!Y92</f>
        <v>2971</v>
      </c>
      <c r="E126" s="286">
        <f>data!Z92</f>
        <v>0</v>
      </c>
      <c r="F126" s="286">
        <f>data!AA92</f>
        <v>148</v>
      </c>
      <c r="G126" s="286">
        <f>data!AB92</f>
        <v>297</v>
      </c>
      <c r="H126" s="286">
        <f>data!AC92</f>
        <v>742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987</v>
      </c>
      <c r="C127" s="286">
        <f>data!X93</f>
        <v>0</v>
      </c>
      <c r="D127" s="286">
        <f>data!Y93</f>
        <v>13078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49999999999999" customHeight="1" x14ac:dyDescent="0.35">
      <c r="A129" s="279" t="s">
        <v>969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1000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Public Hospital District #1-A of Whitman County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971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1001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975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1002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37279</v>
      </c>
      <c r="D137" s="286">
        <f>data!AF59</f>
        <v>0</v>
      </c>
      <c r="E137" s="286">
        <f>data!AG59</f>
        <v>14577</v>
      </c>
      <c r="F137" s="286">
        <f>data!AH59</f>
        <v>0</v>
      </c>
      <c r="G137" s="286">
        <f>data!AI59</f>
        <v>0</v>
      </c>
      <c r="H137" s="286">
        <f>data!AJ59</f>
        <v>397</v>
      </c>
      <c r="I137" s="286">
        <f>data!AK59</f>
        <v>0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43.820000000000007</v>
      </c>
      <c r="D138" s="293">
        <f>data!AF60</f>
        <v>0</v>
      </c>
      <c r="E138" s="293">
        <f>data!AG60</f>
        <v>32.74</v>
      </c>
      <c r="F138" s="293">
        <f>data!AH60</f>
        <v>0</v>
      </c>
      <c r="G138" s="293">
        <f>data!AI60</f>
        <v>0</v>
      </c>
      <c r="H138" s="293">
        <f>data!AJ60</f>
        <v>1.26</v>
      </c>
      <c r="I138" s="293">
        <f>data!AK60</f>
        <v>0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3509499</v>
      </c>
      <c r="D139" s="286">
        <f>data!AF61</f>
        <v>0</v>
      </c>
      <c r="E139" s="286">
        <f>data!AG61</f>
        <v>5862836</v>
      </c>
      <c r="F139" s="286">
        <f>data!AH61</f>
        <v>0</v>
      </c>
      <c r="G139" s="286">
        <f>data!AI61</f>
        <v>0</v>
      </c>
      <c r="H139" s="286">
        <f>data!AJ61</f>
        <v>105163</v>
      </c>
      <c r="I139" s="286">
        <f>data!AK61</f>
        <v>0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920361</v>
      </c>
      <c r="D140" s="286">
        <f>data!AF62</f>
        <v>0</v>
      </c>
      <c r="E140" s="286">
        <f>data!AG62</f>
        <v>1537521</v>
      </c>
      <c r="F140" s="286">
        <f>data!AH62</f>
        <v>0</v>
      </c>
      <c r="G140" s="286">
        <f>data!AI62</f>
        <v>0</v>
      </c>
      <c r="H140" s="286">
        <f>data!AJ62</f>
        <v>27579</v>
      </c>
      <c r="I140" s="286">
        <f>data!AK62</f>
        <v>0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26196</v>
      </c>
      <c r="D141" s="286">
        <f>data!AF63</f>
        <v>0</v>
      </c>
      <c r="E141" s="286">
        <f>data!AG63</f>
        <v>110463</v>
      </c>
      <c r="F141" s="286">
        <f>data!AH63</f>
        <v>0</v>
      </c>
      <c r="G141" s="286">
        <f>data!AI63</f>
        <v>0</v>
      </c>
      <c r="H141" s="286">
        <f>data!AJ63</f>
        <v>0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99824</v>
      </c>
      <c r="D142" s="286">
        <f>data!AF64</f>
        <v>0</v>
      </c>
      <c r="E142" s="286">
        <f>data!AG64</f>
        <v>224717</v>
      </c>
      <c r="F142" s="286">
        <f>data!AH64</f>
        <v>0</v>
      </c>
      <c r="G142" s="286">
        <f>data!AI64</f>
        <v>0</v>
      </c>
      <c r="H142" s="286">
        <f>data!AJ64</f>
        <v>36897</v>
      </c>
      <c r="I142" s="286">
        <f>data!AK64</f>
        <v>0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35579</v>
      </c>
      <c r="D143" s="286">
        <f>data!AF65</f>
        <v>0</v>
      </c>
      <c r="E143" s="286">
        <f>data!AG65</f>
        <v>1710</v>
      </c>
      <c r="F143" s="286">
        <f>data!AH65</f>
        <v>0</v>
      </c>
      <c r="G143" s="286">
        <f>data!AI65</f>
        <v>0</v>
      </c>
      <c r="H143" s="286">
        <f>data!AJ65</f>
        <v>79</v>
      </c>
      <c r="I143" s="286">
        <f>data!AK65</f>
        <v>0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72181</v>
      </c>
      <c r="D144" s="286">
        <f>data!AF66</f>
        <v>0</v>
      </c>
      <c r="E144" s="286">
        <f>data!AG66</f>
        <v>60415</v>
      </c>
      <c r="F144" s="286">
        <f>data!AH66</f>
        <v>123435</v>
      </c>
      <c r="G144" s="286">
        <f>data!AI66</f>
        <v>0</v>
      </c>
      <c r="H144" s="286">
        <f>data!AJ66</f>
        <v>11922</v>
      </c>
      <c r="I144" s="286">
        <f>data!AK66</f>
        <v>0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332966</v>
      </c>
      <c r="D145" s="286">
        <f>data!AF67</f>
        <v>0</v>
      </c>
      <c r="E145" s="286">
        <f>data!AG67</f>
        <v>142167</v>
      </c>
      <c r="F145" s="286">
        <f>data!AH67</f>
        <v>0</v>
      </c>
      <c r="G145" s="286">
        <f>data!AI67</f>
        <v>0</v>
      </c>
      <c r="H145" s="286">
        <f>data!AJ67</f>
        <v>0</v>
      </c>
      <c r="I145" s="286">
        <f>data!AK67</f>
        <v>0</v>
      </c>
    </row>
    <row r="146" spans="1:9" ht="20.149999999999999" customHeight="1" x14ac:dyDescent="0.35">
      <c r="A146" s="278">
        <v>13</v>
      </c>
      <c r="B146" s="286" t="s">
        <v>976</v>
      </c>
      <c r="C146" s="286">
        <f>data!AE68</f>
        <v>53250</v>
      </c>
      <c r="D146" s="286">
        <f>data!AF68</f>
        <v>0</v>
      </c>
      <c r="E146" s="286">
        <f>data!AG68</f>
        <v>27219</v>
      </c>
      <c r="F146" s="286">
        <f>data!AH68</f>
        <v>0</v>
      </c>
      <c r="G146" s="286">
        <f>data!AI68</f>
        <v>0</v>
      </c>
      <c r="H146" s="286">
        <f>data!AJ68</f>
        <v>1340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977</v>
      </c>
      <c r="C147" s="286">
        <f>data!AE69</f>
        <v>52612</v>
      </c>
      <c r="D147" s="286">
        <f>data!AF69</f>
        <v>0</v>
      </c>
      <c r="E147" s="286">
        <f>data!AG69</f>
        <v>49977</v>
      </c>
      <c r="F147" s="286">
        <f>data!AH69</f>
        <v>0</v>
      </c>
      <c r="G147" s="286">
        <f>data!AI69</f>
        <v>0</v>
      </c>
      <c r="H147" s="286">
        <f>data!AJ69</f>
        <v>725</v>
      </c>
      <c r="I147" s="286">
        <f>data!AK69</f>
        <v>0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-59535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-81185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978</v>
      </c>
      <c r="C149" s="286">
        <f>data!AE85</f>
        <v>5042933</v>
      </c>
      <c r="D149" s="286">
        <f>data!AF85</f>
        <v>0</v>
      </c>
      <c r="E149" s="286">
        <f>data!AG85</f>
        <v>8017025</v>
      </c>
      <c r="F149" s="286">
        <f>data!AH85</f>
        <v>123435</v>
      </c>
      <c r="G149" s="286">
        <f>data!AI85</f>
        <v>0</v>
      </c>
      <c r="H149" s="286">
        <f>data!AJ85</f>
        <v>102520</v>
      </c>
      <c r="I149" s="286">
        <f>data!AK85</f>
        <v>0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979</v>
      </c>
      <c r="C151" s="294">
        <f>+data!M696</f>
        <v>170823</v>
      </c>
      <c r="D151" s="294">
        <f>+data!M697</f>
        <v>0</v>
      </c>
      <c r="E151" s="294">
        <f>+data!M698</f>
        <v>1713090</v>
      </c>
      <c r="F151" s="294">
        <f>+data!M699</f>
        <v>4588</v>
      </c>
      <c r="G151" s="294">
        <f>+data!M700</f>
        <v>0</v>
      </c>
      <c r="H151" s="294">
        <f>+data!M701</f>
        <v>26009</v>
      </c>
      <c r="I151" s="294">
        <f>+data!M702</f>
        <v>0</v>
      </c>
    </row>
    <row r="152" spans="1:9" ht="20.149999999999999" customHeight="1" x14ac:dyDescent="0.35">
      <c r="A152" s="278">
        <v>19</v>
      </c>
      <c r="B152" s="294" t="s">
        <v>980</v>
      </c>
      <c r="C152" s="286">
        <f>data!AE87</f>
        <v>381359</v>
      </c>
      <c r="D152" s="286">
        <f>data!AF87</f>
        <v>0</v>
      </c>
      <c r="E152" s="286">
        <f>data!AG87</f>
        <v>256266</v>
      </c>
      <c r="F152" s="286">
        <f>data!AH87</f>
        <v>0</v>
      </c>
      <c r="G152" s="286">
        <f>data!AI87</f>
        <v>0</v>
      </c>
      <c r="H152" s="286">
        <f>data!AJ87</f>
        <v>0</v>
      </c>
      <c r="I152" s="286">
        <f>data!AK87</f>
        <v>0</v>
      </c>
    </row>
    <row r="153" spans="1:9" ht="20.149999999999999" customHeight="1" x14ac:dyDescent="0.35">
      <c r="A153" s="278">
        <v>20</v>
      </c>
      <c r="B153" s="294" t="s">
        <v>981</v>
      </c>
      <c r="C153" s="286">
        <f>data!AE88</f>
        <v>5882574</v>
      </c>
      <c r="D153" s="286">
        <f>data!AF88</f>
        <v>0</v>
      </c>
      <c r="E153" s="286">
        <f>data!AG88</f>
        <v>18649970</v>
      </c>
      <c r="F153" s="286">
        <f>data!AH88</f>
        <v>0</v>
      </c>
      <c r="G153" s="286">
        <f>data!AI88</f>
        <v>0</v>
      </c>
      <c r="H153" s="286">
        <f>data!AJ88</f>
        <v>166175</v>
      </c>
      <c r="I153" s="286">
        <f>data!AK88</f>
        <v>0</v>
      </c>
    </row>
    <row r="154" spans="1:9" ht="20.149999999999999" customHeight="1" x14ac:dyDescent="0.35">
      <c r="A154" s="278">
        <v>21</v>
      </c>
      <c r="B154" s="294" t="s">
        <v>982</v>
      </c>
      <c r="C154" s="286">
        <f>data!AE89</f>
        <v>6263933</v>
      </c>
      <c r="D154" s="286">
        <f>data!AF89</f>
        <v>0</v>
      </c>
      <c r="E154" s="286">
        <f>data!AG89</f>
        <v>18906236</v>
      </c>
      <c r="F154" s="286">
        <f>data!AH89</f>
        <v>0</v>
      </c>
      <c r="G154" s="286">
        <f>data!AI89</f>
        <v>0</v>
      </c>
      <c r="H154" s="286">
        <f>data!AJ89</f>
        <v>166175</v>
      </c>
      <c r="I154" s="286">
        <f>data!AK89</f>
        <v>0</v>
      </c>
    </row>
    <row r="155" spans="1:9" ht="20.149999999999999" customHeight="1" x14ac:dyDescent="0.35">
      <c r="A155" s="278" t="s">
        <v>983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984</v>
      </c>
      <c r="C156" s="286">
        <f>data!AE90</f>
        <v>14008</v>
      </c>
      <c r="D156" s="286">
        <f>data!AF90</f>
        <v>0</v>
      </c>
      <c r="E156" s="286">
        <f>data!AG90</f>
        <v>5981</v>
      </c>
      <c r="F156" s="286">
        <f>data!AH90</f>
        <v>0</v>
      </c>
      <c r="G156" s="286">
        <f>data!AI90</f>
        <v>0</v>
      </c>
      <c r="H156" s="286">
        <f>data!AJ90</f>
        <v>0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985</v>
      </c>
      <c r="C157" s="286">
        <f>data!AE91</f>
        <v>0</v>
      </c>
      <c r="D157" s="286">
        <f>data!AF91</f>
        <v>0</v>
      </c>
      <c r="E157" s="286">
        <f>data!AG91</f>
        <v>1774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986</v>
      </c>
      <c r="C158" s="286">
        <f>data!AE92</f>
        <v>2079.5300000000002</v>
      </c>
      <c r="D158" s="286">
        <f>data!AF92</f>
        <v>0</v>
      </c>
      <c r="E158" s="286">
        <f>data!AG92</f>
        <v>2377</v>
      </c>
      <c r="F158" s="286">
        <f>data!AH92</f>
        <v>0</v>
      </c>
      <c r="G158" s="286">
        <f>data!AI92</f>
        <v>0</v>
      </c>
      <c r="H158" s="286">
        <f>data!AJ92</f>
        <v>149</v>
      </c>
      <c r="I158" s="286">
        <f>data!AK92</f>
        <v>0</v>
      </c>
    </row>
    <row r="159" spans="1:9" ht="20.149999999999999" customHeight="1" x14ac:dyDescent="0.35">
      <c r="A159" s="278">
        <v>25</v>
      </c>
      <c r="B159" s="286" t="s">
        <v>987</v>
      </c>
      <c r="C159" s="286">
        <f>data!AE93</f>
        <v>38393</v>
      </c>
      <c r="D159" s="286">
        <f>data!AF93</f>
        <v>0</v>
      </c>
      <c r="E159" s="286">
        <f>data!AG93</f>
        <v>58852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15.2</v>
      </c>
      <c r="F160" s="293">
        <f>data!AH94</f>
        <v>0</v>
      </c>
      <c r="G160" s="293">
        <f>data!AI94</f>
        <v>0</v>
      </c>
      <c r="H160" s="293">
        <f>data!AJ94</f>
        <v>0</v>
      </c>
      <c r="I160" s="293">
        <f>data!AK94</f>
        <v>0</v>
      </c>
    </row>
    <row r="161" spans="1:9" ht="20.149999999999999" customHeight="1" x14ac:dyDescent="0.35">
      <c r="A161" s="279" t="s">
        <v>969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1003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Public Hospital District #1-A of Whitman County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971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1004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1005</v>
      </c>
      <c r="F167" s="292" t="s">
        <v>194</v>
      </c>
      <c r="G167" s="292" t="s">
        <v>133</v>
      </c>
      <c r="H167" s="291" t="s">
        <v>1006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975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0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0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0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62514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976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977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978</v>
      </c>
      <c r="C181" s="286">
        <f>data!AL85</f>
        <v>0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62514</v>
      </c>
      <c r="H181" s="286">
        <f>data!AQ85</f>
        <v>0</v>
      </c>
      <c r="I181" s="286">
        <f>data!AR85</f>
        <v>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979</v>
      </c>
      <c r="C183" s="294">
        <f>+data!M703</f>
        <v>0</v>
      </c>
      <c r="D183" s="294">
        <f>+data!M704</f>
        <v>0</v>
      </c>
      <c r="E183" s="294">
        <f>+data!M705</f>
        <v>0</v>
      </c>
      <c r="F183" s="294">
        <f>+data!M706</f>
        <v>0</v>
      </c>
      <c r="G183" s="294">
        <f>+data!M707</f>
        <v>-127218</v>
      </c>
      <c r="H183" s="294">
        <f>+data!M708</f>
        <v>0</v>
      </c>
      <c r="I183" s="294">
        <f>+data!M709</f>
        <v>0</v>
      </c>
    </row>
    <row r="184" spans="1:9" ht="20.149999999999999" customHeight="1" x14ac:dyDescent="0.35">
      <c r="A184" s="278">
        <v>19</v>
      </c>
      <c r="B184" s="294" t="s">
        <v>980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981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49999999999999" customHeight="1" x14ac:dyDescent="0.35">
      <c r="A186" s="278">
        <v>21</v>
      </c>
      <c r="B186" s="294" t="s">
        <v>982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49999999999999" customHeight="1" x14ac:dyDescent="0.35">
      <c r="A187" s="278" t="s">
        <v>983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984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2630</v>
      </c>
      <c r="H188" s="286">
        <f>data!AQ90</f>
        <v>0</v>
      </c>
      <c r="I188" s="286">
        <f>data!AR90</f>
        <v>0</v>
      </c>
    </row>
    <row r="189" spans="1:9" ht="20.149999999999999" customHeight="1" x14ac:dyDescent="0.35">
      <c r="A189" s="278">
        <v>23</v>
      </c>
      <c r="B189" s="286" t="s">
        <v>985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986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987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49999999999999" customHeight="1" x14ac:dyDescent="0.35">
      <c r="A193" s="279" t="s">
        <v>969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1007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Public Hospital District #1-A of Whitman County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971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1008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1009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975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18015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2.0499999999999998</v>
      </c>
      <c r="G202" s="293">
        <f>data!AW60</f>
        <v>0</v>
      </c>
      <c r="H202" s="293">
        <f>data!AX60</f>
        <v>0</v>
      </c>
      <c r="I202" s="293">
        <f>data!AY60</f>
        <v>15.56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185801</v>
      </c>
      <c r="G203" s="286">
        <f>data!AW61</f>
        <v>0</v>
      </c>
      <c r="H203" s="286">
        <f>data!AX61</f>
        <v>0</v>
      </c>
      <c r="I203" s="286">
        <f>data!AY61</f>
        <v>527355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48726</v>
      </c>
      <c r="G204" s="286">
        <f>data!AW62</f>
        <v>0</v>
      </c>
      <c r="H204" s="286">
        <f>data!AX62</f>
        <v>0</v>
      </c>
      <c r="I204" s="286">
        <f>data!AY62</f>
        <v>138298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4208</v>
      </c>
      <c r="G205" s="286">
        <f>data!AW63</f>
        <v>0</v>
      </c>
      <c r="H205" s="286">
        <f>data!AX63</f>
        <v>0</v>
      </c>
      <c r="I205" s="286">
        <f>data!AY63</f>
        <v>259517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7392</v>
      </c>
      <c r="G206" s="286">
        <f>data!AW64</f>
        <v>0</v>
      </c>
      <c r="H206" s="286">
        <f>data!AX64</f>
        <v>0</v>
      </c>
      <c r="I206" s="286">
        <f>data!AY64</f>
        <v>465560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112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1890</v>
      </c>
      <c r="G208" s="286">
        <f>data!AW66</f>
        <v>0</v>
      </c>
      <c r="H208" s="286">
        <f>data!AX66</f>
        <v>0</v>
      </c>
      <c r="I208" s="286">
        <f>data!AY66</f>
        <v>18553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11314</v>
      </c>
      <c r="G209" s="286">
        <f>data!AW67</f>
        <v>0</v>
      </c>
      <c r="H209" s="286">
        <f>data!AX67</f>
        <v>0</v>
      </c>
      <c r="I209" s="286">
        <f>data!AY67</f>
        <v>108295</v>
      </c>
    </row>
    <row r="210" spans="1:9" ht="20.149999999999999" customHeight="1" x14ac:dyDescent="0.35">
      <c r="A210" s="278">
        <v>13</v>
      </c>
      <c r="B210" s="286" t="s">
        <v>976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12474</v>
      </c>
    </row>
    <row r="211" spans="1:9" ht="20.149999999999999" customHeight="1" x14ac:dyDescent="0.35">
      <c r="A211" s="278">
        <v>14</v>
      </c>
      <c r="B211" s="286" t="s">
        <v>977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71647</v>
      </c>
      <c r="G211" s="286">
        <f>data!AW69</f>
        <v>0</v>
      </c>
      <c r="H211" s="286">
        <f>data!AX69</f>
        <v>0</v>
      </c>
      <c r="I211" s="286">
        <f>data!AY69</f>
        <v>662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-10520</v>
      </c>
      <c r="G212" s="286">
        <f>-data!AW84</f>
        <v>0</v>
      </c>
      <c r="H212" s="286">
        <f>-data!AX84</f>
        <v>0</v>
      </c>
      <c r="I212" s="286">
        <f>-data!AY84</f>
        <v>-345124</v>
      </c>
    </row>
    <row r="213" spans="1:9" ht="20.149999999999999" customHeight="1" x14ac:dyDescent="0.35">
      <c r="A213" s="278">
        <v>16</v>
      </c>
      <c r="B213" s="294" t="s">
        <v>978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320458</v>
      </c>
      <c r="G213" s="286">
        <f>data!AW85</f>
        <v>0</v>
      </c>
      <c r="H213" s="286">
        <f>data!AX85</f>
        <v>0</v>
      </c>
      <c r="I213" s="286">
        <f>data!AY85</f>
        <v>1185702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979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4029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980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981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982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983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984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476</v>
      </c>
      <c r="G220" s="286">
        <f>data!AW90</f>
        <v>0</v>
      </c>
      <c r="H220" s="286">
        <f>data!AX90</f>
        <v>0</v>
      </c>
      <c r="I220" s="286">
        <f>data!AY90</f>
        <v>4556</v>
      </c>
    </row>
    <row r="221" spans="1:9" ht="20.149999999999999" customHeight="1" x14ac:dyDescent="0.35">
      <c r="A221" s="278">
        <v>23</v>
      </c>
      <c r="B221" s="286" t="s">
        <v>985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986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149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987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969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1010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Public Hospital District #1-A of Whitman County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971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1011</v>
      </c>
      <c r="F231" s="292" t="s">
        <v>1012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975</v>
      </c>
      <c r="C232" s="288" t="s">
        <v>1013</v>
      </c>
      <c r="D232" s="288" t="s">
        <v>1014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55697</v>
      </c>
      <c r="D233" s="286">
        <f>data!BA59</f>
        <v>0</v>
      </c>
      <c r="E233" s="298"/>
      <c r="F233" s="298"/>
      <c r="G233" s="298"/>
      <c r="H233" s="286">
        <f>data!BE59</f>
        <v>127457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</v>
      </c>
      <c r="D234" s="293">
        <f>data!BA60</f>
        <v>0.97</v>
      </c>
      <c r="E234" s="293">
        <f>data!BB60</f>
        <v>5.75</v>
      </c>
      <c r="F234" s="293">
        <f>data!BC60</f>
        <v>0</v>
      </c>
      <c r="G234" s="293">
        <f>data!BD60</f>
        <v>6.24</v>
      </c>
      <c r="H234" s="293">
        <f>data!BE60</f>
        <v>7.87</v>
      </c>
      <c r="I234" s="293">
        <f>data!BF60</f>
        <v>12.64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0</v>
      </c>
      <c r="D235" s="286">
        <f>data!BA61</f>
        <v>42843</v>
      </c>
      <c r="E235" s="286">
        <f>data!BB61</f>
        <v>495888</v>
      </c>
      <c r="F235" s="286">
        <f>data!BC61</f>
        <v>0</v>
      </c>
      <c r="G235" s="286">
        <f>data!BD61</f>
        <v>457896</v>
      </c>
      <c r="H235" s="286">
        <f>data!BE61</f>
        <v>622201</v>
      </c>
      <c r="I235" s="286">
        <f>data!BF61</f>
        <v>592453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11236</v>
      </c>
      <c r="E236" s="286">
        <f>data!BB62</f>
        <v>130046</v>
      </c>
      <c r="F236" s="286">
        <f>data!BC62</f>
        <v>0</v>
      </c>
      <c r="G236" s="286">
        <f>data!BD62</f>
        <v>120083</v>
      </c>
      <c r="H236" s="286">
        <f>data!BE62</f>
        <v>163171</v>
      </c>
      <c r="I236" s="286">
        <f>data!BF62</f>
        <v>155370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15697</v>
      </c>
      <c r="F237" s="286">
        <f>data!BC63</f>
        <v>0</v>
      </c>
      <c r="G237" s="286">
        <f>data!BD63</f>
        <v>0</v>
      </c>
      <c r="H237" s="286">
        <f>data!BE63</f>
        <v>63657</v>
      </c>
      <c r="I237" s="286">
        <f>data!BF63</f>
        <v>4928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0</v>
      </c>
      <c r="D238" s="286">
        <f>data!BA64</f>
        <v>8</v>
      </c>
      <c r="E238" s="286">
        <f>data!BB64</f>
        <v>1094</v>
      </c>
      <c r="F238" s="286">
        <f>data!BC64</f>
        <v>0</v>
      </c>
      <c r="G238" s="286">
        <f>data!BD64</f>
        <v>19421</v>
      </c>
      <c r="H238" s="286">
        <f>data!BE64</f>
        <v>12678</v>
      </c>
      <c r="I238" s="286">
        <f>data!BF64</f>
        <v>65836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3537</v>
      </c>
      <c r="F239" s="286">
        <f>data!BC65</f>
        <v>0</v>
      </c>
      <c r="G239" s="286">
        <f>data!BD65</f>
        <v>1497</v>
      </c>
      <c r="H239" s="286">
        <f>data!BE65</f>
        <v>554300</v>
      </c>
      <c r="I239" s="286">
        <f>data!BF65</f>
        <v>53594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221233</v>
      </c>
      <c r="E240" s="286">
        <f>data!BB66</f>
        <v>17174</v>
      </c>
      <c r="F240" s="286">
        <f>data!BC66</f>
        <v>0</v>
      </c>
      <c r="G240" s="286">
        <f>data!BD66</f>
        <v>4059</v>
      </c>
      <c r="H240" s="286">
        <f>data!BE66</f>
        <v>210813</v>
      </c>
      <c r="I240" s="286">
        <f>data!BF66</f>
        <v>11150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0</v>
      </c>
      <c r="D241" s="286">
        <f>data!BA67</f>
        <v>30663</v>
      </c>
      <c r="E241" s="286">
        <f>data!BB67</f>
        <v>10031</v>
      </c>
      <c r="F241" s="286">
        <f>data!BC67</f>
        <v>0</v>
      </c>
      <c r="G241" s="286">
        <f>data!BD67</f>
        <v>67815</v>
      </c>
      <c r="H241" s="286">
        <f>data!BE67</f>
        <v>259042</v>
      </c>
      <c r="I241" s="286">
        <f>data!BF67</f>
        <v>105680</v>
      </c>
    </row>
    <row r="242" spans="1:9" ht="20.149999999999999" customHeight="1" x14ac:dyDescent="0.35">
      <c r="A242" s="278">
        <v>13</v>
      </c>
      <c r="B242" s="286" t="s">
        <v>976</v>
      </c>
      <c r="C242" s="286">
        <f>data!AZ68</f>
        <v>0</v>
      </c>
      <c r="D242" s="286">
        <f>data!BA68</f>
        <v>0</v>
      </c>
      <c r="E242" s="286">
        <f>data!BB68</f>
        <v>2270</v>
      </c>
      <c r="F242" s="286">
        <f>data!BC68</f>
        <v>0</v>
      </c>
      <c r="G242" s="286">
        <f>data!BD68</f>
        <v>7166</v>
      </c>
      <c r="H242" s="286">
        <f>data!BE68</f>
        <v>7443</v>
      </c>
      <c r="I242" s="286">
        <f>data!BF68</f>
        <v>103</v>
      </c>
    </row>
    <row r="243" spans="1:9" ht="20.149999999999999" customHeight="1" x14ac:dyDescent="0.35">
      <c r="A243" s="278">
        <v>14</v>
      </c>
      <c r="B243" s="286" t="s">
        <v>977</v>
      </c>
      <c r="C243" s="286">
        <f>data!AZ69</f>
        <v>0</v>
      </c>
      <c r="D243" s="286">
        <f>data!BA69</f>
        <v>0</v>
      </c>
      <c r="E243" s="286">
        <f>data!BB69</f>
        <v>8622</v>
      </c>
      <c r="F243" s="286">
        <f>data!BC69</f>
        <v>0</v>
      </c>
      <c r="G243" s="286">
        <f>data!BD69</f>
        <v>5002</v>
      </c>
      <c r="H243" s="286">
        <f>data!BE69</f>
        <v>1709</v>
      </c>
      <c r="I243" s="286">
        <f>data!BF69</f>
        <v>1741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978</v>
      </c>
      <c r="C245" s="286">
        <f>data!AZ85</f>
        <v>0</v>
      </c>
      <c r="D245" s="286">
        <f>data!BA85</f>
        <v>305983</v>
      </c>
      <c r="E245" s="286">
        <f>data!BB85</f>
        <v>684359</v>
      </c>
      <c r="F245" s="286">
        <f>data!BC85</f>
        <v>0</v>
      </c>
      <c r="G245" s="286">
        <f>data!BD85</f>
        <v>682939</v>
      </c>
      <c r="H245" s="286">
        <f>data!BE85</f>
        <v>1895014</v>
      </c>
      <c r="I245" s="286">
        <f>data!BF85</f>
        <v>990855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979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980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981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982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983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984</v>
      </c>
      <c r="C252" s="302">
        <f>data!AZ90</f>
        <v>0</v>
      </c>
      <c r="D252" s="302">
        <f>data!BA90</f>
        <v>1290</v>
      </c>
      <c r="E252" s="302">
        <f>data!BB90</f>
        <v>422</v>
      </c>
      <c r="F252" s="302">
        <f>data!BC90</f>
        <v>0</v>
      </c>
      <c r="G252" s="302">
        <f>data!BD90</f>
        <v>2853</v>
      </c>
      <c r="H252" s="302">
        <f>data!BE90</f>
        <v>10898</v>
      </c>
      <c r="I252" s="302">
        <f>data!BF90</f>
        <v>4446</v>
      </c>
    </row>
    <row r="253" spans="1:9" ht="20.149999999999999" customHeight="1" x14ac:dyDescent="0.35">
      <c r="A253" s="278">
        <v>23</v>
      </c>
      <c r="B253" s="286" t="s">
        <v>985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986</v>
      </c>
      <c r="C254" s="301" t="str">
        <f>IF(data!AZ78&gt;0,data!AZ78,"")</f>
        <v/>
      </c>
      <c r="D254" s="302">
        <f>data!BA92</f>
        <v>0</v>
      </c>
      <c r="E254" s="302">
        <f>data!BB92</f>
        <v>149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987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969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1015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Public Hospital District #1-A of Whitman County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971</v>
      </c>
      <c r="C262" s="292" t="s">
        <v>1016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1017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1018</v>
      </c>
    </row>
    <row r="264" spans="1:9" ht="20.149999999999999" customHeight="1" x14ac:dyDescent="0.35">
      <c r="A264" s="278">
        <v>3</v>
      </c>
      <c r="B264" s="286" t="s">
        <v>975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0</v>
      </c>
      <c r="D266" s="293">
        <f>data!BH60</f>
        <v>6.9600000000000009</v>
      </c>
      <c r="E266" s="293">
        <f>data!BI60</f>
        <v>3.54</v>
      </c>
      <c r="F266" s="293">
        <f>data!BJ60</f>
        <v>0</v>
      </c>
      <c r="G266" s="293">
        <f>data!BK60</f>
        <v>10.47</v>
      </c>
      <c r="H266" s="293">
        <f>data!BL60</f>
        <v>13.36</v>
      </c>
      <c r="I266" s="293">
        <f>data!BM60</f>
        <v>4.6399999999999997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0</v>
      </c>
      <c r="D267" s="286">
        <f>data!BH61</f>
        <v>763368</v>
      </c>
      <c r="E267" s="286">
        <f>data!BI61</f>
        <v>402064</v>
      </c>
      <c r="F267" s="286">
        <f>data!BJ61</f>
        <v>0</v>
      </c>
      <c r="G267" s="286">
        <f>data!BK61</f>
        <v>630100</v>
      </c>
      <c r="H267" s="286">
        <f>data!BL61</f>
        <v>616494</v>
      </c>
      <c r="I267" s="286">
        <f>data!BM61</f>
        <v>397183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0</v>
      </c>
      <c r="D268" s="286">
        <f>data!BH62</f>
        <v>200192</v>
      </c>
      <c r="E268" s="286">
        <f>data!BI62</f>
        <v>105441</v>
      </c>
      <c r="F268" s="286">
        <f>data!BJ62</f>
        <v>0</v>
      </c>
      <c r="G268" s="286">
        <f>data!BK62</f>
        <v>165243</v>
      </c>
      <c r="H268" s="286">
        <f>data!BL62</f>
        <v>161675</v>
      </c>
      <c r="I268" s="286">
        <f>data!BM62</f>
        <v>104161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755</v>
      </c>
      <c r="E269" s="286">
        <f>data!BI63</f>
        <v>50450</v>
      </c>
      <c r="F269" s="286">
        <f>data!BJ63</f>
        <v>0</v>
      </c>
      <c r="G269" s="286">
        <f>data!BK63</f>
        <v>261738</v>
      </c>
      <c r="H269" s="286">
        <f>data!BL63</f>
        <v>0</v>
      </c>
      <c r="I269" s="286">
        <f>data!BM63</f>
        <v>94022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48997</v>
      </c>
      <c r="E270" s="286">
        <f>data!BI64</f>
        <v>9834</v>
      </c>
      <c r="F270" s="286">
        <f>data!BJ64</f>
        <v>0</v>
      </c>
      <c r="G270" s="286">
        <f>data!BK64</f>
        <v>27322</v>
      </c>
      <c r="H270" s="286">
        <f>data!BL64</f>
        <v>13241</v>
      </c>
      <c r="I270" s="286">
        <f>data!BM64</f>
        <v>15226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116735</v>
      </c>
      <c r="E271" s="286">
        <f>data!BI65</f>
        <v>4433</v>
      </c>
      <c r="F271" s="286">
        <f>data!BJ65</f>
        <v>0</v>
      </c>
      <c r="G271" s="286">
        <f>data!BK65</f>
        <v>5412</v>
      </c>
      <c r="H271" s="286">
        <f>data!BL65</f>
        <v>480</v>
      </c>
      <c r="I271" s="286">
        <f>data!BM65</f>
        <v>176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1478805</v>
      </c>
      <c r="E272" s="286">
        <f>data!BI66</f>
        <v>114097</v>
      </c>
      <c r="F272" s="286">
        <f>data!BJ66</f>
        <v>0</v>
      </c>
      <c r="G272" s="286">
        <f>data!BK66</f>
        <v>402640</v>
      </c>
      <c r="H272" s="286">
        <f>data!BL66</f>
        <v>189</v>
      </c>
      <c r="I272" s="286">
        <f>data!BM66</f>
        <v>37300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0</v>
      </c>
      <c r="D273" s="286">
        <f>data!BH67</f>
        <v>24982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24530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976</v>
      </c>
      <c r="C274" s="286">
        <f>data!BG68</f>
        <v>0</v>
      </c>
      <c r="D274" s="286">
        <f>data!BH68</f>
        <v>0</v>
      </c>
      <c r="E274" s="286">
        <f>data!BI68</f>
        <v>43283</v>
      </c>
      <c r="F274" s="286">
        <f>data!BJ68</f>
        <v>0</v>
      </c>
      <c r="G274" s="286">
        <f>data!BK68</f>
        <v>56400</v>
      </c>
      <c r="H274" s="286">
        <f>data!BL68</f>
        <v>4244</v>
      </c>
      <c r="I274" s="286">
        <f>data!BM68</f>
        <v>27614</v>
      </c>
    </row>
    <row r="275" spans="1:9" ht="20.149999999999999" customHeight="1" x14ac:dyDescent="0.35">
      <c r="A275" s="278">
        <v>14</v>
      </c>
      <c r="B275" s="286" t="s">
        <v>977</v>
      </c>
      <c r="C275" s="286">
        <f>data!BG69</f>
        <v>0</v>
      </c>
      <c r="D275" s="286">
        <f>data!BH69</f>
        <v>5743</v>
      </c>
      <c r="E275" s="286">
        <f>data!BI69</f>
        <v>236433</v>
      </c>
      <c r="F275" s="286">
        <f>data!BJ69</f>
        <v>0</v>
      </c>
      <c r="G275" s="286">
        <f>data!BK69</f>
        <v>7193</v>
      </c>
      <c r="H275" s="286">
        <f>data!BL69</f>
        <v>0</v>
      </c>
      <c r="I275" s="286">
        <f>data!BM69</f>
        <v>68077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-15540</v>
      </c>
      <c r="E276" s="286">
        <f>-data!BI84</f>
        <v>0</v>
      </c>
      <c r="F276" s="286">
        <f>-data!BJ84</f>
        <v>0</v>
      </c>
      <c r="G276" s="286">
        <f>-data!BK84</f>
        <v>-59</v>
      </c>
      <c r="H276" s="286">
        <f>-data!BL84</f>
        <v>0</v>
      </c>
      <c r="I276" s="286">
        <f>-data!BM84</f>
        <v>-316762</v>
      </c>
    </row>
    <row r="277" spans="1:9" ht="20.149999999999999" customHeight="1" x14ac:dyDescent="0.35">
      <c r="A277" s="278">
        <v>16</v>
      </c>
      <c r="B277" s="294" t="s">
        <v>978</v>
      </c>
      <c r="C277" s="286">
        <f>data!BG85</f>
        <v>0</v>
      </c>
      <c r="D277" s="286">
        <f>data!BH85</f>
        <v>2624037</v>
      </c>
      <c r="E277" s="286">
        <f>data!BI85</f>
        <v>966035</v>
      </c>
      <c r="F277" s="286">
        <f>data!BJ85</f>
        <v>0</v>
      </c>
      <c r="G277" s="286">
        <f>data!BK85</f>
        <v>1555989</v>
      </c>
      <c r="H277" s="286">
        <f>data!BL85</f>
        <v>820853</v>
      </c>
      <c r="I277" s="286">
        <f>data!BM85</f>
        <v>426997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979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980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981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982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983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984</v>
      </c>
      <c r="C284" s="302">
        <f>data!BG90</f>
        <v>0</v>
      </c>
      <c r="D284" s="302">
        <f>data!BH90</f>
        <v>1051</v>
      </c>
      <c r="E284" s="302">
        <f>data!BI90</f>
        <v>0</v>
      </c>
      <c r="F284" s="302">
        <f>data!BJ90</f>
        <v>0</v>
      </c>
      <c r="G284" s="302">
        <f>data!BK90</f>
        <v>0</v>
      </c>
      <c r="H284" s="302">
        <f>data!BL90</f>
        <v>1032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985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986</v>
      </c>
      <c r="C286" s="301" t="str">
        <f>IF(data!BG78&gt;0,data!BG78,"")</f>
        <v/>
      </c>
      <c r="D286" s="302">
        <f>data!BH92</f>
        <v>148</v>
      </c>
      <c r="E286" s="302">
        <f>data!BI92</f>
        <v>0</v>
      </c>
      <c r="F286" s="301" t="str">
        <f>IF(data!BJ78&gt;0,data!BJ78,"")</f>
        <v/>
      </c>
      <c r="G286" s="302">
        <f>data!BK92</f>
        <v>148</v>
      </c>
      <c r="H286" s="302">
        <f>data!BL92</f>
        <v>148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987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969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1019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Public Hospital District #1-A of Whitman County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971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1020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975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5.36</v>
      </c>
      <c r="D298" s="293">
        <f>data!BO60</f>
        <v>1.26</v>
      </c>
      <c r="E298" s="293">
        <f>data!BP60</f>
        <v>3.86</v>
      </c>
      <c r="F298" s="293">
        <f>data!BQ60</f>
        <v>0</v>
      </c>
      <c r="G298" s="293">
        <f>data!BR60</f>
        <v>6.32</v>
      </c>
      <c r="H298" s="293">
        <f>data!BS60</f>
        <v>0.5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959003</v>
      </c>
      <c r="D299" s="286">
        <f>data!BO61</f>
        <v>95780</v>
      </c>
      <c r="E299" s="286">
        <f>data!BP61</f>
        <v>293977</v>
      </c>
      <c r="F299" s="286">
        <f>data!BQ61</f>
        <v>0</v>
      </c>
      <c r="G299" s="286">
        <f>data!BR61</f>
        <v>639616</v>
      </c>
      <c r="H299" s="286">
        <f>data!BS61</f>
        <v>20028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251497</v>
      </c>
      <c r="D300" s="286">
        <f>data!BO62</f>
        <v>25118</v>
      </c>
      <c r="E300" s="286">
        <f>data!BP62</f>
        <v>77095</v>
      </c>
      <c r="F300" s="286">
        <f>data!BQ62</f>
        <v>0</v>
      </c>
      <c r="G300" s="286">
        <f>data!BR62</f>
        <v>167738</v>
      </c>
      <c r="H300" s="286">
        <f>data!BS62</f>
        <v>5252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366777</v>
      </c>
      <c r="D301" s="286">
        <f>data!BO63</f>
        <v>110328</v>
      </c>
      <c r="E301" s="286">
        <f>data!BP63</f>
        <v>557110</v>
      </c>
      <c r="F301" s="286">
        <f>data!BQ63</f>
        <v>0</v>
      </c>
      <c r="G301" s="286">
        <f>data!BR63</f>
        <v>109528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39487</v>
      </c>
      <c r="D302" s="286">
        <f>data!BO64</f>
        <v>123259</v>
      </c>
      <c r="E302" s="286">
        <f>data!BP64</f>
        <v>3427</v>
      </c>
      <c r="F302" s="286">
        <f>data!BQ64</f>
        <v>0</v>
      </c>
      <c r="G302" s="286">
        <f>data!BR64</f>
        <v>21629</v>
      </c>
      <c r="H302" s="286">
        <f>data!BS64</f>
        <v>2280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1158</v>
      </c>
      <c r="D303" s="286">
        <f>data!BO65</f>
        <v>11708</v>
      </c>
      <c r="E303" s="286">
        <f>data!BP65</f>
        <v>0</v>
      </c>
      <c r="F303" s="286">
        <f>data!BQ65</f>
        <v>0</v>
      </c>
      <c r="G303" s="286">
        <f>data!BR65</f>
        <v>440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40795</v>
      </c>
      <c r="D304" s="286">
        <f>data!BO66</f>
        <v>11426</v>
      </c>
      <c r="E304" s="286">
        <f>data!BP66</f>
        <v>47578</v>
      </c>
      <c r="F304" s="286">
        <f>data!BQ66</f>
        <v>0</v>
      </c>
      <c r="G304" s="286">
        <f>data!BR66</f>
        <v>135615</v>
      </c>
      <c r="H304" s="286">
        <f>data!BS66</f>
        <v>0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50772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976</v>
      </c>
      <c r="C306" s="286">
        <f>data!BN68</f>
        <v>71699</v>
      </c>
      <c r="D306" s="286">
        <f>data!BO68</f>
        <v>45232</v>
      </c>
      <c r="E306" s="286">
        <f>data!BP68</f>
        <v>371</v>
      </c>
      <c r="F306" s="286">
        <f>data!BQ68</f>
        <v>0</v>
      </c>
      <c r="G306" s="286">
        <f>data!BR68</f>
        <v>27911</v>
      </c>
      <c r="H306" s="286">
        <f>data!BS68</f>
        <v>666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977</v>
      </c>
      <c r="C307" s="286">
        <f>data!BN69</f>
        <v>257775</v>
      </c>
      <c r="D307" s="286">
        <f>data!BO69</f>
        <v>20</v>
      </c>
      <c r="E307" s="286">
        <f>data!BP69</f>
        <v>22275</v>
      </c>
      <c r="F307" s="286">
        <f>data!BQ69</f>
        <v>0</v>
      </c>
      <c r="G307" s="286">
        <f>data!BR69</f>
        <v>59804</v>
      </c>
      <c r="H307" s="286">
        <f>data!BS69</f>
        <v>4785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-50000</v>
      </c>
      <c r="D308" s="286">
        <f>-data!BO84</f>
        <v>0</v>
      </c>
      <c r="E308" s="286">
        <f>-data!BP84</f>
        <v>-15000</v>
      </c>
      <c r="F308" s="286">
        <f>-data!BQ84</f>
        <v>0</v>
      </c>
      <c r="G308" s="286">
        <f>-data!BR84</f>
        <v>-31125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978</v>
      </c>
      <c r="C309" s="286">
        <f>data!BN85</f>
        <v>1988963</v>
      </c>
      <c r="D309" s="286">
        <f>data!BO85</f>
        <v>422871</v>
      </c>
      <c r="E309" s="286">
        <f>data!BP85</f>
        <v>986833</v>
      </c>
      <c r="F309" s="286">
        <f>data!BQ85</f>
        <v>0</v>
      </c>
      <c r="G309" s="286">
        <f>data!BR85</f>
        <v>1131156</v>
      </c>
      <c r="H309" s="286">
        <f>data!BS85</f>
        <v>33011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979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980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981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982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983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984</v>
      </c>
      <c r="C316" s="302">
        <f>data!BN90</f>
        <v>2136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0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985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986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987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969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1021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Public Hospital District #1-A of Whitman County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971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1020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975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3.91</v>
      </c>
      <c r="E330" s="293">
        <f>data!BW60</f>
        <v>1.05</v>
      </c>
      <c r="F330" s="293">
        <f>data!BX60</f>
        <v>1.8</v>
      </c>
      <c r="G330" s="293">
        <f>data!BY60</f>
        <v>6.53</v>
      </c>
      <c r="H330" s="293">
        <f>data!BZ60</f>
        <v>0</v>
      </c>
      <c r="I330" s="293">
        <f>data!CA60</f>
        <v>0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295489</v>
      </c>
      <c r="E331" s="305">
        <f>data!BW61</f>
        <v>553800</v>
      </c>
      <c r="F331" s="305">
        <f>data!BX61</f>
        <v>230058</v>
      </c>
      <c r="G331" s="305">
        <f>data!BY61</f>
        <v>1013443</v>
      </c>
      <c r="H331" s="305">
        <f>data!BZ61</f>
        <v>0</v>
      </c>
      <c r="I331" s="305">
        <f>data!CA61</f>
        <v>0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77492</v>
      </c>
      <c r="E332" s="305">
        <f>data!BW62</f>
        <v>145233</v>
      </c>
      <c r="F332" s="305">
        <f>data!BX62</f>
        <v>60332</v>
      </c>
      <c r="G332" s="305">
        <f>data!BY62</f>
        <v>265774</v>
      </c>
      <c r="H332" s="305">
        <f>data!BZ62</f>
        <v>0</v>
      </c>
      <c r="I332" s="305">
        <f>data!CA62</f>
        <v>0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238524</v>
      </c>
      <c r="E333" s="305">
        <f>data!BW63</f>
        <v>0</v>
      </c>
      <c r="F333" s="305">
        <f>data!BX63</f>
        <v>98362</v>
      </c>
      <c r="G333" s="305">
        <f>data!BY63</f>
        <v>5108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7568</v>
      </c>
      <c r="E334" s="305">
        <f>data!BW64</f>
        <v>2165</v>
      </c>
      <c r="F334" s="305">
        <f>data!BX64</f>
        <v>1373</v>
      </c>
      <c r="G334" s="305">
        <f>data!BY64</f>
        <v>4070</v>
      </c>
      <c r="H334" s="305">
        <f>data!BZ64</f>
        <v>0</v>
      </c>
      <c r="I334" s="305">
        <f>data!CA64</f>
        <v>0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480</v>
      </c>
      <c r="F335" s="305">
        <f>data!BX65</f>
        <v>680</v>
      </c>
      <c r="G335" s="305">
        <f>data!BY65</f>
        <v>964</v>
      </c>
      <c r="H335" s="305">
        <f>data!BZ65</f>
        <v>0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47231</v>
      </c>
      <c r="E336" s="305">
        <f>data!BW66</f>
        <v>24705</v>
      </c>
      <c r="F336" s="305">
        <f>data!BX66</f>
        <v>98130</v>
      </c>
      <c r="G336" s="305">
        <f>data!BY66</f>
        <v>439</v>
      </c>
      <c r="H336" s="305">
        <f>data!BZ66</f>
        <v>0</v>
      </c>
      <c r="I336" s="305">
        <f>data!CA66</f>
        <v>0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15545</v>
      </c>
      <c r="E337" s="305">
        <f>data!BW67</f>
        <v>5586</v>
      </c>
      <c r="F337" s="305">
        <f>data!BX67</f>
        <v>3565</v>
      </c>
      <c r="G337" s="305">
        <f>data!BY67</f>
        <v>3209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976</v>
      </c>
      <c r="C338" s="305">
        <f>data!BU68</f>
        <v>0</v>
      </c>
      <c r="D338" s="305">
        <f>data!BV68</f>
        <v>25417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977</v>
      </c>
      <c r="C339" s="305">
        <f>data!BU69</f>
        <v>0</v>
      </c>
      <c r="D339" s="305">
        <f>data!BV69</f>
        <v>703</v>
      </c>
      <c r="E339" s="305">
        <f>data!BW69</f>
        <v>32287</v>
      </c>
      <c r="F339" s="305">
        <f>data!BX69</f>
        <v>8941</v>
      </c>
      <c r="G339" s="305">
        <f>data!BY69</f>
        <v>36443</v>
      </c>
      <c r="H339" s="305">
        <f>data!BZ69</f>
        <v>0</v>
      </c>
      <c r="I339" s="305">
        <f>data!CA69</f>
        <v>0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-8504</v>
      </c>
      <c r="E340" s="286">
        <f>-data!BW84</f>
        <v>-9725</v>
      </c>
      <c r="F340" s="286">
        <f>-data!BX84</f>
        <v>0</v>
      </c>
      <c r="G340" s="286">
        <f>-data!BY84</f>
        <v>-29947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978</v>
      </c>
      <c r="C341" s="286">
        <f>data!BU85</f>
        <v>0</v>
      </c>
      <c r="D341" s="286">
        <f>data!BV85</f>
        <v>699465</v>
      </c>
      <c r="E341" s="286">
        <f>data!BW85</f>
        <v>754531</v>
      </c>
      <c r="F341" s="286">
        <f>data!BX85</f>
        <v>501441</v>
      </c>
      <c r="G341" s="286">
        <f>data!BY85</f>
        <v>1299503</v>
      </c>
      <c r="H341" s="286">
        <f>data!BZ85</f>
        <v>0</v>
      </c>
      <c r="I341" s="286">
        <f>data!CA85</f>
        <v>0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979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980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981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982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983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984</v>
      </c>
      <c r="C348" s="302">
        <f>data!BU90</f>
        <v>0</v>
      </c>
      <c r="D348" s="302">
        <f>data!BV90</f>
        <v>654</v>
      </c>
      <c r="E348" s="302">
        <f>data!BW90</f>
        <v>235</v>
      </c>
      <c r="F348" s="302">
        <f>data!BX90</f>
        <v>150</v>
      </c>
      <c r="G348" s="302">
        <f>data!BY90</f>
        <v>135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985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986</v>
      </c>
      <c r="C350" s="302">
        <f>data!BU92</f>
        <v>0</v>
      </c>
      <c r="D350" s="302">
        <f>data!BV92</f>
        <v>148</v>
      </c>
      <c r="E350" s="302">
        <f>data!BW92</f>
        <v>0</v>
      </c>
      <c r="F350" s="302">
        <f>data!BX92</f>
        <v>148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987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969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1022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Public Hospital District #1-A of Whitman County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971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1023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975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0</v>
      </c>
      <c r="D362" s="293">
        <f>data!CC60</f>
        <v>1.35</v>
      </c>
      <c r="E362" s="308"/>
      <c r="F362" s="296"/>
      <c r="G362" s="296"/>
      <c r="H362" s="296"/>
      <c r="I362" s="309">
        <f>data!CE60</f>
        <v>377.77000000000015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0</v>
      </c>
      <c r="D363" s="305">
        <f>data!CC61</f>
        <v>201862</v>
      </c>
      <c r="E363" s="310"/>
      <c r="F363" s="310"/>
      <c r="G363" s="310"/>
      <c r="H363" s="310"/>
      <c r="I363" s="305">
        <f>data!CE61</f>
        <v>36261329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0</v>
      </c>
      <c r="D364" s="305">
        <f>data!CC62</f>
        <v>52938</v>
      </c>
      <c r="E364" s="310"/>
      <c r="F364" s="310"/>
      <c r="G364" s="310"/>
      <c r="H364" s="310"/>
      <c r="I364" s="305">
        <f>data!CE62</f>
        <v>9509484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34480</v>
      </c>
      <c r="E365" s="310"/>
      <c r="F365" s="310"/>
      <c r="G365" s="310"/>
      <c r="H365" s="310"/>
      <c r="I365" s="305">
        <f>data!CE63</f>
        <v>8532069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0</v>
      </c>
      <c r="D366" s="305">
        <f>data!CC64</f>
        <v>2721</v>
      </c>
      <c r="E366" s="310"/>
      <c r="F366" s="310"/>
      <c r="G366" s="310"/>
      <c r="H366" s="310"/>
      <c r="I366" s="305">
        <f>data!CE64</f>
        <v>14157872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840990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0</v>
      </c>
      <c r="D368" s="305">
        <f>data!CC66</f>
        <v>331</v>
      </c>
      <c r="E368" s="310"/>
      <c r="F368" s="310"/>
      <c r="G368" s="310"/>
      <c r="H368" s="310"/>
      <c r="I368" s="305">
        <f>data!CE66</f>
        <v>4887272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641901</v>
      </c>
      <c r="E369" s="310"/>
      <c r="F369" s="310"/>
      <c r="G369" s="310"/>
      <c r="H369" s="310"/>
      <c r="I369" s="305">
        <f>data!CE67</f>
        <v>3029614</v>
      </c>
    </row>
    <row r="370" spans="1:9" ht="20.149999999999999" customHeight="1" x14ac:dyDescent="0.35">
      <c r="A370" s="278">
        <v>13</v>
      </c>
      <c r="B370" s="286" t="s">
        <v>976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839400</v>
      </c>
    </row>
    <row r="371" spans="1:9" ht="20.149999999999999" customHeight="1" x14ac:dyDescent="0.35">
      <c r="A371" s="278">
        <v>14</v>
      </c>
      <c r="B371" s="286" t="s">
        <v>977</v>
      </c>
      <c r="C371" s="305">
        <f>data!CB69</f>
        <v>0</v>
      </c>
      <c r="D371" s="305">
        <f>data!CC69</f>
        <v>3755</v>
      </c>
      <c r="E371" s="305">
        <f>data!CD69</f>
        <v>797251</v>
      </c>
      <c r="F371" s="310"/>
      <c r="G371" s="310"/>
      <c r="H371" s="310"/>
      <c r="I371" s="305">
        <f>data!CE69</f>
        <v>11542569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-8227676</v>
      </c>
      <c r="F372" s="296"/>
      <c r="G372" s="296"/>
      <c r="H372" s="296"/>
      <c r="I372" s="286">
        <f>-data!CE84</f>
        <v>-9503025</v>
      </c>
    </row>
    <row r="373" spans="1:9" ht="20.149999999999999" customHeight="1" x14ac:dyDescent="0.35">
      <c r="A373" s="278">
        <v>16</v>
      </c>
      <c r="B373" s="294" t="s">
        <v>978</v>
      </c>
      <c r="C373" s="305">
        <f>data!CB85</f>
        <v>0</v>
      </c>
      <c r="D373" s="305">
        <f>data!CC85</f>
        <v>937988</v>
      </c>
      <c r="E373" s="305">
        <f>data!CD85</f>
        <v>-7430425</v>
      </c>
      <c r="F373" s="310"/>
      <c r="G373" s="310"/>
      <c r="H373" s="310"/>
      <c r="I373" s="286">
        <f>data!CE85</f>
        <v>70594549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660000</v>
      </c>
    </row>
    <row r="375" spans="1:9" ht="20.149999999999999" customHeight="1" x14ac:dyDescent="0.35">
      <c r="A375" s="278">
        <v>18</v>
      </c>
      <c r="B375" s="286" t="s">
        <v>979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980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26169718</v>
      </c>
    </row>
    <row r="377" spans="1:9" ht="20.149999999999999" customHeight="1" x14ac:dyDescent="0.35">
      <c r="A377" s="278">
        <v>20</v>
      </c>
      <c r="B377" s="294" t="s">
        <v>981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143597510</v>
      </c>
    </row>
    <row r="378" spans="1:9" ht="20.149999999999999" customHeight="1" x14ac:dyDescent="0.35">
      <c r="A378" s="278">
        <v>21</v>
      </c>
      <c r="B378" s="294" t="s">
        <v>982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169767228</v>
      </c>
    </row>
    <row r="379" spans="1:9" ht="20.149999999999999" customHeight="1" x14ac:dyDescent="0.35">
      <c r="A379" s="278" t="s">
        <v>983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984</v>
      </c>
      <c r="C380" s="302">
        <f>data!CB90</f>
        <v>0</v>
      </c>
      <c r="D380" s="302">
        <f>data!CC90</f>
        <v>27005</v>
      </c>
      <c r="E380" s="296"/>
      <c r="F380" s="296"/>
      <c r="G380" s="296"/>
      <c r="H380" s="296"/>
      <c r="I380" s="286">
        <f>data!CE90</f>
        <v>127457</v>
      </c>
    </row>
    <row r="381" spans="1:9" ht="20.149999999999999" customHeight="1" x14ac:dyDescent="0.35">
      <c r="A381" s="278">
        <v>23</v>
      </c>
      <c r="B381" s="286" t="s">
        <v>985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18015</v>
      </c>
    </row>
    <row r="382" spans="1:9" ht="20.149999999999999" customHeight="1" x14ac:dyDescent="0.35">
      <c r="A382" s="278">
        <v>24</v>
      </c>
      <c r="B382" s="286" t="s">
        <v>986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24953.53</v>
      </c>
    </row>
    <row r="383" spans="1:9" ht="20.149999999999999" customHeight="1" x14ac:dyDescent="0.35">
      <c r="A383" s="278">
        <v>25</v>
      </c>
      <c r="B383" s="286" t="s">
        <v>987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326114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83.77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G44" transitionEvaluation="1" transitionEntry="1" codeName="Sheet12">
    <tabColor rgb="FF92D050"/>
    <pageSetUpPr autoPageBreaks="0" fitToPage="1"/>
  </sheetPr>
  <dimension ref="A1:CF717"/>
  <sheetViews>
    <sheetView topLeftCell="AG44" zoomScale="70" zoomScaleNormal="70" workbookViewId="0">
      <selection activeCell="E64" sqref="E64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1329</v>
      </c>
    </row>
    <row r="7" spans="1:3" x14ac:dyDescent="0.35">
      <c r="A7" s="12" t="s">
        <v>4</v>
      </c>
    </row>
    <row r="8" spans="1:3" x14ac:dyDescent="0.35">
      <c r="A8" s="12" t="s">
        <v>1331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1330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1332</v>
      </c>
    </row>
    <row r="19" spans="1:10" ht="14.5" customHeight="1" x14ac:dyDescent="0.35">
      <c r="A19" s="18" t="s">
        <v>1333</v>
      </c>
    </row>
    <row r="20" spans="1:10" ht="14.5" customHeight="1" x14ac:dyDescent="0.35">
      <c r="A20" s="18" t="s">
        <v>1334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1335</v>
      </c>
      <c r="E24" s="71"/>
      <c r="F24" s="71"/>
      <c r="G24" s="71"/>
    </row>
    <row r="25" spans="1:10" x14ac:dyDescent="0.35">
      <c r="A25" s="18" t="s">
        <v>1336</v>
      </c>
    </row>
    <row r="26" spans="1:10" x14ac:dyDescent="0.35">
      <c r="A26" s="18" t="s">
        <v>1337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1338</v>
      </c>
      <c r="C29" s="17"/>
    </row>
    <row r="30" spans="1:10" x14ac:dyDescent="0.35">
      <c r="C30" s="17"/>
    </row>
    <row r="31" spans="1:10" x14ac:dyDescent="0.35">
      <c r="A31" s="12" t="s">
        <v>1348</v>
      </c>
      <c r="C31" s="330" t="s">
        <v>1349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1" t="s">
        <v>18</v>
      </c>
      <c r="B37" s="332"/>
      <c r="C37" s="333"/>
      <c r="D37" s="332"/>
      <c r="E37" s="332"/>
      <c r="F37" s="332"/>
      <c r="G37" s="332"/>
    </row>
    <row r="38" spans="1:83" x14ac:dyDescent="0.35">
      <c r="A38" s="334" t="s">
        <v>1341</v>
      </c>
      <c r="B38" s="335"/>
      <c r="C38" s="333"/>
      <c r="D38" s="332"/>
      <c r="E38" s="332"/>
      <c r="F38" s="332"/>
      <c r="G38" s="332"/>
    </row>
    <row r="39" spans="1:83" x14ac:dyDescent="0.35">
      <c r="A39" s="336" t="s">
        <v>1339</v>
      </c>
      <c r="B39" s="335"/>
      <c r="C39" s="333"/>
      <c r="D39" s="332"/>
      <c r="E39" s="332"/>
      <c r="F39" s="332"/>
      <c r="G39" s="332"/>
    </row>
    <row r="40" spans="1:83" x14ac:dyDescent="0.35">
      <c r="A40" s="337" t="s">
        <v>1342</v>
      </c>
      <c r="B40" s="332"/>
      <c r="C40" s="333"/>
      <c r="D40" s="332"/>
      <c r="E40" s="332"/>
      <c r="F40" s="332"/>
      <c r="G40" s="332"/>
    </row>
    <row r="41" spans="1:83" x14ac:dyDescent="0.35">
      <c r="A41" s="336" t="s">
        <v>1340</v>
      </c>
      <c r="B41" s="332"/>
      <c r="C41" s="333"/>
      <c r="D41" s="332"/>
      <c r="E41" s="332"/>
      <c r="F41" s="332"/>
      <c r="G41" s="332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8624055</v>
      </c>
      <c r="C49" s="269">
        <f>IF($B$49,(ROUND((($B$49/$CE$62)*C62),0)))</f>
        <v>334216</v>
      </c>
      <c r="D49" s="269">
        <f t="shared" ref="D49:BO49" si="0">IF($B$49,(ROUND((($B$49/$CE$62)*D62),0)))</f>
        <v>0</v>
      </c>
      <c r="E49" s="269">
        <f t="shared" si="0"/>
        <v>756739</v>
      </c>
      <c r="F49" s="269">
        <f t="shared" si="0"/>
        <v>0</v>
      </c>
      <c r="G49" s="269">
        <f t="shared" si="0"/>
        <v>0</v>
      </c>
      <c r="H49" s="269">
        <f t="shared" si="0"/>
        <v>0</v>
      </c>
      <c r="I49" s="269">
        <f t="shared" si="0"/>
        <v>0</v>
      </c>
      <c r="J49" s="269">
        <f t="shared" si="0"/>
        <v>0</v>
      </c>
      <c r="K49" s="269">
        <f t="shared" si="0"/>
        <v>0</v>
      </c>
      <c r="L49" s="269">
        <f t="shared" si="0"/>
        <v>0</v>
      </c>
      <c r="M49" s="269">
        <f t="shared" si="0"/>
        <v>0</v>
      </c>
      <c r="N49" s="269">
        <f t="shared" si="0"/>
        <v>0</v>
      </c>
      <c r="O49" s="269">
        <f t="shared" si="0"/>
        <v>509959</v>
      </c>
      <c r="P49" s="269">
        <f t="shared" si="0"/>
        <v>1148650</v>
      </c>
      <c r="Q49" s="269">
        <f t="shared" si="0"/>
        <v>0</v>
      </c>
      <c r="R49" s="269">
        <f t="shared" si="0"/>
        <v>0</v>
      </c>
      <c r="S49" s="269">
        <f t="shared" si="0"/>
        <v>0</v>
      </c>
      <c r="T49" s="269">
        <f t="shared" si="0"/>
        <v>0</v>
      </c>
      <c r="U49" s="269">
        <f t="shared" si="0"/>
        <v>266765</v>
      </c>
      <c r="V49" s="269">
        <f t="shared" si="0"/>
        <v>0</v>
      </c>
      <c r="W49" s="269">
        <f t="shared" si="0"/>
        <v>81914</v>
      </c>
      <c r="X49" s="269">
        <f t="shared" si="0"/>
        <v>19682</v>
      </c>
      <c r="Y49" s="269">
        <f t="shared" si="0"/>
        <v>459403</v>
      </c>
      <c r="Z49" s="269">
        <f t="shared" si="0"/>
        <v>0</v>
      </c>
      <c r="AA49" s="269">
        <f t="shared" si="0"/>
        <v>61418</v>
      </c>
      <c r="AB49" s="269">
        <f t="shared" si="0"/>
        <v>192857</v>
      </c>
      <c r="AC49" s="269">
        <f t="shared" si="0"/>
        <v>235491</v>
      </c>
      <c r="AD49" s="269">
        <f t="shared" si="0"/>
        <v>0</v>
      </c>
      <c r="AE49" s="269">
        <f t="shared" si="0"/>
        <v>846575</v>
      </c>
      <c r="AF49" s="269">
        <f t="shared" si="0"/>
        <v>0</v>
      </c>
      <c r="AG49" s="269">
        <f t="shared" si="0"/>
        <v>1289300</v>
      </c>
      <c r="AH49" s="269">
        <f t="shared" si="0"/>
        <v>0</v>
      </c>
      <c r="AI49" s="269">
        <f t="shared" si="0"/>
        <v>0</v>
      </c>
      <c r="AJ49" s="269">
        <f t="shared" si="0"/>
        <v>19185</v>
      </c>
      <c r="AK49" s="269">
        <f t="shared" si="0"/>
        <v>0</v>
      </c>
      <c r="AL49" s="269">
        <f t="shared" si="0"/>
        <v>0</v>
      </c>
      <c r="AM49" s="269">
        <f t="shared" si="0"/>
        <v>0</v>
      </c>
      <c r="AN49" s="269">
        <f t="shared" si="0"/>
        <v>0</v>
      </c>
      <c r="AO49" s="269">
        <f t="shared" si="0"/>
        <v>0</v>
      </c>
      <c r="AP49" s="269">
        <f t="shared" si="0"/>
        <v>15989</v>
      </c>
      <c r="AQ49" s="269">
        <f t="shared" si="0"/>
        <v>0</v>
      </c>
      <c r="AR49" s="269">
        <f t="shared" si="0"/>
        <v>0</v>
      </c>
      <c r="AS49" s="269">
        <f t="shared" si="0"/>
        <v>0</v>
      </c>
      <c r="AT49" s="269">
        <f t="shared" si="0"/>
        <v>0</v>
      </c>
      <c r="AU49" s="269">
        <f t="shared" si="0"/>
        <v>0</v>
      </c>
      <c r="AV49" s="269">
        <f t="shared" si="0"/>
        <v>46087</v>
      </c>
      <c r="AW49" s="269">
        <f t="shared" si="0"/>
        <v>0</v>
      </c>
      <c r="AX49" s="269">
        <f t="shared" si="0"/>
        <v>0</v>
      </c>
      <c r="AY49" s="269">
        <f t="shared" si="0"/>
        <v>209055</v>
      </c>
      <c r="AZ49" s="269">
        <f t="shared" si="0"/>
        <v>0</v>
      </c>
      <c r="BA49" s="269">
        <f t="shared" si="0"/>
        <v>10310</v>
      </c>
      <c r="BB49" s="269">
        <f t="shared" si="0"/>
        <v>123485</v>
      </c>
      <c r="BC49" s="269">
        <f t="shared" si="0"/>
        <v>0</v>
      </c>
      <c r="BD49" s="269">
        <f t="shared" si="0"/>
        <v>107817</v>
      </c>
      <c r="BE49" s="269">
        <f t="shared" si="0"/>
        <v>144900</v>
      </c>
      <c r="BF49" s="269">
        <f t="shared" si="0"/>
        <v>145750</v>
      </c>
      <c r="BG49" s="269">
        <f t="shared" si="0"/>
        <v>0</v>
      </c>
      <c r="BH49" s="269">
        <f t="shared" si="0"/>
        <v>160096</v>
      </c>
      <c r="BI49" s="269">
        <f t="shared" si="0"/>
        <v>96309</v>
      </c>
      <c r="BJ49" s="269">
        <f t="shared" si="0"/>
        <v>0</v>
      </c>
      <c r="BK49" s="269">
        <f t="shared" si="0"/>
        <v>172929</v>
      </c>
      <c r="BL49" s="269">
        <f t="shared" si="0"/>
        <v>129804</v>
      </c>
      <c r="BM49" s="269">
        <f t="shared" si="0"/>
        <v>90459</v>
      </c>
      <c r="BN49" s="269">
        <f t="shared" si="0"/>
        <v>167744</v>
      </c>
      <c r="BO49" s="269">
        <f t="shared" si="0"/>
        <v>24061</v>
      </c>
      <c r="BP49" s="269">
        <f t="shared" ref="BP49:CD49" si="1">IF($B$49,(ROUND((($B$49/$CE$62)*BP62),0)))</f>
        <v>79835</v>
      </c>
      <c r="BQ49" s="269">
        <f t="shared" si="1"/>
        <v>0</v>
      </c>
      <c r="BR49" s="269">
        <f t="shared" si="1"/>
        <v>144318</v>
      </c>
      <c r="BS49" s="269">
        <f t="shared" si="1"/>
        <v>16566</v>
      </c>
      <c r="BT49" s="269">
        <f t="shared" si="1"/>
        <v>0</v>
      </c>
      <c r="BU49" s="269">
        <f t="shared" si="1"/>
        <v>0</v>
      </c>
      <c r="BV49" s="269">
        <f t="shared" si="1"/>
        <v>69695</v>
      </c>
      <c r="BW49" s="269">
        <f t="shared" si="1"/>
        <v>170028</v>
      </c>
      <c r="BX49" s="269">
        <f t="shared" si="1"/>
        <v>44534</v>
      </c>
      <c r="BY49" s="269">
        <f t="shared" si="1"/>
        <v>232129</v>
      </c>
      <c r="BZ49" s="269">
        <f t="shared" si="1"/>
        <v>0</v>
      </c>
      <c r="CA49" s="269">
        <f t="shared" si="1"/>
        <v>0</v>
      </c>
      <c r="CB49" s="269">
        <f t="shared" si="1"/>
        <v>0</v>
      </c>
      <c r="CC49" s="269">
        <f t="shared" si="1"/>
        <v>0</v>
      </c>
      <c r="CD49" s="269">
        <f t="shared" si="1"/>
        <v>0</v>
      </c>
      <c r="CE49" s="32">
        <f>SUM(C49:CD49)</f>
        <v>8624054</v>
      </c>
    </row>
    <row r="50" spans="1:83" x14ac:dyDescent="0.35">
      <c r="A50" s="20" t="s">
        <v>218</v>
      </c>
      <c r="B50" s="269">
        <f>B48+B49</f>
        <v>8624055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0">
        <v>2634471</v>
      </c>
      <c r="C53" s="269">
        <f>IF($B$53,ROUND(($B$53/($CE$91+$CF$91)*C91),0))</f>
        <v>84621</v>
      </c>
      <c r="D53" s="269">
        <f t="shared" ref="D53:BO53" si="2">IF($B$53,ROUND(($B$53/($CE$91+$CF$91)*D91),0))</f>
        <v>0</v>
      </c>
      <c r="E53" s="269">
        <f t="shared" si="2"/>
        <v>141834</v>
      </c>
      <c r="F53" s="269">
        <f t="shared" si="2"/>
        <v>0</v>
      </c>
      <c r="G53" s="269">
        <f t="shared" si="2"/>
        <v>0</v>
      </c>
      <c r="H53" s="269">
        <f t="shared" si="2"/>
        <v>0</v>
      </c>
      <c r="I53" s="269">
        <f t="shared" si="2"/>
        <v>0</v>
      </c>
      <c r="J53" s="269">
        <f t="shared" si="2"/>
        <v>0</v>
      </c>
      <c r="K53" s="269">
        <f t="shared" si="2"/>
        <v>0</v>
      </c>
      <c r="L53" s="269">
        <f t="shared" si="2"/>
        <v>0</v>
      </c>
      <c r="M53" s="269">
        <f t="shared" si="2"/>
        <v>0</v>
      </c>
      <c r="N53" s="269">
        <f t="shared" si="2"/>
        <v>0</v>
      </c>
      <c r="O53" s="269">
        <f t="shared" si="2"/>
        <v>169386</v>
      </c>
      <c r="P53" s="269">
        <f t="shared" si="2"/>
        <v>327115</v>
      </c>
      <c r="Q53" s="269">
        <f t="shared" si="2"/>
        <v>0</v>
      </c>
      <c r="R53" s="269">
        <f t="shared" si="2"/>
        <v>0</v>
      </c>
      <c r="S53" s="269">
        <f t="shared" si="2"/>
        <v>28193</v>
      </c>
      <c r="T53" s="269">
        <f t="shared" si="2"/>
        <v>0</v>
      </c>
      <c r="U53" s="269">
        <f t="shared" si="2"/>
        <v>42434</v>
      </c>
      <c r="V53" s="269">
        <f t="shared" si="2"/>
        <v>8061</v>
      </c>
      <c r="W53" s="269">
        <f t="shared" si="2"/>
        <v>13104</v>
      </c>
      <c r="X53" s="269">
        <f t="shared" si="2"/>
        <v>10789</v>
      </c>
      <c r="Y53" s="269">
        <f t="shared" si="2"/>
        <v>101983</v>
      </c>
      <c r="Z53" s="269">
        <f t="shared" si="2"/>
        <v>0</v>
      </c>
      <c r="AA53" s="269">
        <f t="shared" si="2"/>
        <v>7110</v>
      </c>
      <c r="AB53" s="269">
        <f t="shared" si="2"/>
        <v>20256</v>
      </c>
      <c r="AC53" s="269">
        <f t="shared" si="2"/>
        <v>26891</v>
      </c>
      <c r="AD53" s="269">
        <f t="shared" si="2"/>
        <v>0</v>
      </c>
      <c r="AE53" s="269">
        <f t="shared" si="2"/>
        <v>289538</v>
      </c>
      <c r="AF53" s="269">
        <f t="shared" si="2"/>
        <v>0</v>
      </c>
      <c r="AG53" s="269">
        <f t="shared" si="2"/>
        <v>123624</v>
      </c>
      <c r="AH53" s="269">
        <f t="shared" si="2"/>
        <v>0</v>
      </c>
      <c r="AI53" s="269">
        <f t="shared" si="2"/>
        <v>0</v>
      </c>
      <c r="AJ53" s="269">
        <f t="shared" si="2"/>
        <v>0</v>
      </c>
      <c r="AK53" s="269">
        <f t="shared" si="2"/>
        <v>0</v>
      </c>
      <c r="AL53" s="269">
        <f t="shared" si="2"/>
        <v>0</v>
      </c>
      <c r="AM53" s="269">
        <f t="shared" si="2"/>
        <v>0</v>
      </c>
      <c r="AN53" s="269">
        <f t="shared" si="2"/>
        <v>0</v>
      </c>
      <c r="AO53" s="269">
        <f t="shared" si="2"/>
        <v>0</v>
      </c>
      <c r="AP53" s="269">
        <f t="shared" si="2"/>
        <v>54361</v>
      </c>
      <c r="AQ53" s="269">
        <f t="shared" si="2"/>
        <v>0</v>
      </c>
      <c r="AR53" s="269">
        <f t="shared" si="2"/>
        <v>0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9839</v>
      </c>
      <c r="AW53" s="269">
        <f t="shared" si="2"/>
        <v>0</v>
      </c>
      <c r="AX53" s="269">
        <f t="shared" si="2"/>
        <v>0</v>
      </c>
      <c r="AY53" s="269">
        <f t="shared" si="2"/>
        <v>94170</v>
      </c>
      <c r="AZ53" s="269">
        <f t="shared" si="2"/>
        <v>0</v>
      </c>
      <c r="BA53" s="269">
        <f t="shared" si="2"/>
        <v>26664</v>
      </c>
      <c r="BB53" s="269">
        <f t="shared" si="2"/>
        <v>8723</v>
      </c>
      <c r="BC53" s="269">
        <f t="shared" si="2"/>
        <v>0</v>
      </c>
      <c r="BD53" s="269">
        <f t="shared" si="2"/>
        <v>58970</v>
      </c>
      <c r="BE53" s="269">
        <f t="shared" si="2"/>
        <v>225256</v>
      </c>
      <c r="BF53" s="269">
        <f t="shared" si="2"/>
        <v>91897</v>
      </c>
      <c r="BG53" s="269">
        <f t="shared" si="2"/>
        <v>0</v>
      </c>
      <c r="BH53" s="269">
        <f t="shared" si="2"/>
        <v>21724</v>
      </c>
      <c r="BI53" s="269">
        <f t="shared" si="2"/>
        <v>0</v>
      </c>
      <c r="BJ53" s="269">
        <f t="shared" si="2"/>
        <v>0</v>
      </c>
      <c r="BK53" s="269">
        <f t="shared" si="2"/>
        <v>0</v>
      </c>
      <c r="BL53" s="269">
        <f t="shared" si="2"/>
        <v>21331</v>
      </c>
      <c r="BM53" s="269">
        <f t="shared" si="2"/>
        <v>0</v>
      </c>
      <c r="BN53" s="269">
        <f t="shared" si="2"/>
        <v>44150</v>
      </c>
      <c r="BO53" s="269">
        <f t="shared" si="2"/>
        <v>0</v>
      </c>
      <c r="BP53" s="269">
        <f t="shared" ref="BP53:CD53" si="3">IF($B$53,ROUND(($B$53/($CE$91+$CF$91)*BP91),0))</f>
        <v>0</v>
      </c>
      <c r="BQ53" s="269">
        <f t="shared" si="3"/>
        <v>0</v>
      </c>
      <c r="BR53" s="269">
        <f t="shared" si="3"/>
        <v>0</v>
      </c>
      <c r="BS53" s="269">
        <f t="shared" si="3"/>
        <v>0</v>
      </c>
      <c r="BT53" s="269">
        <f t="shared" si="3"/>
        <v>0</v>
      </c>
      <c r="BU53" s="269">
        <f t="shared" si="3"/>
        <v>0</v>
      </c>
      <c r="BV53" s="269">
        <f t="shared" si="3"/>
        <v>13518</v>
      </c>
      <c r="BW53" s="269">
        <f t="shared" si="3"/>
        <v>4857</v>
      </c>
      <c r="BX53" s="269">
        <f t="shared" si="3"/>
        <v>3100</v>
      </c>
      <c r="BY53" s="269">
        <f t="shared" si="3"/>
        <v>2790</v>
      </c>
      <c r="BZ53" s="269">
        <f t="shared" si="3"/>
        <v>0</v>
      </c>
      <c r="CA53" s="269">
        <f t="shared" si="3"/>
        <v>0</v>
      </c>
      <c r="CB53" s="269">
        <f t="shared" si="3"/>
        <v>0</v>
      </c>
      <c r="CC53" s="269">
        <f t="shared" si="3"/>
        <v>558180</v>
      </c>
      <c r="CD53" s="269">
        <f t="shared" si="3"/>
        <v>0</v>
      </c>
      <c r="CE53" s="32">
        <f>SUM(C53:CD53)</f>
        <v>2634469</v>
      </c>
    </row>
    <row r="54" spans="1:83" x14ac:dyDescent="0.35">
      <c r="A54" s="20" t="s">
        <v>218</v>
      </c>
      <c r="B54" s="269">
        <f>B52+B53</f>
        <v>2634471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740</v>
      </c>
      <c r="D60" s="213"/>
      <c r="E60" s="213">
        <v>2735</v>
      </c>
      <c r="F60" s="213"/>
      <c r="G60" s="213"/>
      <c r="H60" s="213"/>
      <c r="I60" s="213"/>
      <c r="J60" s="213">
        <v>668</v>
      </c>
      <c r="K60" s="213"/>
      <c r="L60" s="213">
        <v>64</v>
      </c>
      <c r="M60" s="213"/>
      <c r="N60" s="213"/>
      <c r="O60" s="213"/>
      <c r="P60" s="214">
        <v>240792</v>
      </c>
      <c r="Q60" s="214">
        <v>102401</v>
      </c>
      <c r="R60" s="214">
        <v>184500</v>
      </c>
      <c r="S60" s="262"/>
      <c r="T60" s="262"/>
      <c r="U60" s="227">
        <v>129346</v>
      </c>
      <c r="V60" s="214">
        <v>3998</v>
      </c>
      <c r="W60" s="214">
        <v>2590</v>
      </c>
      <c r="X60" s="214">
        <v>5648</v>
      </c>
      <c r="Y60" s="214">
        <v>25055</v>
      </c>
      <c r="Z60" s="214">
        <v>0</v>
      </c>
      <c r="AA60" s="214">
        <v>1146</v>
      </c>
      <c r="AB60" s="262"/>
      <c r="AC60" s="214">
        <v>12709</v>
      </c>
      <c r="AD60" s="214"/>
      <c r="AE60" s="214">
        <v>36568</v>
      </c>
      <c r="AF60" s="214"/>
      <c r="AG60" s="214">
        <v>12676</v>
      </c>
      <c r="AH60" s="214"/>
      <c r="AI60" s="214"/>
      <c r="AJ60" s="214">
        <v>405</v>
      </c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2"/>
      <c r="AW60" s="262"/>
      <c r="AX60" s="262"/>
      <c r="AY60" s="214">
        <v>22460</v>
      </c>
      <c r="AZ60" s="214">
        <v>50279</v>
      </c>
      <c r="BA60" s="262"/>
      <c r="BB60" s="262"/>
      <c r="BC60" s="262"/>
      <c r="BD60" s="262"/>
      <c r="BE60" s="214">
        <v>127457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>
        <v>12.93</v>
      </c>
      <c r="D61" s="242"/>
      <c r="E61" s="242">
        <v>23.46</v>
      </c>
      <c r="F61" s="242"/>
      <c r="G61" s="242"/>
      <c r="H61" s="242"/>
      <c r="I61" s="242"/>
      <c r="J61" s="242"/>
      <c r="K61" s="242"/>
      <c r="L61" s="242"/>
      <c r="M61" s="242"/>
      <c r="N61" s="242"/>
      <c r="O61" s="242">
        <v>19.37</v>
      </c>
      <c r="P61" s="243">
        <v>49.05</v>
      </c>
      <c r="Q61" s="243"/>
      <c r="R61" s="243"/>
      <c r="S61" s="244"/>
      <c r="T61" s="244"/>
      <c r="U61" s="245">
        <v>14.81</v>
      </c>
      <c r="V61" s="243"/>
      <c r="W61" s="243">
        <v>3.46</v>
      </c>
      <c r="X61" s="243">
        <v>0.92</v>
      </c>
      <c r="Y61" s="243">
        <v>21.57</v>
      </c>
      <c r="Z61" s="243"/>
      <c r="AA61" s="243">
        <v>2.11</v>
      </c>
      <c r="AB61" s="244">
        <v>6.35</v>
      </c>
      <c r="AC61" s="243">
        <v>10.68</v>
      </c>
      <c r="AD61" s="243"/>
      <c r="AE61" s="243">
        <v>40.580000000000005</v>
      </c>
      <c r="AF61" s="243"/>
      <c r="AG61" s="243">
        <v>29.07</v>
      </c>
      <c r="AH61" s="243"/>
      <c r="AI61" s="243"/>
      <c r="AJ61" s="243">
        <v>0.7</v>
      </c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4">
        <v>2.02</v>
      </c>
      <c r="AW61" s="244"/>
      <c r="AX61" s="244"/>
      <c r="AY61" s="243">
        <v>17.27</v>
      </c>
      <c r="AZ61" s="243"/>
      <c r="BA61" s="244">
        <v>1</v>
      </c>
      <c r="BB61" s="244">
        <v>6.02</v>
      </c>
      <c r="BC61" s="244"/>
      <c r="BD61" s="244">
        <v>6.01</v>
      </c>
      <c r="BE61" s="243">
        <v>7.48</v>
      </c>
      <c r="BF61" s="244">
        <v>13.06</v>
      </c>
      <c r="BG61" s="244"/>
      <c r="BH61" s="244">
        <v>5.79</v>
      </c>
      <c r="BI61" s="244">
        <v>3.12</v>
      </c>
      <c r="BJ61" s="244"/>
      <c r="BK61" s="244">
        <v>11.04</v>
      </c>
      <c r="BL61" s="244">
        <v>11.09</v>
      </c>
      <c r="BM61" s="244">
        <v>4.1399999999999997</v>
      </c>
      <c r="BN61" s="244">
        <v>4</v>
      </c>
      <c r="BO61" s="244">
        <v>1.79</v>
      </c>
      <c r="BP61" s="244">
        <v>5.32</v>
      </c>
      <c r="BQ61" s="244"/>
      <c r="BR61" s="244">
        <v>5.91</v>
      </c>
      <c r="BS61" s="244"/>
      <c r="BT61" s="244"/>
      <c r="BU61" s="244"/>
      <c r="BV61" s="244">
        <v>3.91</v>
      </c>
      <c r="BW61" s="244">
        <v>3.07</v>
      </c>
      <c r="BX61" s="244">
        <v>2.0299999999999998</v>
      </c>
      <c r="BY61" s="244">
        <v>6.6</v>
      </c>
      <c r="BZ61" s="244"/>
      <c r="CA61" s="244"/>
      <c r="CB61" s="244"/>
      <c r="CC61" s="244"/>
      <c r="CD61" s="246" t="s">
        <v>233</v>
      </c>
      <c r="CE61" s="267">
        <f t="shared" ref="CE61:CE69" si="4">SUM(C61:CD61)</f>
        <v>355.73000000000008</v>
      </c>
    </row>
    <row r="62" spans="1:83" x14ac:dyDescent="0.35">
      <c r="A62" s="39" t="s">
        <v>248</v>
      </c>
      <c r="B62" s="20"/>
      <c r="C62" s="213">
        <v>1292253</v>
      </c>
      <c r="D62" s="213"/>
      <c r="E62" s="213">
        <v>2925947</v>
      </c>
      <c r="F62" s="213"/>
      <c r="G62" s="213"/>
      <c r="H62" s="213"/>
      <c r="I62" s="213"/>
      <c r="J62" s="213"/>
      <c r="K62" s="213"/>
      <c r="L62" s="213"/>
      <c r="M62" s="213"/>
      <c r="N62" s="213"/>
      <c r="O62" s="213">
        <v>1971766</v>
      </c>
      <c r="P62" s="214">
        <v>4441281</v>
      </c>
      <c r="Q62" s="214"/>
      <c r="R62" s="214"/>
      <c r="S62" s="228"/>
      <c r="T62" s="228"/>
      <c r="U62" s="227">
        <v>1031453</v>
      </c>
      <c r="V62" s="214"/>
      <c r="W62" s="214">
        <v>316724</v>
      </c>
      <c r="X62" s="214">
        <v>76100</v>
      </c>
      <c r="Y62" s="214">
        <v>1776291</v>
      </c>
      <c r="Z62" s="214"/>
      <c r="AA62" s="214">
        <v>237474</v>
      </c>
      <c r="AB62" s="239">
        <v>745687</v>
      </c>
      <c r="AC62" s="214">
        <v>910530</v>
      </c>
      <c r="AD62" s="214"/>
      <c r="AE62" s="214">
        <v>3273301</v>
      </c>
      <c r="AF62" s="214"/>
      <c r="AG62" s="214">
        <v>4985107</v>
      </c>
      <c r="AH62" s="214"/>
      <c r="AI62" s="214"/>
      <c r="AJ62" s="214">
        <v>74181</v>
      </c>
      <c r="AK62" s="214"/>
      <c r="AL62" s="214"/>
      <c r="AM62" s="214"/>
      <c r="AN62" s="214"/>
      <c r="AO62" s="214"/>
      <c r="AP62" s="214">
        <v>61820</v>
      </c>
      <c r="AQ62" s="214"/>
      <c r="AR62" s="214"/>
      <c r="AS62" s="214"/>
      <c r="AT62" s="214"/>
      <c r="AU62" s="214"/>
      <c r="AV62" s="228">
        <v>178198</v>
      </c>
      <c r="AW62" s="228"/>
      <c r="AX62" s="228"/>
      <c r="AY62" s="214">
        <v>808317</v>
      </c>
      <c r="AZ62" s="214"/>
      <c r="BA62" s="228">
        <v>39863</v>
      </c>
      <c r="BB62" s="228">
        <v>477459</v>
      </c>
      <c r="BC62" s="228"/>
      <c r="BD62" s="228">
        <v>416878</v>
      </c>
      <c r="BE62" s="214">
        <v>560260</v>
      </c>
      <c r="BF62" s="228">
        <v>563544</v>
      </c>
      <c r="BG62" s="228"/>
      <c r="BH62" s="228">
        <v>619016</v>
      </c>
      <c r="BI62" s="228">
        <v>372380</v>
      </c>
      <c r="BJ62" s="228"/>
      <c r="BK62" s="228">
        <v>668635</v>
      </c>
      <c r="BL62" s="228">
        <v>501890</v>
      </c>
      <c r="BM62" s="228">
        <v>349762</v>
      </c>
      <c r="BN62" s="228">
        <v>648584</v>
      </c>
      <c r="BO62" s="228">
        <v>93031</v>
      </c>
      <c r="BP62" s="228">
        <v>308682</v>
      </c>
      <c r="BQ62" s="228"/>
      <c r="BR62" s="228">
        <v>558007</v>
      </c>
      <c r="BS62" s="228">
        <v>64053</v>
      </c>
      <c r="BT62" s="228"/>
      <c r="BU62" s="228"/>
      <c r="BV62" s="228">
        <v>269476</v>
      </c>
      <c r="BW62" s="228">
        <v>657415</v>
      </c>
      <c r="BX62" s="228">
        <v>172193</v>
      </c>
      <c r="BY62" s="228">
        <v>897531</v>
      </c>
      <c r="BZ62" s="228"/>
      <c r="CA62" s="228"/>
      <c r="CB62" s="228"/>
      <c r="CC62" s="228"/>
      <c r="CD62" s="29" t="s">
        <v>233</v>
      </c>
      <c r="CE62" s="32">
        <f t="shared" si="4"/>
        <v>33345089</v>
      </c>
    </row>
    <row r="63" spans="1:83" x14ac:dyDescent="0.35">
      <c r="A63" s="39" t="s">
        <v>9</v>
      </c>
      <c r="B63" s="20"/>
      <c r="C63" s="268">
        <f>ROUND(C48+C49,0)</f>
        <v>334216</v>
      </c>
      <c r="D63" s="268">
        <f t="shared" ref="D63:BO63" si="5">ROUND(D48+D49,0)</f>
        <v>0</v>
      </c>
      <c r="E63" s="268">
        <f t="shared" si="5"/>
        <v>756739</v>
      </c>
      <c r="F63" s="268">
        <f t="shared" si="5"/>
        <v>0</v>
      </c>
      <c r="G63" s="268">
        <f t="shared" si="5"/>
        <v>0</v>
      </c>
      <c r="H63" s="268">
        <f t="shared" si="5"/>
        <v>0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509959</v>
      </c>
      <c r="P63" s="268">
        <f t="shared" si="5"/>
        <v>1148650</v>
      </c>
      <c r="Q63" s="268">
        <f t="shared" si="5"/>
        <v>0</v>
      </c>
      <c r="R63" s="268">
        <f t="shared" si="5"/>
        <v>0</v>
      </c>
      <c r="S63" s="268">
        <f t="shared" si="5"/>
        <v>0</v>
      </c>
      <c r="T63" s="268">
        <f t="shared" si="5"/>
        <v>0</v>
      </c>
      <c r="U63" s="268">
        <f t="shared" si="5"/>
        <v>266765</v>
      </c>
      <c r="V63" s="268">
        <f t="shared" si="5"/>
        <v>0</v>
      </c>
      <c r="W63" s="268">
        <f t="shared" si="5"/>
        <v>81914</v>
      </c>
      <c r="X63" s="268">
        <f t="shared" si="5"/>
        <v>19682</v>
      </c>
      <c r="Y63" s="268">
        <f t="shared" si="5"/>
        <v>459403</v>
      </c>
      <c r="Z63" s="268">
        <f t="shared" si="5"/>
        <v>0</v>
      </c>
      <c r="AA63" s="268">
        <f t="shared" si="5"/>
        <v>61418</v>
      </c>
      <c r="AB63" s="268">
        <f t="shared" si="5"/>
        <v>192857</v>
      </c>
      <c r="AC63" s="268">
        <f t="shared" si="5"/>
        <v>235491</v>
      </c>
      <c r="AD63" s="268">
        <f t="shared" si="5"/>
        <v>0</v>
      </c>
      <c r="AE63" s="268">
        <f t="shared" si="5"/>
        <v>846575</v>
      </c>
      <c r="AF63" s="268">
        <f t="shared" si="5"/>
        <v>0</v>
      </c>
      <c r="AG63" s="268">
        <f t="shared" si="5"/>
        <v>1289300</v>
      </c>
      <c r="AH63" s="268">
        <f t="shared" si="5"/>
        <v>0</v>
      </c>
      <c r="AI63" s="268">
        <f t="shared" si="5"/>
        <v>0</v>
      </c>
      <c r="AJ63" s="268">
        <f t="shared" si="5"/>
        <v>19185</v>
      </c>
      <c r="AK63" s="268">
        <f t="shared" si="5"/>
        <v>0</v>
      </c>
      <c r="AL63" s="268">
        <f t="shared" si="5"/>
        <v>0</v>
      </c>
      <c r="AM63" s="268">
        <f t="shared" si="5"/>
        <v>0</v>
      </c>
      <c r="AN63" s="268">
        <f t="shared" si="5"/>
        <v>0</v>
      </c>
      <c r="AO63" s="268">
        <f t="shared" si="5"/>
        <v>0</v>
      </c>
      <c r="AP63" s="268">
        <f t="shared" si="5"/>
        <v>15989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46087</v>
      </c>
      <c r="AW63" s="268">
        <f t="shared" si="5"/>
        <v>0</v>
      </c>
      <c r="AX63" s="268">
        <f t="shared" si="5"/>
        <v>0</v>
      </c>
      <c r="AY63" s="268">
        <f t="shared" si="5"/>
        <v>209055</v>
      </c>
      <c r="AZ63" s="268">
        <f t="shared" si="5"/>
        <v>0</v>
      </c>
      <c r="BA63" s="268">
        <f t="shared" si="5"/>
        <v>10310</v>
      </c>
      <c r="BB63" s="268">
        <f t="shared" si="5"/>
        <v>123485</v>
      </c>
      <c r="BC63" s="268">
        <f t="shared" si="5"/>
        <v>0</v>
      </c>
      <c r="BD63" s="268">
        <f t="shared" si="5"/>
        <v>107817</v>
      </c>
      <c r="BE63" s="268">
        <f t="shared" si="5"/>
        <v>144900</v>
      </c>
      <c r="BF63" s="268">
        <f t="shared" si="5"/>
        <v>145750</v>
      </c>
      <c r="BG63" s="268">
        <f t="shared" si="5"/>
        <v>0</v>
      </c>
      <c r="BH63" s="268">
        <f t="shared" si="5"/>
        <v>160096</v>
      </c>
      <c r="BI63" s="268">
        <f t="shared" si="5"/>
        <v>96309</v>
      </c>
      <c r="BJ63" s="268">
        <f t="shared" si="5"/>
        <v>0</v>
      </c>
      <c r="BK63" s="268">
        <f t="shared" si="5"/>
        <v>172929</v>
      </c>
      <c r="BL63" s="268">
        <f t="shared" si="5"/>
        <v>129804</v>
      </c>
      <c r="BM63" s="268">
        <f t="shared" si="5"/>
        <v>90459</v>
      </c>
      <c r="BN63" s="268">
        <f t="shared" si="5"/>
        <v>167744</v>
      </c>
      <c r="BO63" s="268">
        <f t="shared" si="5"/>
        <v>24061</v>
      </c>
      <c r="BP63" s="268">
        <f t="shared" ref="BP63:CC63" si="6">ROUND(BP48+BP49,0)</f>
        <v>79835</v>
      </c>
      <c r="BQ63" s="268">
        <f t="shared" si="6"/>
        <v>0</v>
      </c>
      <c r="BR63" s="268">
        <f t="shared" si="6"/>
        <v>144318</v>
      </c>
      <c r="BS63" s="268">
        <f t="shared" si="6"/>
        <v>16566</v>
      </c>
      <c r="BT63" s="268">
        <f t="shared" si="6"/>
        <v>0</v>
      </c>
      <c r="BU63" s="268">
        <f t="shared" si="6"/>
        <v>0</v>
      </c>
      <c r="BV63" s="268">
        <f t="shared" si="6"/>
        <v>69695</v>
      </c>
      <c r="BW63" s="268">
        <f t="shared" si="6"/>
        <v>170028</v>
      </c>
      <c r="BX63" s="268">
        <f t="shared" si="6"/>
        <v>44534</v>
      </c>
      <c r="BY63" s="268">
        <f t="shared" si="6"/>
        <v>232129</v>
      </c>
      <c r="BZ63" s="268">
        <f t="shared" si="6"/>
        <v>0</v>
      </c>
      <c r="CA63" s="268">
        <f t="shared" si="6"/>
        <v>0</v>
      </c>
      <c r="CB63" s="268">
        <f t="shared" si="6"/>
        <v>0</v>
      </c>
      <c r="CC63" s="268">
        <f t="shared" si="6"/>
        <v>0</v>
      </c>
      <c r="CD63" s="29" t="s">
        <v>233</v>
      </c>
      <c r="CE63" s="32">
        <f t="shared" si="4"/>
        <v>8624054</v>
      </c>
    </row>
    <row r="64" spans="1:83" x14ac:dyDescent="0.35">
      <c r="A64" s="39" t="s">
        <v>249</v>
      </c>
      <c r="B64" s="20"/>
      <c r="C64" s="213">
        <v>51213</v>
      </c>
      <c r="D64" s="213"/>
      <c r="E64" s="213">
        <v>207203</v>
      </c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>
        <v>1294</v>
      </c>
      <c r="Q64" s="214"/>
      <c r="R64" s="214">
        <v>441793</v>
      </c>
      <c r="S64" s="228"/>
      <c r="T64" s="228"/>
      <c r="U64" s="227">
        <v>871993</v>
      </c>
      <c r="V64" s="214"/>
      <c r="W64" s="214">
        <v>44146</v>
      </c>
      <c r="X64" s="214"/>
      <c r="Y64" s="214">
        <v>311062</v>
      </c>
      <c r="Z64" s="214"/>
      <c r="AA64" s="214">
        <v>223395</v>
      </c>
      <c r="AB64" s="239">
        <v>67256</v>
      </c>
      <c r="AC64" s="214">
        <v>17637</v>
      </c>
      <c r="AD64" s="214"/>
      <c r="AE64" s="214">
        <v>18088</v>
      </c>
      <c r="AF64" s="214"/>
      <c r="AG64" s="214">
        <v>111985</v>
      </c>
      <c r="AH64" s="214"/>
      <c r="AI64" s="214"/>
      <c r="AJ64" s="214"/>
      <c r="AK64" s="214"/>
      <c r="AL64" s="214"/>
      <c r="AM64" s="214"/>
      <c r="AN64" s="214"/>
      <c r="AO64" s="214"/>
      <c r="AP64" s="214">
        <v>680526</v>
      </c>
      <c r="AQ64" s="214"/>
      <c r="AR64" s="214"/>
      <c r="AS64" s="214"/>
      <c r="AT64" s="214"/>
      <c r="AU64" s="214"/>
      <c r="AV64" s="228">
        <v>8828</v>
      </c>
      <c r="AW64" s="228"/>
      <c r="AX64" s="228"/>
      <c r="AY64" s="214">
        <v>4249</v>
      </c>
      <c r="AZ64" s="214"/>
      <c r="BA64" s="228"/>
      <c r="BB64" s="228">
        <v>11596</v>
      </c>
      <c r="BC64" s="228"/>
      <c r="BD64" s="228"/>
      <c r="BE64" s="214">
        <v>47075</v>
      </c>
      <c r="BF64" s="228">
        <v>4900</v>
      </c>
      <c r="BG64" s="228"/>
      <c r="BH64" s="228"/>
      <c r="BI64" s="228">
        <v>41375</v>
      </c>
      <c r="BJ64" s="228"/>
      <c r="BK64" s="228">
        <v>214888</v>
      </c>
      <c r="BL64" s="228"/>
      <c r="BM64" s="228">
        <v>94062</v>
      </c>
      <c r="BN64" s="228">
        <v>167901</v>
      </c>
      <c r="BO64" s="228"/>
      <c r="BP64" s="228">
        <v>409197</v>
      </c>
      <c r="BQ64" s="228"/>
      <c r="BR64" s="228">
        <v>72971</v>
      </c>
      <c r="BS64" s="228"/>
      <c r="BT64" s="228"/>
      <c r="BU64" s="228"/>
      <c r="BV64" s="228">
        <v>241945</v>
      </c>
      <c r="BW64" s="228">
        <v>1324053</v>
      </c>
      <c r="BX64" s="228">
        <v>72100</v>
      </c>
      <c r="BY64" s="228">
        <v>2250</v>
      </c>
      <c r="BZ64" s="228"/>
      <c r="CA64" s="228"/>
      <c r="CB64" s="228"/>
      <c r="CC64" s="228"/>
      <c r="CD64" s="29" t="s">
        <v>233</v>
      </c>
      <c r="CE64" s="32">
        <f t="shared" si="4"/>
        <v>5764981</v>
      </c>
    </row>
    <row r="65" spans="1:83" x14ac:dyDescent="0.35">
      <c r="A65" s="39" t="s">
        <v>250</v>
      </c>
      <c r="B65" s="20"/>
      <c r="C65" s="213">
        <v>86946</v>
      </c>
      <c r="D65" s="213"/>
      <c r="E65" s="213">
        <v>117092</v>
      </c>
      <c r="F65" s="213"/>
      <c r="G65" s="213"/>
      <c r="H65" s="213"/>
      <c r="I65" s="213"/>
      <c r="J65" s="213"/>
      <c r="K65" s="213"/>
      <c r="L65" s="213"/>
      <c r="M65" s="213"/>
      <c r="N65" s="213"/>
      <c r="O65" s="213">
        <v>119328</v>
      </c>
      <c r="P65" s="214">
        <v>1222416</v>
      </c>
      <c r="Q65" s="214">
        <v>28673</v>
      </c>
      <c r="R65" s="214">
        <v>127127</v>
      </c>
      <c r="S65" s="228">
        <v>4896219</v>
      </c>
      <c r="T65" s="228"/>
      <c r="U65" s="227">
        <v>894185</v>
      </c>
      <c r="V65" s="214"/>
      <c r="W65" s="214">
        <v>8789</v>
      </c>
      <c r="X65" s="214">
        <v>18577</v>
      </c>
      <c r="Y65" s="214">
        <v>137764</v>
      </c>
      <c r="Z65" s="214"/>
      <c r="AA65" s="214">
        <v>242907</v>
      </c>
      <c r="AB65" s="239">
        <v>3065714</v>
      </c>
      <c r="AC65" s="214">
        <v>43976</v>
      </c>
      <c r="AD65" s="214"/>
      <c r="AE65" s="214">
        <v>86491</v>
      </c>
      <c r="AF65" s="214"/>
      <c r="AG65" s="214">
        <v>187895</v>
      </c>
      <c r="AH65" s="214"/>
      <c r="AI65" s="214"/>
      <c r="AJ65" s="214"/>
      <c r="AK65" s="214"/>
      <c r="AL65" s="214"/>
      <c r="AM65" s="214"/>
      <c r="AN65" s="214"/>
      <c r="AO65" s="214"/>
      <c r="AP65" s="214">
        <v>156124</v>
      </c>
      <c r="AQ65" s="214"/>
      <c r="AR65" s="214"/>
      <c r="AS65" s="214"/>
      <c r="AT65" s="214"/>
      <c r="AU65" s="214"/>
      <c r="AV65" s="228">
        <v>6356</v>
      </c>
      <c r="AW65" s="228"/>
      <c r="AX65" s="228"/>
      <c r="AY65" s="214">
        <v>424736</v>
      </c>
      <c r="AZ65" s="214"/>
      <c r="BA65" s="228"/>
      <c r="BB65" s="228">
        <v>2493</v>
      </c>
      <c r="BC65" s="228"/>
      <c r="BD65" s="228">
        <v>17270</v>
      </c>
      <c r="BE65" s="214">
        <v>8722</v>
      </c>
      <c r="BF65" s="228">
        <v>58108</v>
      </c>
      <c r="BG65" s="228"/>
      <c r="BH65" s="228">
        <v>2667</v>
      </c>
      <c r="BI65" s="228">
        <v>9325</v>
      </c>
      <c r="BJ65" s="228"/>
      <c r="BK65" s="228">
        <v>21607</v>
      </c>
      <c r="BL65" s="228">
        <v>11081</v>
      </c>
      <c r="BM65" s="228">
        <v>6468</v>
      </c>
      <c r="BN65" s="228">
        <v>11664</v>
      </c>
      <c r="BO65" s="228">
        <v>358</v>
      </c>
      <c r="BP65" s="228">
        <v>1804</v>
      </c>
      <c r="BQ65" s="228"/>
      <c r="BR65" s="228">
        <v>7011</v>
      </c>
      <c r="BS65" s="228">
        <v>745</v>
      </c>
      <c r="BT65" s="228"/>
      <c r="BU65" s="228"/>
      <c r="BV65" s="228">
        <v>5418</v>
      </c>
      <c r="BW65" s="228">
        <v>9965</v>
      </c>
      <c r="BX65" s="228">
        <v>551</v>
      </c>
      <c r="BY65" s="228">
        <v>3387</v>
      </c>
      <c r="BZ65" s="228"/>
      <c r="CA65" s="228"/>
      <c r="CB65" s="228"/>
      <c r="CC65" s="228"/>
      <c r="CD65" s="29" t="s">
        <v>233</v>
      </c>
      <c r="CE65" s="32">
        <f t="shared" si="4"/>
        <v>12049959</v>
      </c>
    </row>
    <row r="66" spans="1:83" x14ac:dyDescent="0.35">
      <c r="A66" s="39" t="s">
        <v>251</v>
      </c>
      <c r="B66" s="20"/>
      <c r="C66" s="213">
        <v>480</v>
      </c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>
        <v>480</v>
      </c>
      <c r="P66" s="214">
        <v>1640</v>
      </c>
      <c r="Q66" s="214"/>
      <c r="R66" s="214"/>
      <c r="S66" s="228"/>
      <c r="T66" s="228"/>
      <c r="U66" s="227">
        <v>960</v>
      </c>
      <c r="V66" s="214"/>
      <c r="W66" s="214"/>
      <c r="X66" s="214"/>
      <c r="Y66" s="214">
        <v>520</v>
      </c>
      <c r="Z66" s="214"/>
      <c r="AA66" s="214"/>
      <c r="AB66" s="239">
        <v>22493</v>
      </c>
      <c r="AC66" s="214">
        <v>480</v>
      </c>
      <c r="AD66" s="214"/>
      <c r="AE66" s="214">
        <v>30901</v>
      </c>
      <c r="AF66" s="214"/>
      <c r="AG66" s="214">
        <v>1706</v>
      </c>
      <c r="AH66" s="214"/>
      <c r="AI66" s="214"/>
      <c r="AJ66" s="214"/>
      <c r="AK66" s="214"/>
      <c r="AL66" s="214"/>
      <c r="AM66" s="214"/>
      <c r="AN66" s="214"/>
      <c r="AO66" s="214"/>
      <c r="AP66" s="214">
        <v>2825</v>
      </c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>
        <v>3015</v>
      </c>
      <c r="BC66" s="228"/>
      <c r="BD66" s="228">
        <v>1210</v>
      </c>
      <c r="BE66" s="214">
        <v>521796</v>
      </c>
      <c r="BF66" s="228">
        <v>56514</v>
      </c>
      <c r="BG66" s="228"/>
      <c r="BH66" s="228">
        <v>137162</v>
      </c>
      <c r="BI66" s="228">
        <v>4671</v>
      </c>
      <c r="BJ66" s="228"/>
      <c r="BK66" s="228">
        <v>3126</v>
      </c>
      <c r="BL66" s="228">
        <v>480</v>
      </c>
      <c r="BM66" s="228"/>
      <c r="BN66" s="228">
        <v>960</v>
      </c>
      <c r="BO66" s="228"/>
      <c r="BP66" s="228">
        <v>40</v>
      </c>
      <c r="BQ66" s="228"/>
      <c r="BR66" s="228"/>
      <c r="BS66" s="228"/>
      <c r="BT66" s="228"/>
      <c r="BU66" s="228"/>
      <c r="BV66" s="228"/>
      <c r="BW66" s="228">
        <v>680</v>
      </c>
      <c r="BX66" s="228">
        <v>480</v>
      </c>
      <c r="BY66" s="228">
        <v>1051</v>
      </c>
      <c r="BZ66" s="228"/>
      <c r="CA66" s="228"/>
      <c r="CB66" s="228"/>
      <c r="CC66" s="228"/>
      <c r="CD66" s="29" t="s">
        <v>233</v>
      </c>
      <c r="CE66" s="32">
        <f t="shared" si="4"/>
        <v>793670</v>
      </c>
    </row>
    <row r="67" spans="1:83" x14ac:dyDescent="0.35">
      <c r="A67" s="39" t="s">
        <v>252</v>
      </c>
      <c r="B67" s="20"/>
      <c r="C67" s="213">
        <v>28224</v>
      </c>
      <c r="D67" s="213"/>
      <c r="E67" s="213">
        <v>25684</v>
      </c>
      <c r="F67" s="213"/>
      <c r="G67" s="213"/>
      <c r="H67" s="213"/>
      <c r="I67" s="213"/>
      <c r="J67" s="213"/>
      <c r="K67" s="213"/>
      <c r="L67" s="213"/>
      <c r="M67" s="213"/>
      <c r="N67" s="213"/>
      <c r="O67" s="213">
        <v>64633</v>
      </c>
      <c r="P67" s="214">
        <v>494664</v>
      </c>
      <c r="Q67" s="214">
        <v>328</v>
      </c>
      <c r="R67" s="214">
        <v>2281</v>
      </c>
      <c r="S67" s="228"/>
      <c r="T67" s="228"/>
      <c r="U67" s="227">
        <v>121469</v>
      </c>
      <c r="V67" s="214"/>
      <c r="W67" s="214">
        <v>167758</v>
      </c>
      <c r="X67" s="214">
        <v>165906</v>
      </c>
      <c r="Y67" s="214">
        <v>312491</v>
      </c>
      <c r="Z67" s="214"/>
      <c r="AA67" s="214">
        <v>129251</v>
      </c>
      <c r="AB67" s="239">
        <v>28442</v>
      </c>
      <c r="AC67" s="214">
        <v>13171</v>
      </c>
      <c r="AD67" s="214"/>
      <c r="AE67" s="214">
        <v>86792</v>
      </c>
      <c r="AF67" s="214"/>
      <c r="AG67" s="214">
        <v>78213</v>
      </c>
      <c r="AH67" s="214"/>
      <c r="AI67" s="214"/>
      <c r="AJ67" s="214"/>
      <c r="AK67" s="214"/>
      <c r="AL67" s="214"/>
      <c r="AM67" s="214"/>
      <c r="AN67" s="214"/>
      <c r="AO67" s="214"/>
      <c r="AP67" s="214">
        <v>15170</v>
      </c>
      <c r="AQ67" s="214"/>
      <c r="AR67" s="214"/>
      <c r="AS67" s="214"/>
      <c r="AT67" s="214"/>
      <c r="AU67" s="214"/>
      <c r="AV67" s="228">
        <v>1194</v>
      </c>
      <c r="AW67" s="228"/>
      <c r="AX67" s="228"/>
      <c r="AY67" s="214">
        <v>10549</v>
      </c>
      <c r="AZ67" s="214"/>
      <c r="BA67" s="228">
        <v>205655</v>
      </c>
      <c r="BB67" s="228">
        <v>14918</v>
      </c>
      <c r="BC67" s="228"/>
      <c r="BD67" s="228">
        <v>5587</v>
      </c>
      <c r="BE67" s="214">
        <v>167977</v>
      </c>
      <c r="BF67" s="228">
        <v>1306</v>
      </c>
      <c r="BG67" s="228"/>
      <c r="BH67" s="228">
        <v>1123110</v>
      </c>
      <c r="BI67" s="228">
        <v>122212</v>
      </c>
      <c r="BJ67" s="228"/>
      <c r="BK67" s="228">
        <v>363042</v>
      </c>
      <c r="BL67" s="228">
        <v>159</v>
      </c>
      <c r="BM67" s="228">
        <v>30697</v>
      </c>
      <c r="BN67" s="228">
        <v>33982</v>
      </c>
      <c r="BO67" s="228"/>
      <c r="BP67" s="228">
        <v>46109</v>
      </c>
      <c r="BQ67" s="228"/>
      <c r="BR67" s="228">
        <v>90627</v>
      </c>
      <c r="BS67" s="228"/>
      <c r="BT67" s="228"/>
      <c r="BU67" s="228"/>
      <c r="BV67" s="228">
        <v>42710</v>
      </c>
      <c r="BW67" s="228">
        <v>23052</v>
      </c>
      <c r="BX67" s="228">
        <v>47861</v>
      </c>
      <c r="BY67" s="228"/>
      <c r="BZ67" s="228"/>
      <c r="CA67" s="228"/>
      <c r="CB67" s="228"/>
      <c r="CC67" s="228"/>
      <c r="CD67" s="29" t="s">
        <v>233</v>
      </c>
      <c r="CE67" s="32">
        <f t="shared" si="4"/>
        <v>4065224</v>
      </c>
    </row>
    <row r="68" spans="1:83" x14ac:dyDescent="0.35">
      <c r="A68" s="39" t="s">
        <v>11</v>
      </c>
      <c r="B68" s="20"/>
      <c r="C68" s="32">
        <f t="shared" ref="C68:BN68" si="7">ROUND(C52+C53,0)</f>
        <v>84621</v>
      </c>
      <c r="D68" s="32">
        <f t="shared" si="7"/>
        <v>0</v>
      </c>
      <c r="E68" s="32">
        <f t="shared" si="7"/>
        <v>141834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169386</v>
      </c>
      <c r="P68" s="32">
        <f t="shared" si="7"/>
        <v>327115</v>
      </c>
      <c r="Q68" s="32">
        <f t="shared" si="7"/>
        <v>0</v>
      </c>
      <c r="R68" s="32">
        <f t="shared" si="7"/>
        <v>0</v>
      </c>
      <c r="S68" s="32">
        <f t="shared" si="7"/>
        <v>28193</v>
      </c>
      <c r="T68" s="32">
        <f t="shared" si="7"/>
        <v>0</v>
      </c>
      <c r="U68" s="32">
        <f t="shared" si="7"/>
        <v>42434</v>
      </c>
      <c r="V68" s="32">
        <f t="shared" si="7"/>
        <v>8061</v>
      </c>
      <c r="W68" s="32">
        <f t="shared" si="7"/>
        <v>13104</v>
      </c>
      <c r="X68" s="32">
        <f t="shared" si="7"/>
        <v>10789</v>
      </c>
      <c r="Y68" s="32">
        <f t="shared" si="7"/>
        <v>101983</v>
      </c>
      <c r="Z68" s="32">
        <f t="shared" si="7"/>
        <v>0</v>
      </c>
      <c r="AA68" s="32">
        <f t="shared" si="7"/>
        <v>7110</v>
      </c>
      <c r="AB68" s="32">
        <f t="shared" si="7"/>
        <v>20256</v>
      </c>
      <c r="AC68" s="32">
        <f t="shared" si="7"/>
        <v>26891</v>
      </c>
      <c r="AD68" s="32">
        <f t="shared" si="7"/>
        <v>0</v>
      </c>
      <c r="AE68" s="32">
        <f t="shared" si="7"/>
        <v>289538</v>
      </c>
      <c r="AF68" s="32">
        <f t="shared" si="7"/>
        <v>0</v>
      </c>
      <c r="AG68" s="32">
        <f t="shared" si="7"/>
        <v>123624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54361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9839</v>
      </c>
      <c r="AW68" s="32">
        <f t="shared" si="7"/>
        <v>0</v>
      </c>
      <c r="AX68" s="32">
        <f t="shared" si="7"/>
        <v>0</v>
      </c>
      <c r="AY68" s="32">
        <f t="shared" si="7"/>
        <v>94170</v>
      </c>
      <c r="AZ68" s="32">
        <f t="shared" si="7"/>
        <v>0</v>
      </c>
      <c r="BA68" s="32">
        <f t="shared" si="7"/>
        <v>26664</v>
      </c>
      <c r="BB68" s="32">
        <f t="shared" si="7"/>
        <v>8723</v>
      </c>
      <c r="BC68" s="32">
        <f t="shared" si="7"/>
        <v>0</v>
      </c>
      <c r="BD68" s="32">
        <f t="shared" si="7"/>
        <v>58970</v>
      </c>
      <c r="BE68" s="32">
        <f t="shared" si="7"/>
        <v>225256</v>
      </c>
      <c r="BF68" s="32">
        <f t="shared" si="7"/>
        <v>91897</v>
      </c>
      <c r="BG68" s="32">
        <f t="shared" si="7"/>
        <v>0</v>
      </c>
      <c r="BH68" s="32">
        <f t="shared" si="7"/>
        <v>21724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21331</v>
      </c>
      <c r="BM68" s="32">
        <f t="shared" si="7"/>
        <v>0</v>
      </c>
      <c r="BN68" s="32">
        <f t="shared" si="7"/>
        <v>44150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13518</v>
      </c>
      <c r="BW68" s="32">
        <f t="shared" si="8"/>
        <v>4857</v>
      </c>
      <c r="BX68" s="32">
        <f t="shared" si="8"/>
        <v>3100</v>
      </c>
      <c r="BY68" s="32">
        <f t="shared" si="8"/>
        <v>2790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558180</v>
      </c>
      <c r="CD68" s="29" t="s">
        <v>233</v>
      </c>
      <c r="CE68" s="32">
        <f t="shared" si="4"/>
        <v>2634469</v>
      </c>
    </row>
    <row r="69" spans="1:83" x14ac:dyDescent="0.35">
      <c r="A69" s="39" t="s">
        <v>253</v>
      </c>
      <c r="B69" s="32"/>
      <c r="C69" s="213">
        <v>12430</v>
      </c>
      <c r="D69" s="213"/>
      <c r="E69" s="213">
        <v>54934</v>
      </c>
      <c r="F69" s="213"/>
      <c r="G69" s="213"/>
      <c r="H69" s="213"/>
      <c r="I69" s="213"/>
      <c r="J69" s="213"/>
      <c r="K69" s="213"/>
      <c r="L69" s="213"/>
      <c r="M69" s="213"/>
      <c r="N69" s="213"/>
      <c r="O69" s="213">
        <v>28687</v>
      </c>
      <c r="P69" s="214">
        <v>77709</v>
      </c>
      <c r="Q69" s="214"/>
      <c r="R69" s="214"/>
      <c r="S69" s="228">
        <v>63093</v>
      </c>
      <c r="T69" s="228"/>
      <c r="U69" s="227">
        <v>3059</v>
      </c>
      <c r="V69" s="214"/>
      <c r="W69" s="214">
        <v>33300</v>
      </c>
      <c r="X69" s="214"/>
      <c r="Y69" s="214">
        <v>30554</v>
      </c>
      <c r="Z69" s="214"/>
      <c r="AA69" s="214"/>
      <c r="AB69" s="239">
        <v>136626</v>
      </c>
      <c r="AC69" s="214">
        <v>466</v>
      </c>
      <c r="AD69" s="214"/>
      <c r="AE69" s="214">
        <v>17281</v>
      </c>
      <c r="AF69" s="214"/>
      <c r="AG69" s="214">
        <v>29932</v>
      </c>
      <c r="AH69" s="214"/>
      <c r="AI69" s="214"/>
      <c r="AJ69" s="214"/>
      <c r="AK69" s="214"/>
      <c r="AL69" s="214"/>
      <c r="AM69" s="214"/>
      <c r="AN69" s="214"/>
      <c r="AO69" s="214"/>
      <c r="AP69" s="214">
        <v>31391</v>
      </c>
      <c r="AQ69" s="214"/>
      <c r="AR69" s="214"/>
      <c r="AS69" s="214"/>
      <c r="AT69" s="214"/>
      <c r="AU69" s="214"/>
      <c r="AV69" s="228"/>
      <c r="AW69" s="228"/>
      <c r="AX69" s="228"/>
      <c r="AY69" s="214">
        <v>2264</v>
      </c>
      <c r="AZ69" s="214"/>
      <c r="BA69" s="228"/>
      <c r="BB69" s="228">
        <v>1861</v>
      </c>
      <c r="BC69" s="228"/>
      <c r="BD69" s="228">
        <v>7414</v>
      </c>
      <c r="BE69" s="214">
        <v>7762</v>
      </c>
      <c r="BF69" s="228">
        <v>103</v>
      </c>
      <c r="BG69" s="228"/>
      <c r="BH69" s="228"/>
      <c r="BI69" s="228">
        <v>42655</v>
      </c>
      <c r="BJ69" s="228"/>
      <c r="BK69" s="228">
        <v>56032</v>
      </c>
      <c r="BL69" s="228">
        <v>3709</v>
      </c>
      <c r="BM69" s="228">
        <v>11706</v>
      </c>
      <c r="BN69" s="228">
        <v>29104</v>
      </c>
      <c r="BO69" s="228"/>
      <c r="BP69" s="228"/>
      <c r="BQ69" s="228"/>
      <c r="BR69" s="228">
        <v>11706</v>
      </c>
      <c r="BS69" s="228"/>
      <c r="BT69" s="228"/>
      <c r="BU69" s="228"/>
      <c r="BV69" s="228">
        <v>7566</v>
      </c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701344</v>
      </c>
    </row>
    <row r="70" spans="1:83" x14ac:dyDescent="0.35">
      <c r="A70" s="39" t="s">
        <v>254</v>
      </c>
      <c r="B70" s="20"/>
      <c r="C70" s="32">
        <f t="shared" ref="C70:BN70" si="9">SUM(C71:C84)</f>
        <v>3093</v>
      </c>
      <c r="D70" s="32">
        <f t="shared" si="9"/>
        <v>0</v>
      </c>
      <c r="E70" s="32">
        <f t="shared" si="9"/>
        <v>2202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5359</v>
      </c>
      <c r="P70" s="32">
        <f t="shared" si="9"/>
        <v>16652</v>
      </c>
      <c r="Q70" s="32">
        <f t="shared" si="9"/>
        <v>0</v>
      </c>
      <c r="R70" s="32">
        <f t="shared" si="9"/>
        <v>0</v>
      </c>
      <c r="S70" s="32">
        <f t="shared" si="9"/>
        <v>100563</v>
      </c>
      <c r="T70" s="32">
        <f t="shared" si="9"/>
        <v>0</v>
      </c>
      <c r="U70" s="32">
        <f t="shared" si="9"/>
        <v>6856</v>
      </c>
      <c r="V70" s="32">
        <f t="shared" si="9"/>
        <v>0</v>
      </c>
      <c r="W70" s="32">
        <f t="shared" si="9"/>
        <v>6100</v>
      </c>
      <c r="X70" s="32">
        <f t="shared" si="9"/>
        <v>2610</v>
      </c>
      <c r="Y70" s="32">
        <f t="shared" si="9"/>
        <v>11773</v>
      </c>
      <c r="Z70" s="32">
        <f t="shared" si="9"/>
        <v>0</v>
      </c>
      <c r="AA70" s="32">
        <f t="shared" si="9"/>
        <v>12246</v>
      </c>
      <c r="AB70" s="32">
        <f t="shared" si="9"/>
        <v>7110</v>
      </c>
      <c r="AC70" s="32">
        <f t="shared" si="9"/>
        <v>1265</v>
      </c>
      <c r="AD70" s="32">
        <f t="shared" si="9"/>
        <v>0</v>
      </c>
      <c r="AE70" s="32">
        <f t="shared" si="9"/>
        <v>33848</v>
      </c>
      <c r="AF70" s="32">
        <f t="shared" si="9"/>
        <v>0</v>
      </c>
      <c r="AG70" s="32">
        <f t="shared" si="9"/>
        <v>63781</v>
      </c>
      <c r="AH70" s="32">
        <f t="shared" si="9"/>
        <v>0</v>
      </c>
      <c r="AI70" s="32">
        <f t="shared" si="9"/>
        <v>0</v>
      </c>
      <c r="AJ70" s="32">
        <f t="shared" si="9"/>
        <v>450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138413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8206</v>
      </c>
      <c r="AW70" s="32">
        <f t="shared" si="9"/>
        <v>0</v>
      </c>
      <c r="AX70" s="32">
        <f t="shared" si="9"/>
        <v>0</v>
      </c>
      <c r="AY70" s="32">
        <f t="shared" si="9"/>
        <v>3722</v>
      </c>
      <c r="AZ70" s="32">
        <f t="shared" si="9"/>
        <v>0</v>
      </c>
      <c r="BA70" s="32">
        <f t="shared" si="9"/>
        <v>0</v>
      </c>
      <c r="BB70" s="32">
        <f t="shared" si="9"/>
        <v>4421</v>
      </c>
      <c r="BC70" s="32">
        <f t="shared" si="9"/>
        <v>0</v>
      </c>
      <c r="BD70" s="32">
        <f t="shared" si="9"/>
        <v>3397</v>
      </c>
      <c r="BE70" s="32">
        <f t="shared" si="9"/>
        <v>936</v>
      </c>
      <c r="BF70" s="32">
        <f t="shared" si="9"/>
        <v>452</v>
      </c>
      <c r="BG70" s="32">
        <f t="shared" si="9"/>
        <v>0</v>
      </c>
      <c r="BH70" s="32">
        <f t="shared" si="9"/>
        <v>3946</v>
      </c>
      <c r="BI70" s="32">
        <f t="shared" si="9"/>
        <v>150910</v>
      </c>
      <c r="BJ70" s="32">
        <f t="shared" si="9"/>
        <v>0</v>
      </c>
      <c r="BK70" s="32">
        <f t="shared" si="9"/>
        <v>7013</v>
      </c>
      <c r="BL70" s="32">
        <f t="shared" si="9"/>
        <v>0</v>
      </c>
      <c r="BM70" s="32">
        <f t="shared" si="9"/>
        <v>88656</v>
      </c>
      <c r="BN70" s="32">
        <f t="shared" si="9"/>
        <v>227579</v>
      </c>
      <c r="BO70" s="32">
        <f t="shared" ref="BO70:CD70" si="10">SUM(BO71:BO84)</f>
        <v>386</v>
      </c>
      <c r="BP70" s="32">
        <f t="shared" si="10"/>
        <v>5893</v>
      </c>
      <c r="BQ70" s="32">
        <f t="shared" si="10"/>
        <v>0</v>
      </c>
      <c r="BR70" s="32">
        <f t="shared" si="10"/>
        <v>58864</v>
      </c>
      <c r="BS70" s="32">
        <f t="shared" si="10"/>
        <v>3234</v>
      </c>
      <c r="BT70" s="32">
        <f t="shared" si="10"/>
        <v>0</v>
      </c>
      <c r="BU70" s="32">
        <f t="shared" si="10"/>
        <v>0</v>
      </c>
      <c r="BV70" s="32">
        <f t="shared" si="10"/>
        <v>390</v>
      </c>
      <c r="BW70" s="32">
        <f t="shared" si="10"/>
        <v>17950</v>
      </c>
      <c r="BX70" s="32">
        <f t="shared" si="10"/>
        <v>7753</v>
      </c>
      <c r="BY70" s="32">
        <f t="shared" si="10"/>
        <v>8825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1562769</v>
      </c>
      <c r="CE70" s="32">
        <f>SUM(CE71:CE85)</f>
        <v>5567599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3093</v>
      </c>
      <c r="D84" s="24"/>
      <c r="E84" s="30">
        <v>2202</v>
      </c>
      <c r="F84" s="30"/>
      <c r="G84" s="24"/>
      <c r="H84" s="24"/>
      <c r="I84" s="30"/>
      <c r="J84" s="30"/>
      <c r="K84" s="30"/>
      <c r="L84" s="30"/>
      <c r="M84" s="24"/>
      <c r="N84" s="24"/>
      <c r="O84" s="24">
        <v>5359</v>
      </c>
      <c r="P84" s="30">
        <v>16652</v>
      </c>
      <c r="Q84" s="30"/>
      <c r="R84" s="31"/>
      <c r="S84" s="30">
        <v>100563</v>
      </c>
      <c r="T84" s="24"/>
      <c r="U84" s="30">
        <v>6856</v>
      </c>
      <c r="V84" s="30"/>
      <c r="W84" s="24">
        <v>6100</v>
      </c>
      <c r="X84" s="30">
        <v>2610</v>
      </c>
      <c r="Y84" s="30">
        <v>11773</v>
      </c>
      <c r="Z84" s="30"/>
      <c r="AA84" s="30">
        <v>12246</v>
      </c>
      <c r="AB84" s="30">
        <v>7110</v>
      </c>
      <c r="AC84" s="30">
        <v>1265</v>
      </c>
      <c r="AD84" s="30"/>
      <c r="AE84" s="30">
        <v>33848</v>
      </c>
      <c r="AF84" s="30"/>
      <c r="AG84" s="30">
        <v>63781</v>
      </c>
      <c r="AH84" s="30"/>
      <c r="AI84" s="30"/>
      <c r="AJ84" s="30">
        <v>450</v>
      </c>
      <c r="AK84" s="30"/>
      <c r="AL84" s="30"/>
      <c r="AM84" s="30"/>
      <c r="AN84" s="30"/>
      <c r="AO84" s="24"/>
      <c r="AP84" s="30">
        <v>138413</v>
      </c>
      <c r="AQ84" s="24"/>
      <c r="AR84" s="24"/>
      <c r="AS84" s="24"/>
      <c r="AT84" s="24"/>
      <c r="AU84" s="30"/>
      <c r="AV84" s="30">
        <v>8206</v>
      </c>
      <c r="AW84" s="30"/>
      <c r="AX84" s="30"/>
      <c r="AY84" s="30">
        <v>3722</v>
      </c>
      <c r="AZ84" s="30"/>
      <c r="BA84" s="30"/>
      <c r="BB84" s="30">
        <v>4421</v>
      </c>
      <c r="BC84" s="30"/>
      <c r="BD84" s="30">
        <v>3397</v>
      </c>
      <c r="BE84" s="30">
        <v>936</v>
      </c>
      <c r="BF84" s="30">
        <v>452</v>
      </c>
      <c r="BG84" s="30"/>
      <c r="BH84" s="31">
        <v>3946</v>
      </c>
      <c r="BI84" s="30">
        <v>150910</v>
      </c>
      <c r="BJ84" s="30"/>
      <c r="BK84" s="30">
        <v>7013</v>
      </c>
      <c r="BL84" s="30"/>
      <c r="BM84" s="30">
        <v>88656</v>
      </c>
      <c r="BN84" s="30">
        <v>227579</v>
      </c>
      <c r="BO84" s="30">
        <v>386</v>
      </c>
      <c r="BP84" s="30">
        <v>5893</v>
      </c>
      <c r="BQ84" s="30"/>
      <c r="BR84" s="30">
        <v>58864</v>
      </c>
      <c r="BS84" s="30">
        <v>3234</v>
      </c>
      <c r="BT84" s="30"/>
      <c r="BU84" s="30"/>
      <c r="BV84" s="30">
        <v>390</v>
      </c>
      <c r="BW84" s="30">
        <v>17950</v>
      </c>
      <c r="BX84" s="30">
        <v>7753</v>
      </c>
      <c r="BY84" s="30">
        <v>8825</v>
      </c>
      <c r="BZ84" s="30"/>
      <c r="CA84" s="30"/>
      <c r="CB84" s="30"/>
      <c r="CC84" s="30"/>
      <c r="CD84" s="35">
        <v>1562769</v>
      </c>
      <c r="CE84" s="32">
        <f t="shared" si="11"/>
        <v>2577623</v>
      </c>
    </row>
    <row r="85" spans="1:84" x14ac:dyDescent="0.35">
      <c r="A85" s="39" t="s">
        <v>269</v>
      </c>
      <c r="B85" s="20"/>
      <c r="C85" s="213">
        <v>5160</v>
      </c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>
        <v>3765</v>
      </c>
      <c r="P85" s="213">
        <v>11880</v>
      </c>
      <c r="Q85" s="213"/>
      <c r="R85" s="213"/>
      <c r="S85" s="213">
        <v>6757</v>
      </c>
      <c r="T85" s="213"/>
      <c r="U85" s="213"/>
      <c r="V85" s="213"/>
      <c r="W85" s="213"/>
      <c r="X85" s="213"/>
      <c r="Y85" s="213">
        <v>20</v>
      </c>
      <c r="Z85" s="213"/>
      <c r="AA85" s="213"/>
      <c r="AB85" s="213">
        <v>16492</v>
      </c>
      <c r="AC85" s="213"/>
      <c r="AD85" s="213"/>
      <c r="AE85" s="213">
        <v>44852</v>
      </c>
      <c r="AF85" s="213"/>
      <c r="AG85" s="213">
        <v>2000</v>
      </c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>
        <v>234096</v>
      </c>
      <c r="AW85" s="213"/>
      <c r="AX85" s="213"/>
      <c r="AY85" s="213"/>
      <c r="AZ85" s="213">
        <v>317597</v>
      </c>
      <c r="BA85" s="213"/>
      <c r="BB85" s="213">
        <v>16720</v>
      </c>
      <c r="BC85" s="213"/>
      <c r="BD85" s="213"/>
      <c r="BE85" s="213"/>
      <c r="BF85" s="213"/>
      <c r="BG85" s="213"/>
      <c r="BH85" s="213">
        <v>15540</v>
      </c>
      <c r="BI85" s="213"/>
      <c r="BJ85" s="213"/>
      <c r="BK85" s="213"/>
      <c r="BL85" s="213"/>
      <c r="BM85" s="213">
        <v>1817390</v>
      </c>
      <c r="BN85" s="213">
        <v>50000</v>
      </c>
      <c r="BO85" s="213"/>
      <c r="BP85" s="213">
        <v>15000</v>
      </c>
      <c r="BQ85" s="213"/>
      <c r="BR85" s="213">
        <v>35300</v>
      </c>
      <c r="BS85" s="213"/>
      <c r="BT85" s="213"/>
      <c r="BU85" s="213"/>
      <c r="BV85" s="213">
        <v>8399</v>
      </c>
      <c r="BW85" s="213">
        <v>247674</v>
      </c>
      <c r="BX85" s="213"/>
      <c r="BY85" s="213">
        <v>30078</v>
      </c>
      <c r="BZ85" s="213"/>
      <c r="CA85" s="213"/>
      <c r="CB85" s="213"/>
      <c r="CC85" s="213"/>
      <c r="CD85" s="35">
        <v>111256</v>
      </c>
      <c r="CE85" s="32">
        <f t="shared" si="11"/>
        <v>2989976</v>
      </c>
    </row>
    <row r="86" spans="1:84" x14ac:dyDescent="0.35">
      <c r="A86" s="39" t="s">
        <v>270</v>
      </c>
      <c r="B86" s="32"/>
      <c r="C86" s="32">
        <f>SUM(C62:C70)-C85</f>
        <v>1888316</v>
      </c>
      <c r="D86" s="32">
        <f t="shared" ref="D86:BO86" si="12">SUM(D62:D70)-D85</f>
        <v>0</v>
      </c>
      <c r="E86" s="32">
        <f t="shared" si="12"/>
        <v>4231635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2865833</v>
      </c>
      <c r="P86" s="32">
        <f t="shared" si="12"/>
        <v>7719541</v>
      </c>
      <c r="Q86" s="32">
        <f t="shared" si="12"/>
        <v>29001</v>
      </c>
      <c r="R86" s="32">
        <f t="shared" si="12"/>
        <v>571201</v>
      </c>
      <c r="S86" s="32">
        <f t="shared" si="12"/>
        <v>5081311</v>
      </c>
      <c r="T86" s="32">
        <f t="shared" si="12"/>
        <v>0</v>
      </c>
      <c r="U86" s="32">
        <f t="shared" si="12"/>
        <v>3239174</v>
      </c>
      <c r="V86" s="32">
        <f t="shared" si="12"/>
        <v>8061</v>
      </c>
      <c r="W86" s="32">
        <f t="shared" si="12"/>
        <v>671835</v>
      </c>
      <c r="X86" s="32">
        <f t="shared" si="12"/>
        <v>293664</v>
      </c>
      <c r="Y86" s="32">
        <f t="shared" si="12"/>
        <v>3141821</v>
      </c>
      <c r="Z86" s="32">
        <f t="shared" si="12"/>
        <v>0</v>
      </c>
      <c r="AA86" s="32">
        <f t="shared" si="12"/>
        <v>913801</v>
      </c>
      <c r="AB86" s="32">
        <f t="shared" si="12"/>
        <v>4269949</v>
      </c>
      <c r="AC86" s="32">
        <f t="shared" si="12"/>
        <v>1249907</v>
      </c>
      <c r="AD86" s="32">
        <f t="shared" si="12"/>
        <v>0</v>
      </c>
      <c r="AE86" s="32">
        <f t="shared" si="12"/>
        <v>4637963</v>
      </c>
      <c r="AF86" s="32">
        <f t="shared" si="12"/>
        <v>0</v>
      </c>
      <c r="AG86" s="32">
        <f t="shared" si="12"/>
        <v>6869543</v>
      </c>
      <c r="AH86" s="32">
        <f t="shared" si="12"/>
        <v>0</v>
      </c>
      <c r="AI86" s="32">
        <f t="shared" si="12"/>
        <v>0</v>
      </c>
      <c r="AJ86" s="32">
        <f t="shared" si="12"/>
        <v>93816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1156619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24612</v>
      </c>
      <c r="AW86" s="32">
        <f t="shared" si="12"/>
        <v>0</v>
      </c>
      <c r="AX86" s="32">
        <f t="shared" si="12"/>
        <v>0</v>
      </c>
      <c r="AY86" s="32">
        <f t="shared" si="12"/>
        <v>1557062</v>
      </c>
      <c r="AZ86" s="32">
        <f t="shared" si="12"/>
        <v>-317597</v>
      </c>
      <c r="BA86" s="32">
        <f t="shared" si="12"/>
        <v>282492</v>
      </c>
      <c r="BB86" s="32">
        <f t="shared" si="12"/>
        <v>631251</v>
      </c>
      <c r="BC86" s="32">
        <f t="shared" si="12"/>
        <v>0</v>
      </c>
      <c r="BD86" s="32">
        <f t="shared" si="12"/>
        <v>618543</v>
      </c>
      <c r="BE86" s="32">
        <f t="shared" si="12"/>
        <v>1684684</v>
      </c>
      <c r="BF86" s="32">
        <f t="shared" si="12"/>
        <v>922574</v>
      </c>
      <c r="BG86" s="32">
        <f t="shared" si="12"/>
        <v>0</v>
      </c>
      <c r="BH86" s="32">
        <f t="shared" si="12"/>
        <v>2052181</v>
      </c>
      <c r="BI86" s="32">
        <f t="shared" si="12"/>
        <v>839837</v>
      </c>
      <c r="BJ86" s="32">
        <f t="shared" si="12"/>
        <v>0</v>
      </c>
      <c r="BK86" s="32">
        <f t="shared" si="12"/>
        <v>1507272</v>
      </c>
      <c r="BL86" s="32">
        <f t="shared" si="12"/>
        <v>668454</v>
      </c>
      <c r="BM86" s="32">
        <f t="shared" si="12"/>
        <v>-1145580</v>
      </c>
      <c r="BN86" s="32">
        <f t="shared" si="12"/>
        <v>1281668</v>
      </c>
      <c r="BO86" s="32">
        <f t="shared" si="12"/>
        <v>117836</v>
      </c>
      <c r="BP86" s="32">
        <f t="shared" ref="BP86:CD86" si="13">SUM(BP62:BP70)-BP85</f>
        <v>836560</v>
      </c>
      <c r="BQ86" s="32">
        <f t="shared" si="13"/>
        <v>0</v>
      </c>
      <c r="BR86" s="32">
        <f t="shared" si="13"/>
        <v>908204</v>
      </c>
      <c r="BS86" s="32">
        <f t="shared" si="13"/>
        <v>84598</v>
      </c>
      <c r="BT86" s="32">
        <f t="shared" si="13"/>
        <v>0</v>
      </c>
      <c r="BU86" s="32">
        <f t="shared" si="13"/>
        <v>0</v>
      </c>
      <c r="BV86" s="32">
        <f t="shared" si="13"/>
        <v>642319</v>
      </c>
      <c r="BW86" s="32">
        <f t="shared" si="13"/>
        <v>1960326</v>
      </c>
      <c r="BX86" s="32">
        <f t="shared" si="13"/>
        <v>348572</v>
      </c>
      <c r="BY86" s="32">
        <f t="shared" si="13"/>
        <v>1117885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558180</v>
      </c>
      <c r="CD86" s="32">
        <f t="shared" si="13"/>
        <v>1451513</v>
      </c>
      <c r="CE86" s="32">
        <f t="shared" si="11"/>
        <v>67566437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1226000</v>
      </c>
    </row>
    <row r="88" spans="1:84" x14ac:dyDescent="0.35">
      <c r="A88" s="26" t="s">
        <v>272</v>
      </c>
      <c r="B88" s="20"/>
      <c r="C88" s="213">
        <v>1742255</v>
      </c>
      <c r="D88" s="213"/>
      <c r="E88" s="213">
        <v>3737773</v>
      </c>
      <c r="F88" s="213"/>
      <c r="G88" s="213"/>
      <c r="H88" s="213"/>
      <c r="I88" s="213"/>
      <c r="J88" s="213">
        <v>485460</v>
      </c>
      <c r="K88" s="213"/>
      <c r="L88" s="213">
        <v>84602</v>
      </c>
      <c r="M88" s="213"/>
      <c r="N88" s="213"/>
      <c r="O88" s="213">
        <v>2565437</v>
      </c>
      <c r="P88" s="213">
        <v>4069313</v>
      </c>
      <c r="Q88" s="213">
        <v>341422</v>
      </c>
      <c r="R88" s="213">
        <v>1213108</v>
      </c>
      <c r="S88" s="213">
        <v>5701565</v>
      </c>
      <c r="T88" s="213"/>
      <c r="U88" s="213">
        <v>1938700</v>
      </c>
      <c r="V88" s="213">
        <v>49223</v>
      </c>
      <c r="W88" s="213">
        <v>60230</v>
      </c>
      <c r="X88" s="213">
        <v>254665</v>
      </c>
      <c r="Y88" s="213">
        <v>549728</v>
      </c>
      <c r="Z88" s="213"/>
      <c r="AA88" s="213">
        <v>44830</v>
      </c>
      <c r="AB88" s="213">
        <v>3633965</v>
      </c>
      <c r="AC88" s="213">
        <v>1245756</v>
      </c>
      <c r="AD88" s="213"/>
      <c r="AE88" s="213">
        <v>369093</v>
      </c>
      <c r="AF88" s="213"/>
      <c r="AG88" s="213">
        <v>238905</v>
      </c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28326030</v>
      </c>
    </row>
    <row r="89" spans="1:84" x14ac:dyDescent="0.35">
      <c r="A89" s="26" t="s">
        <v>273</v>
      </c>
      <c r="B89" s="20"/>
      <c r="C89" s="213">
        <v>1039602</v>
      </c>
      <c r="D89" s="213"/>
      <c r="E89" s="213">
        <v>3796965</v>
      </c>
      <c r="F89" s="213"/>
      <c r="G89" s="213"/>
      <c r="H89" s="213"/>
      <c r="I89" s="213"/>
      <c r="J89" s="213"/>
      <c r="K89" s="213"/>
      <c r="L89" s="213"/>
      <c r="M89" s="213"/>
      <c r="N89" s="213"/>
      <c r="O89" s="213">
        <v>574178</v>
      </c>
      <c r="P89" s="213">
        <v>16309397</v>
      </c>
      <c r="Q89" s="213">
        <v>1330510</v>
      </c>
      <c r="R89" s="213">
        <v>3647843</v>
      </c>
      <c r="S89" s="213">
        <v>13531079</v>
      </c>
      <c r="T89" s="213"/>
      <c r="U89" s="213">
        <v>12216159</v>
      </c>
      <c r="V89" s="213">
        <v>586625</v>
      </c>
      <c r="W89" s="213">
        <v>6385026</v>
      </c>
      <c r="X89" s="213">
        <v>10502530</v>
      </c>
      <c r="Y89" s="213">
        <v>11633566</v>
      </c>
      <c r="Z89" s="213"/>
      <c r="AA89" s="213">
        <v>3252747</v>
      </c>
      <c r="AB89" s="213">
        <v>14113826</v>
      </c>
      <c r="AC89" s="213">
        <v>2508945</v>
      </c>
      <c r="AD89" s="213"/>
      <c r="AE89" s="213">
        <v>5519432</v>
      </c>
      <c r="AF89" s="213"/>
      <c r="AG89" s="213">
        <v>15599055</v>
      </c>
      <c r="AH89" s="213"/>
      <c r="AI89" s="213"/>
      <c r="AJ89" s="213">
        <v>136568</v>
      </c>
      <c r="AK89" s="213"/>
      <c r="AL89" s="213"/>
      <c r="AM89" s="213"/>
      <c r="AN89" s="213"/>
      <c r="AO89" s="213"/>
      <c r="AP89" s="213">
        <v>329416</v>
      </c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123013469</v>
      </c>
    </row>
    <row r="90" spans="1:84" x14ac:dyDescent="0.35">
      <c r="A90" s="26" t="s">
        <v>274</v>
      </c>
      <c r="B90" s="20"/>
      <c r="C90" s="32">
        <f>C88+C89</f>
        <v>2781857</v>
      </c>
      <c r="D90" s="32">
        <f t="shared" ref="D90:AV90" si="15">D88+D89</f>
        <v>0</v>
      </c>
      <c r="E90" s="32">
        <f t="shared" si="15"/>
        <v>7534738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485460</v>
      </c>
      <c r="K90" s="32">
        <f t="shared" si="15"/>
        <v>0</v>
      </c>
      <c r="L90" s="32">
        <f t="shared" si="15"/>
        <v>84602</v>
      </c>
      <c r="M90" s="32">
        <f t="shared" si="15"/>
        <v>0</v>
      </c>
      <c r="N90" s="32">
        <f t="shared" si="15"/>
        <v>0</v>
      </c>
      <c r="O90" s="32">
        <f t="shared" si="15"/>
        <v>3139615</v>
      </c>
      <c r="P90" s="32">
        <f t="shared" si="15"/>
        <v>20378710</v>
      </c>
      <c r="Q90" s="32">
        <f t="shared" si="15"/>
        <v>1671932</v>
      </c>
      <c r="R90" s="32">
        <f t="shared" si="15"/>
        <v>4860951</v>
      </c>
      <c r="S90" s="32">
        <f t="shared" si="15"/>
        <v>19232644</v>
      </c>
      <c r="T90" s="32">
        <f t="shared" si="15"/>
        <v>0</v>
      </c>
      <c r="U90" s="32">
        <f t="shared" si="15"/>
        <v>14154859</v>
      </c>
      <c r="V90" s="32">
        <f t="shared" si="15"/>
        <v>635848</v>
      </c>
      <c r="W90" s="32">
        <f t="shared" si="15"/>
        <v>6445256</v>
      </c>
      <c r="X90" s="32">
        <f t="shared" si="15"/>
        <v>10757195</v>
      </c>
      <c r="Y90" s="32">
        <f t="shared" si="15"/>
        <v>12183294</v>
      </c>
      <c r="Z90" s="32">
        <f t="shared" si="15"/>
        <v>0</v>
      </c>
      <c r="AA90" s="32">
        <f t="shared" si="15"/>
        <v>3297577</v>
      </c>
      <c r="AB90" s="32">
        <f t="shared" si="15"/>
        <v>17747791</v>
      </c>
      <c r="AC90" s="32">
        <f t="shared" si="15"/>
        <v>3754701</v>
      </c>
      <c r="AD90" s="32">
        <f t="shared" si="15"/>
        <v>0</v>
      </c>
      <c r="AE90" s="32">
        <f t="shared" si="15"/>
        <v>5888525</v>
      </c>
      <c r="AF90" s="32">
        <f t="shared" si="15"/>
        <v>0</v>
      </c>
      <c r="AG90" s="32">
        <f t="shared" si="15"/>
        <v>15837960</v>
      </c>
      <c r="AH90" s="32">
        <f t="shared" si="15"/>
        <v>0</v>
      </c>
      <c r="AI90" s="32">
        <f t="shared" si="15"/>
        <v>0</v>
      </c>
      <c r="AJ90" s="32">
        <f t="shared" si="15"/>
        <v>136568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329416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151339499</v>
      </c>
    </row>
    <row r="91" spans="1:84" x14ac:dyDescent="0.35">
      <c r="A91" s="39" t="s">
        <v>275</v>
      </c>
      <c r="B91" s="32"/>
      <c r="C91" s="213">
        <v>4094</v>
      </c>
      <c r="D91" s="213"/>
      <c r="E91" s="213">
        <v>6862</v>
      </c>
      <c r="F91" s="213"/>
      <c r="G91" s="213"/>
      <c r="H91" s="213"/>
      <c r="I91" s="213"/>
      <c r="J91" s="213"/>
      <c r="K91" s="213"/>
      <c r="L91" s="213"/>
      <c r="M91" s="213"/>
      <c r="N91" s="213"/>
      <c r="O91" s="213">
        <v>8195</v>
      </c>
      <c r="P91" s="213">
        <v>15826</v>
      </c>
      <c r="Q91" s="213"/>
      <c r="R91" s="213"/>
      <c r="S91" s="213">
        <v>1364</v>
      </c>
      <c r="T91" s="213"/>
      <c r="U91" s="213">
        <v>2053</v>
      </c>
      <c r="V91" s="213">
        <v>390</v>
      </c>
      <c r="W91" s="213">
        <v>634</v>
      </c>
      <c r="X91" s="213">
        <v>522</v>
      </c>
      <c r="Y91" s="213">
        <v>4934</v>
      </c>
      <c r="Z91" s="213"/>
      <c r="AA91" s="213">
        <v>344</v>
      </c>
      <c r="AB91" s="213">
        <v>980</v>
      </c>
      <c r="AC91" s="213">
        <v>1301</v>
      </c>
      <c r="AD91" s="213"/>
      <c r="AE91" s="213">
        <v>14008</v>
      </c>
      <c r="AF91" s="213"/>
      <c r="AG91" s="213">
        <v>5981</v>
      </c>
      <c r="AH91" s="213"/>
      <c r="AI91" s="213"/>
      <c r="AJ91" s="213"/>
      <c r="AK91" s="213"/>
      <c r="AL91" s="213"/>
      <c r="AM91" s="213"/>
      <c r="AN91" s="213"/>
      <c r="AO91" s="213"/>
      <c r="AP91" s="213">
        <v>2630</v>
      </c>
      <c r="AQ91" s="213"/>
      <c r="AR91" s="213"/>
      <c r="AS91" s="213"/>
      <c r="AT91" s="213"/>
      <c r="AU91" s="213"/>
      <c r="AV91" s="213">
        <v>476</v>
      </c>
      <c r="AW91" s="213"/>
      <c r="AX91" s="213"/>
      <c r="AY91" s="213">
        <v>4556</v>
      </c>
      <c r="AZ91" s="213"/>
      <c r="BA91" s="213">
        <v>1290</v>
      </c>
      <c r="BB91" s="213">
        <v>422</v>
      </c>
      <c r="BC91" s="213"/>
      <c r="BD91" s="213">
        <v>2853</v>
      </c>
      <c r="BE91" s="213">
        <v>10898</v>
      </c>
      <c r="BF91" s="213">
        <v>4446</v>
      </c>
      <c r="BG91" s="213"/>
      <c r="BH91" s="213">
        <v>1051</v>
      </c>
      <c r="BI91" s="213"/>
      <c r="BJ91" s="213"/>
      <c r="BK91" s="213"/>
      <c r="BL91" s="213">
        <v>1032</v>
      </c>
      <c r="BM91" s="213"/>
      <c r="BN91" s="213">
        <v>2136</v>
      </c>
      <c r="BO91" s="213"/>
      <c r="BP91" s="213"/>
      <c r="BQ91" s="213"/>
      <c r="BR91" s="213"/>
      <c r="BS91" s="213"/>
      <c r="BT91" s="213"/>
      <c r="BU91" s="213"/>
      <c r="BV91" s="213">
        <v>654</v>
      </c>
      <c r="BW91" s="213">
        <v>235</v>
      </c>
      <c r="BX91" s="213">
        <v>150</v>
      </c>
      <c r="BY91" s="213">
        <v>135</v>
      </c>
      <c r="BZ91" s="213"/>
      <c r="CA91" s="213"/>
      <c r="CB91" s="213"/>
      <c r="CC91" s="213">
        <v>27005</v>
      </c>
      <c r="CD91" s="233" t="s">
        <v>233</v>
      </c>
      <c r="CE91" s="32">
        <f t="shared" si="14"/>
        <v>127457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5048</v>
      </c>
      <c r="D92" s="213"/>
      <c r="E92" s="213">
        <v>8800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>
        <v>4464</v>
      </c>
      <c r="P92" s="213">
        <v>2421</v>
      </c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>
        <v>1727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22460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815</v>
      </c>
      <c r="D93" s="213"/>
      <c r="E93" s="213">
        <v>3260</v>
      </c>
      <c r="F93" s="213"/>
      <c r="G93" s="213"/>
      <c r="H93" s="213"/>
      <c r="I93" s="213"/>
      <c r="J93" s="213"/>
      <c r="K93" s="213"/>
      <c r="L93" s="213"/>
      <c r="M93" s="213"/>
      <c r="N93" s="213"/>
      <c r="O93" s="213">
        <v>2445</v>
      </c>
      <c r="P93" s="213">
        <v>1902</v>
      </c>
      <c r="Q93" s="213"/>
      <c r="R93" s="213"/>
      <c r="S93" s="213"/>
      <c r="T93" s="213"/>
      <c r="U93" s="213">
        <v>815</v>
      </c>
      <c r="V93" s="213">
        <v>70</v>
      </c>
      <c r="W93" s="213">
        <v>114</v>
      </c>
      <c r="X93" s="213">
        <v>118</v>
      </c>
      <c r="Y93" s="213">
        <v>1358</v>
      </c>
      <c r="Z93" s="213"/>
      <c r="AA93" s="213">
        <v>69</v>
      </c>
      <c r="AB93" s="213">
        <v>177</v>
      </c>
      <c r="AC93" s="213">
        <v>279</v>
      </c>
      <c r="AD93" s="213"/>
      <c r="AE93" s="213">
        <v>2445</v>
      </c>
      <c r="AF93" s="213"/>
      <c r="AG93" s="213">
        <v>2445</v>
      </c>
      <c r="AH93" s="213"/>
      <c r="AI93" s="213"/>
      <c r="AJ93" s="213">
        <v>226</v>
      </c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>
        <v>292</v>
      </c>
      <c r="BB93" s="213">
        <v>34</v>
      </c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272</v>
      </c>
      <c r="BI93" s="213"/>
      <c r="BJ93" s="229" t="s">
        <v>233</v>
      </c>
      <c r="BK93" s="213"/>
      <c r="BL93" s="213">
        <v>195</v>
      </c>
      <c r="BM93" s="213">
        <v>62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305</v>
      </c>
      <c r="BW93" s="213">
        <v>34</v>
      </c>
      <c r="BX93" s="213">
        <v>34</v>
      </c>
      <c r="BY93" s="213">
        <v>34</v>
      </c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17800</v>
      </c>
      <c r="CF93" s="20"/>
    </row>
    <row r="94" spans="1:84" x14ac:dyDescent="0.35">
      <c r="A94" s="26" t="s">
        <v>278</v>
      </c>
      <c r="B94" s="20"/>
      <c r="C94" s="213">
        <v>18931</v>
      </c>
      <c r="D94" s="213"/>
      <c r="E94" s="213">
        <v>56794</v>
      </c>
      <c r="F94" s="213"/>
      <c r="G94" s="213"/>
      <c r="H94" s="213"/>
      <c r="I94" s="213"/>
      <c r="J94" s="213">
        <v>22087</v>
      </c>
      <c r="K94" s="213"/>
      <c r="L94" s="213"/>
      <c r="M94" s="213"/>
      <c r="N94" s="213"/>
      <c r="O94" s="213">
        <v>44173</v>
      </c>
      <c r="P94" s="213">
        <v>56794</v>
      </c>
      <c r="Q94" s="213"/>
      <c r="R94" s="213"/>
      <c r="S94" s="213"/>
      <c r="T94" s="213"/>
      <c r="U94" s="213">
        <v>9466</v>
      </c>
      <c r="V94" s="213"/>
      <c r="W94" s="213"/>
      <c r="X94" s="213"/>
      <c r="Y94" s="213">
        <v>12621</v>
      </c>
      <c r="Z94" s="213"/>
      <c r="AA94" s="213"/>
      <c r="AB94" s="213"/>
      <c r="AC94" s="213">
        <v>15776</v>
      </c>
      <c r="AD94" s="213"/>
      <c r="AE94" s="213">
        <v>70131</v>
      </c>
      <c r="AF94" s="213"/>
      <c r="AG94" s="213">
        <v>56794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363567</v>
      </c>
      <c r="CF94" s="32">
        <f>BA60</f>
        <v>0</v>
      </c>
    </row>
    <row r="95" spans="1:84" x14ac:dyDescent="0.35">
      <c r="A95" s="26" t="s">
        <v>279</v>
      </c>
      <c r="B95" s="20"/>
      <c r="C95" s="242">
        <v>9.5399999999999991</v>
      </c>
      <c r="D95" s="242"/>
      <c r="E95" s="242">
        <v>13.96</v>
      </c>
      <c r="F95" s="242"/>
      <c r="G95" s="242"/>
      <c r="H95" s="242"/>
      <c r="I95" s="242"/>
      <c r="J95" s="242"/>
      <c r="K95" s="242"/>
      <c r="L95" s="242"/>
      <c r="M95" s="242"/>
      <c r="N95" s="242"/>
      <c r="O95" s="242">
        <v>14.73</v>
      </c>
      <c r="P95" s="243">
        <v>26.68</v>
      </c>
      <c r="Q95" s="243"/>
      <c r="R95" s="243"/>
      <c r="S95" s="244"/>
      <c r="T95" s="244"/>
      <c r="U95" s="245"/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>
        <v>14.17</v>
      </c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79.08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1362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1363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1365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>
        <v>99163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19" t="s">
        <v>1366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9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9" t="s">
        <v>1373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5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1113</v>
      </c>
      <c r="D128" s="220">
        <v>3475</v>
      </c>
      <c r="E128" s="20"/>
    </row>
    <row r="129" spans="1:5" x14ac:dyDescent="0.35">
      <c r="A129" s="20" t="s">
        <v>311</v>
      </c>
      <c r="B129" s="46" t="s">
        <v>284</v>
      </c>
      <c r="C129" s="216">
        <v>8</v>
      </c>
      <c r="D129" s="220">
        <v>64</v>
      </c>
      <c r="E129" s="20"/>
    </row>
    <row r="130" spans="1:5" x14ac:dyDescent="0.35">
      <c r="A130" s="20" t="s">
        <v>312</v>
      </c>
      <c r="B130" s="46" t="s">
        <v>284</v>
      </c>
      <c r="C130" s="216">
        <v>0</v>
      </c>
      <c r="D130" s="220">
        <v>0</v>
      </c>
      <c r="E130" s="20"/>
    </row>
    <row r="131" spans="1:5" x14ac:dyDescent="0.35">
      <c r="A131" s="20" t="s">
        <v>313</v>
      </c>
      <c r="B131" s="46" t="s">
        <v>284</v>
      </c>
      <c r="C131" s="216">
        <v>361</v>
      </c>
      <c r="D131" s="220">
        <v>668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2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13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8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>
        <v>2</v>
      </c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35">
      <c r="A145" s="20" t="s">
        <v>325</v>
      </c>
      <c r="B145" s="46" t="s">
        <v>284</v>
      </c>
      <c r="C145" s="47">
        <v>42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8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>
        <v>84602</v>
      </c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429</v>
      </c>
      <c r="C155" s="50">
        <v>69</v>
      </c>
      <c r="D155" s="50">
        <v>615</v>
      </c>
      <c r="E155" s="32">
        <f>SUM(B155:D155)</f>
        <v>1113</v>
      </c>
    </row>
    <row r="156" spans="1:6" x14ac:dyDescent="0.35">
      <c r="A156" s="20" t="s">
        <v>227</v>
      </c>
      <c r="B156" s="50">
        <v>1464</v>
      </c>
      <c r="C156" s="50">
        <v>250</v>
      </c>
      <c r="D156" s="50">
        <v>1761</v>
      </c>
      <c r="E156" s="32">
        <f>SUM(B156:D156)</f>
        <v>3475</v>
      </c>
    </row>
    <row r="157" spans="1:6" x14ac:dyDescent="0.35">
      <c r="A157" s="20" t="s">
        <v>332</v>
      </c>
      <c r="B157" s="50">
        <v>24720</v>
      </c>
      <c r="C157" s="50">
        <v>11081</v>
      </c>
      <c r="D157" s="50">
        <v>49441</v>
      </c>
      <c r="E157" s="32">
        <f>SUM(B157:D157)</f>
        <v>85242</v>
      </c>
    </row>
    <row r="158" spans="1:6" x14ac:dyDescent="0.35">
      <c r="A158" s="20" t="s">
        <v>272</v>
      </c>
      <c r="B158" s="50">
        <v>12625383</v>
      </c>
      <c r="C158" s="50">
        <v>4368815</v>
      </c>
      <c r="D158" s="50">
        <v>11247230</v>
      </c>
      <c r="E158" s="32">
        <f>SUM(B158:D158)</f>
        <v>28241428</v>
      </c>
      <c r="F158" s="18"/>
    </row>
    <row r="159" spans="1:6" x14ac:dyDescent="0.35">
      <c r="A159" s="20" t="s">
        <v>273</v>
      </c>
      <c r="B159" s="50">
        <v>40785117</v>
      </c>
      <c r="C159" s="50">
        <v>15687644</v>
      </c>
      <c r="D159" s="50">
        <v>66540708</v>
      </c>
      <c r="E159" s="32">
        <f>SUM(B159:D159)</f>
        <v>123013469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8</v>
      </c>
      <c r="C161" s="50">
        <v>0</v>
      </c>
      <c r="D161" s="50">
        <v>0</v>
      </c>
      <c r="E161" s="32">
        <f>SUM(B161:D161)</f>
        <v>8</v>
      </c>
    </row>
    <row r="162" spans="1:5" x14ac:dyDescent="0.35">
      <c r="A162" s="20" t="s">
        <v>227</v>
      </c>
      <c r="B162" s="50">
        <v>64</v>
      </c>
      <c r="C162" s="50">
        <v>0</v>
      </c>
      <c r="D162" s="50">
        <v>0</v>
      </c>
      <c r="E162" s="32">
        <f>SUM(B162:D162)</f>
        <v>64</v>
      </c>
    </row>
    <row r="163" spans="1:5" x14ac:dyDescent="0.35">
      <c r="A163" s="20" t="s">
        <v>332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 spans="1:5" x14ac:dyDescent="0.35">
      <c r="A164" s="20" t="s">
        <v>272</v>
      </c>
      <c r="B164" s="50">
        <v>84602</v>
      </c>
      <c r="C164" s="50">
        <v>0</v>
      </c>
      <c r="D164" s="50">
        <v>0</v>
      </c>
      <c r="E164" s="32">
        <f>SUM(B164:D164)</f>
        <v>84602</v>
      </c>
    </row>
    <row r="165" spans="1:5" x14ac:dyDescent="0.35">
      <c r="A165" s="20" t="s">
        <v>273</v>
      </c>
      <c r="B165" s="50">
        <v>0</v>
      </c>
      <c r="C165" s="50">
        <v>0</v>
      </c>
      <c r="D165" s="50">
        <v>0</v>
      </c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 spans="1:5" x14ac:dyDescent="0.35">
      <c r="A168" s="20" t="s">
        <v>227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 spans="1:5" x14ac:dyDescent="0.35">
      <c r="A169" s="20" t="s">
        <v>332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 spans="1:5" x14ac:dyDescent="0.35">
      <c r="A170" s="20" t="s">
        <v>272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 spans="1:5" x14ac:dyDescent="0.35">
      <c r="A171" s="20" t="s">
        <v>273</v>
      </c>
      <c r="B171" s="50">
        <v>0</v>
      </c>
      <c r="C171" s="50">
        <v>0</v>
      </c>
      <c r="D171" s="50">
        <v>0</v>
      </c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7026686</v>
      </c>
      <c r="C174" s="50">
        <v>6270081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2348517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34980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159615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4033004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11184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1008719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/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1028036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8624055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201454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499890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701344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126727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156513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283240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2268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784958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787226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491596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667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492263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1813305</v>
      </c>
      <c r="C212" s="216"/>
      <c r="D212" s="220"/>
      <c r="E212" s="32">
        <f t="shared" ref="E212:E220" si="16">SUM(B212:C212)-D212</f>
        <v>1813305</v>
      </c>
    </row>
    <row r="213" spans="1:5" x14ac:dyDescent="0.35">
      <c r="A213" s="20" t="s">
        <v>367</v>
      </c>
      <c r="B213" s="220">
        <v>3693473</v>
      </c>
      <c r="C213" s="216">
        <v>111850</v>
      </c>
      <c r="D213" s="220">
        <v>32535</v>
      </c>
      <c r="E213" s="32">
        <f t="shared" si="16"/>
        <v>3772788</v>
      </c>
    </row>
    <row r="214" spans="1:5" x14ac:dyDescent="0.35">
      <c r="A214" s="20" t="s">
        <v>368</v>
      </c>
      <c r="B214" s="220">
        <v>18503275.370000001</v>
      </c>
      <c r="C214" s="216"/>
      <c r="D214" s="220">
        <v>82983</v>
      </c>
      <c r="E214" s="32">
        <f t="shared" si="16"/>
        <v>18420292.370000001</v>
      </c>
    </row>
    <row r="215" spans="1:5" x14ac:dyDescent="0.35">
      <c r="A215" s="20" t="s">
        <v>369</v>
      </c>
      <c r="B215" s="220">
        <v>15793528.35</v>
      </c>
      <c r="C215" s="216">
        <v>29155</v>
      </c>
      <c r="D215" s="220">
        <v>46349</v>
      </c>
      <c r="E215" s="32">
        <f t="shared" si="16"/>
        <v>15776334.35</v>
      </c>
    </row>
    <row r="216" spans="1:5" x14ac:dyDescent="0.35">
      <c r="A216" s="20" t="s">
        <v>370</v>
      </c>
      <c r="B216" s="220">
        <v>1055890.2</v>
      </c>
      <c r="C216" s="216"/>
      <c r="D216" s="220">
        <v>2639</v>
      </c>
      <c r="E216" s="32">
        <f t="shared" si="16"/>
        <v>1053251.2</v>
      </c>
    </row>
    <row r="217" spans="1:5" x14ac:dyDescent="0.35">
      <c r="A217" s="20" t="s">
        <v>371</v>
      </c>
      <c r="B217" s="220">
        <v>15652434.579999998</v>
      </c>
      <c r="C217" s="216">
        <v>1995808</v>
      </c>
      <c r="D217" s="220">
        <v>1100129</v>
      </c>
      <c r="E217" s="32">
        <f t="shared" si="16"/>
        <v>16548113.579999998</v>
      </c>
    </row>
    <row r="218" spans="1:5" x14ac:dyDescent="0.35">
      <c r="A218" s="20" t="s">
        <v>372</v>
      </c>
      <c r="B218" s="220">
        <v>0</v>
      </c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0</v>
      </c>
      <c r="C219" s="216">
        <v>104566</v>
      </c>
      <c r="D219" s="220"/>
      <c r="E219" s="32">
        <f t="shared" si="16"/>
        <v>104566</v>
      </c>
    </row>
    <row r="220" spans="1:5" x14ac:dyDescent="0.35">
      <c r="A220" s="20" t="s">
        <v>374</v>
      </c>
      <c r="B220" s="220">
        <v>71148</v>
      </c>
      <c r="C220" s="216">
        <v>1943653</v>
      </c>
      <c r="D220" s="220">
        <v>680205</v>
      </c>
      <c r="E220" s="32">
        <f t="shared" si="16"/>
        <v>1334596</v>
      </c>
    </row>
    <row r="221" spans="1:5" x14ac:dyDescent="0.35">
      <c r="A221" s="20" t="s">
        <v>215</v>
      </c>
      <c r="B221" s="32">
        <f>SUM(B212:B220)</f>
        <v>56583054.5</v>
      </c>
      <c r="C221" s="265">
        <f>SUM(C212:C220)</f>
        <v>4185032</v>
      </c>
      <c r="D221" s="32">
        <f>SUM(D212:D220)</f>
        <v>1944840</v>
      </c>
      <c r="E221" s="32">
        <f>SUM(E212:E220)</f>
        <v>58823246.5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1915178.23</v>
      </c>
      <c r="C226" s="216">
        <v>106159</v>
      </c>
      <c r="D226" s="220">
        <v>32535</v>
      </c>
      <c r="E226" s="32">
        <f t="shared" ref="E226:E233" si="17">SUM(B226:C226)-D226</f>
        <v>1988802.23</v>
      </c>
    </row>
    <row r="227" spans="1:5" x14ac:dyDescent="0.35">
      <c r="A227" s="20" t="s">
        <v>368</v>
      </c>
      <c r="B227" s="220">
        <v>4926429.040000001</v>
      </c>
      <c r="C227" s="216">
        <v>747868</v>
      </c>
      <c r="D227" s="220">
        <v>82983</v>
      </c>
      <c r="E227" s="32">
        <f t="shared" si="17"/>
        <v>5591314.040000001</v>
      </c>
    </row>
    <row r="228" spans="1:5" x14ac:dyDescent="0.35">
      <c r="A228" s="20" t="s">
        <v>369</v>
      </c>
      <c r="B228" s="220">
        <v>12349054.51</v>
      </c>
      <c r="C228" s="216">
        <v>498135</v>
      </c>
      <c r="D228" s="220">
        <v>46349</v>
      </c>
      <c r="E228" s="32">
        <f t="shared" si="17"/>
        <v>12800840.51</v>
      </c>
    </row>
    <row r="229" spans="1:5" x14ac:dyDescent="0.35">
      <c r="A229" s="20" t="s">
        <v>370</v>
      </c>
      <c r="B229" s="220">
        <v>924343.74</v>
      </c>
      <c r="C229" s="216">
        <v>14303</v>
      </c>
      <c r="D229" s="220">
        <v>2639</v>
      </c>
      <c r="E229" s="32">
        <f t="shared" si="17"/>
        <v>936007.74</v>
      </c>
    </row>
    <row r="230" spans="1:5" x14ac:dyDescent="0.35">
      <c r="A230" s="20" t="s">
        <v>371</v>
      </c>
      <c r="B230" s="220">
        <v>11705954.390000001</v>
      </c>
      <c r="C230" s="216">
        <v>1259666</v>
      </c>
      <c r="D230" s="220">
        <v>1088513</v>
      </c>
      <c r="E230" s="32">
        <f t="shared" si="17"/>
        <v>11877107.390000001</v>
      </c>
    </row>
    <row r="231" spans="1:5" x14ac:dyDescent="0.35">
      <c r="A231" s="20" t="s">
        <v>372</v>
      </c>
      <c r="B231" s="220">
        <v>0</v>
      </c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0</v>
      </c>
      <c r="C232" s="216">
        <v>8341</v>
      </c>
      <c r="D232" s="220">
        <v>0</v>
      </c>
      <c r="E232" s="32">
        <f t="shared" si="17"/>
        <v>8341</v>
      </c>
    </row>
    <row r="233" spans="1:5" x14ac:dyDescent="0.35">
      <c r="A233" s="20" t="s">
        <v>374</v>
      </c>
      <c r="B233" s="220">
        <v>0</v>
      </c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31820959.91</v>
      </c>
      <c r="C234" s="265">
        <f>SUM(C225:C233)</f>
        <v>2634472</v>
      </c>
      <c r="D234" s="32">
        <f>SUM(D225:D233)</f>
        <v>1253019</v>
      </c>
      <c r="E234" s="32">
        <f>SUM(E225:E233)</f>
        <v>33202412.91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52" t="s">
        <v>377</v>
      </c>
      <c r="C237" s="352"/>
      <c r="D237" s="38"/>
      <c r="E237" s="38"/>
    </row>
    <row r="238" spans="1:5" x14ac:dyDescent="0.35">
      <c r="A238" s="56" t="s">
        <v>377</v>
      </c>
      <c r="B238" s="38"/>
      <c r="C238" s="216">
        <v>740675</v>
      </c>
      <c r="D238" s="40">
        <f>C238</f>
        <v>740675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28319452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10846897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724891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706446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31078364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71676050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1304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122877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589590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712467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261987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346129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608116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73737308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9143653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19491602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10566232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0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2127078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2323002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828294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23347397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27624159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27624159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1813305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3772788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18420292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15776334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1053251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16548114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104566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1334596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58823246</v>
      </c>
      <c r="E292" s="20"/>
    </row>
    <row r="293" spans="1:5" x14ac:dyDescent="0.35">
      <c r="A293" s="20" t="s">
        <v>416</v>
      </c>
      <c r="B293" s="46" t="s">
        <v>284</v>
      </c>
      <c r="C293" s="47">
        <v>33202412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25620834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>
        <v>590370</v>
      </c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8698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599068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77191458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2093741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3857285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1220000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258990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7430016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1856854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10781950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7008155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19646959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19646959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50114483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77191458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77191458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28326030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123013468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151339498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740675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71676050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712467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608116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73737308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77602190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2989976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2989976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1226000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4215976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81818166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33345089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8624055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5764981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12049959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793670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4065224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2634471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701344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283240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787266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492263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1014854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1014854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70556416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11261750</v>
      </c>
      <c r="E418" s="32"/>
    </row>
    <row r="419" spans="1:13" x14ac:dyDescent="0.35">
      <c r="A419" s="32" t="s">
        <v>508</v>
      </c>
      <c r="B419" s="20"/>
      <c r="C419" s="236">
        <v>-4194469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-4194469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7067281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7067281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116559</v>
      </c>
      <c r="E613" s="257">
        <f>SUM(C625:D648)+SUM(C669:D714)</f>
        <v>64105946.116850697</v>
      </c>
      <c r="F613" s="257">
        <f>CE65-(AX65+BD65+BE65+BG65+BJ65+BN65+BP65+BQ65+CB65+CC65+CD65)</f>
        <v>12010499</v>
      </c>
      <c r="G613" s="255">
        <f>CE92-(AX92+AY92+BD92+BE92+BG92+BJ92+BN92+BP92+BQ92+CB92+CC92+CD92)</f>
        <v>22460</v>
      </c>
      <c r="H613" s="260">
        <f>CE61-(AX61+AY61+AZ61+BD61+BE61+BG61+BJ61+BN61+BO61+BP61+BQ61+BR61+CB61+CC61+CD61)</f>
        <v>307.95000000000005</v>
      </c>
      <c r="I613" s="255">
        <f>CE93-(AX93+AY93+AZ93+BD93+BE93+BF93+BG93+BJ93+BN93+BO93+BP93+BQ93+BR93+CB93+CC93+CD93)</f>
        <v>17800</v>
      </c>
      <c r="J613" s="255">
        <f>CE94-(AX94+AY94+AZ94+BA94+BD94+BE94+BF94+BG94+BJ94+BN94+BO94+BP94+BQ94+BR94+CB94+CC94+CD94)</f>
        <v>363567</v>
      </c>
      <c r="K613" s="255">
        <f>CE90-(AW90+AX90+AY90+AZ90+BA90+BB90+BC90+BD90+BE90+BF90+BG90+BH90+BI90+BJ90+BK90+BL90+BM90+BN90+BO90+BP90+BQ90+BR90+BS90+BT90+BU90+BV90+BW90+BX90+CB90+CC90+CD90)</f>
        <v>151339499</v>
      </c>
      <c r="L613" s="261">
        <f>CE95-(AW95+AX95+AY95+AZ95+BA95+BB95+BC95+BD95+BE95+BF95+BG95+BH95+BI95+BJ95+BK95+BL95+BM95+BN95+BO95+BP95+BQ95+BR95+BS95+BT95+BU95+BV95+BW95+BX95+BY95+BZ95+CA95+CB95+CC95+CD95)</f>
        <v>79.08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1684684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1451513</v>
      </c>
      <c r="D616" s="255">
        <f>SUM(C615:C616)</f>
        <v>3136197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0</v>
      </c>
      <c r="D618" s="255">
        <f>(D616/D613)*BJ91</f>
        <v>0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0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1281668</v>
      </c>
      <c r="D620" s="255">
        <f>(D616/D613)*BN91</f>
        <v>57472.325534707743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558180</v>
      </c>
      <c r="D621" s="255">
        <f>(D616/D613)*CC91</f>
        <v>726610.55761459866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836560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3460490.8831493063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618543</v>
      </c>
      <c r="D625" s="255">
        <f>(D616/D613)*BD91</f>
        <v>76764.299976835769</v>
      </c>
      <c r="E625" s="257">
        <f>(E624/E613)*SUM(C625:D625)</f>
        <v>37533.25109922274</v>
      </c>
      <c r="F625" s="257">
        <f>SUM(C625:E625)</f>
        <v>732840.55107605841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1557062</v>
      </c>
      <c r="D626" s="255">
        <f>(D616/D613)*AY91</f>
        <v>122586.10259182045</v>
      </c>
      <c r="E626" s="257">
        <f>(E624/E613)*SUM(C626:D626)</f>
        <v>90668.764724621913</v>
      </c>
      <c r="F626" s="257">
        <f>(F625/F613)*AY65</f>
        <v>25915.972708697678</v>
      </c>
      <c r="G626" s="255">
        <f>SUM(C626:F626)</f>
        <v>1796232.8400251402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908204</v>
      </c>
      <c r="D627" s="255">
        <f>(D616/D613)*BR91</f>
        <v>0</v>
      </c>
      <c r="E627" s="257">
        <f>(E624/E613)*SUM(C627:D627)</f>
        <v>49025.587366124491</v>
      </c>
      <c r="F627" s="257">
        <f>(F625/F613)*BR65</f>
        <v>427.78781327855285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117836</v>
      </c>
      <c r="D628" s="255">
        <f>(D616/D613)*BO91</f>
        <v>0</v>
      </c>
      <c r="E628" s="257">
        <f>(E624/E613)*SUM(C628:D628)</f>
        <v>6360.8827013255232</v>
      </c>
      <c r="F628" s="257">
        <f>(F625/F613)*BO65</f>
        <v>21.843964791573516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-317597</v>
      </c>
      <c r="D629" s="255">
        <f>(D616/D613)*AZ91</f>
        <v>0</v>
      </c>
      <c r="E629" s="257">
        <f>(E624/E613)*SUM(C629:D629)</f>
        <v>-17144.143243939732</v>
      </c>
      <c r="F629" s="257">
        <f>(F625/F613)*AZ65</f>
        <v>0</v>
      </c>
      <c r="G629" s="255">
        <f>(G626/G613)*AZ92</f>
        <v>0</v>
      </c>
      <c r="H629" s="257">
        <f>SUM(C627:G629)</f>
        <v>747134.95860158035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922574</v>
      </c>
      <c r="D630" s="255">
        <f>(D616/D613)*BF91</f>
        <v>119626.38545286078</v>
      </c>
      <c r="E630" s="257">
        <f>(E624/E613)*SUM(C630:D630)</f>
        <v>56258.820760564631</v>
      </c>
      <c r="F630" s="257">
        <f>(F625/F613)*BF65</f>
        <v>3545.5561623149547</v>
      </c>
      <c r="G630" s="255">
        <f>(G626/G613)*BF92</f>
        <v>0</v>
      </c>
      <c r="H630" s="257">
        <f>(H629/H613)*BF61</f>
        <v>31685.606622297899</v>
      </c>
      <c r="I630" s="255">
        <f>SUM(C630:H630)</f>
        <v>1133690.3689980381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282492</v>
      </c>
      <c r="D631" s="255">
        <f>(D616/D613)*BA91</f>
        <v>34709.410084163384</v>
      </c>
      <c r="E631" s="257">
        <f>(E624/E613)*SUM(C631:D631)</f>
        <v>17122.788979941768</v>
      </c>
      <c r="F631" s="257">
        <f>(F625/F613)*BA65</f>
        <v>0</v>
      </c>
      <c r="G631" s="255">
        <f>(G626/G613)*BA92</f>
        <v>0</v>
      </c>
      <c r="H631" s="257">
        <f>(H629/H613)*BA61</f>
        <v>2426.1567092111713</v>
      </c>
      <c r="I631" s="255">
        <f>(I630/I613)*BA93</f>
        <v>18597.6172891813</v>
      </c>
      <c r="J631" s="255">
        <f>SUM(C631:I631)</f>
        <v>355347.97306249756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631251</v>
      </c>
      <c r="D633" s="255">
        <f>(D616/D613)*BB91</f>
        <v>11354.551205827092</v>
      </c>
      <c r="E633" s="257">
        <f>(E624/E613)*SUM(C633:D633)</f>
        <v>34688.368023701565</v>
      </c>
      <c r="F633" s="257">
        <f>(F625/F613)*BB65</f>
        <v>152.11453694243792</v>
      </c>
      <c r="G633" s="255">
        <f>(G626/G613)*BB92</f>
        <v>0</v>
      </c>
      <c r="H633" s="257">
        <f>(H629/H613)*BB61</f>
        <v>14605.46338945125</v>
      </c>
      <c r="I633" s="255">
        <f>(I630/I613)*BB93</f>
        <v>2165.4759857265899</v>
      </c>
      <c r="J633" s="255">
        <f>(J631/J613)*BB94</f>
        <v>0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839837</v>
      </c>
      <c r="D635" s="255">
        <f>(D616/D613)*BI91</f>
        <v>0</v>
      </c>
      <c r="E635" s="257">
        <f>(E624/E613)*SUM(C635:D635)</f>
        <v>45335.081343843332</v>
      </c>
      <c r="F635" s="257">
        <f>(F625/F613)*BI65</f>
        <v>568.98036782520398</v>
      </c>
      <c r="G635" s="255">
        <f>(G626/G613)*BI92</f>
        <v>0</v>
      </c>
      <c r="H635" s="257">
        <f>(H629/H613)*BI61</f>
        <v>7569.6089327388545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1507272</v>
      </c>
      <c r="D636" s="255">
        <f>(D616/D613)*BK91</f>
        <v>0</v>
      </c>
      <c r="E636" s="257">
        <f>(E624/E613)*SUM(C636:D636)</f>
        <v>81363.763119864248</v>
      </c>
      <c r="F636" s="257">
        <f>(F625/F613)*BK65</f>
        <v>1318.3870034958909</v>
      </c>
      <c r="G636" s="255">
        <f>(G626/G613)*BK92</f>
        <v>0</v>
      </c>
      <c r="H636" s="257">
        <f>(H629/H613)*BK61</f>
        <v>26784.770069691331</v>
      </c>
      <c r="I636" s="255">
        <f>(I630/I613)*BK93</f>
        <v>0</v>
      </c>
      <c r="J636" s="255">
        <f>(J631/J613)*BK94</f>
        <v>0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2052181</v>
      </c>
      <c r="D637" s="255">
        <f>(D616/D613)*BH91</f>
        <v>28278.751936787379</v>
      </c>
      <c r="E637" s="257">
        <f>(E624/E613)*SUM(C637:D637)</f>
        <v>112304.90212582487</v>
      </c>
      <c r="F637" s="257">
        <f>(F625/F613)*BH65</f>
        <v>162.7314360310798</v>
      </c>
      <c r="G637" s="255">
        <f>(G626/G613)*BH92</f>
        <v>0</v>
      </c>
      <c r="H637" s="257">
        <f>(H629/H613)*BH61</f>
        <v>14047.447346332683</v>
      </c>
      <c r="I637" s="255">
        <f>(I630/I613)*BH93</f>
        <v>17323.807885812719</v>
      </c>
      <c r="J637" s="255">
        <f>(J631/J613)*BH94</f>
        <v>0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668454</v>
      </c>
      <c r="D638" s="255">
        <f>(D616/D613)*BL91</f>
        <v>27767.528067330706</v>
      </c>
      <c r="E638" s="257">
        <f>(E624/E613)*SUM(C638:D638)</f>
        <v>37582.601871871972</v>
      </c>
      <c r="F638" s="257">
        <f>(F625/F613)*BL65</f>
        <v>676.12562529448633</v>
      </c>
      <c r="G638" s="255">
        <f>(G626/G613)*BL92</f>
        <v>0</v>
      </c>
      <c r="H638" s="257">
        <f>(H629/H613)*BL61</f>
        <v>26906.077905151891</v>
      </c>
      <c r="I638" s="255">
        <f>(I630/I613)*BL93</f>
        <v>12419.641682843676</v>
      </c>
      <c r="J638" s="255">
        <f>(J631/J613)*BL94</f>
        <v>0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-1145580</v>
      </c>
      <c r="D639" s="255">
        <f>(D616/D613)*BM91</f>
        <v>0</v>
      </c>
      <c r="E639" s="257">
        <f>(E624/E613)*SUM(C639:D639)</f>
        <v>-61839.336068641947</v>
      </c>
      <c r="F639" s="257">
        <f>(F625/F613)*BM65</f>
        <v>394.65576612261867</v>
      </c>
      <c r="G639" s="255">
        <f>(G626/G613)*BM92</f>
        <v>0</v>
      </c>
      <c r="H639" s="257">
        <f>(H629/H613)*BM61</f>
        <v>10044.288776134248</v>
      </c>
      <c r="I639" s="255">
        <f>(I630/I613)*BM93</f>
        <v>3948.8091504426047</v>
      </c>
      <c r="J639" s="255">
        <f>(J631/J613)*BM94</f>
        <v>0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84598</v>
      </c>
      <c r="D640" s="255">
        <f>(D616/D613)*BS91</f>
        <v>0</v>
      </c>
      <c r="E640" s="257">
        <f>(E624/E613)*SUM(C640:D640)</f>
        <v>4566.6685458326538</v>
      </c>
      <c r="F640" s="257">
        <f>(F625/F613)*BS65</f>
        <v>45.457412764587346</v>
      </c>
      <c r="G640" s="255">
        <f>(G626/G613)*BS92</f>
        <v>0</v>
      </c>
      <c r="H640" s="257">
        <f>(H629/H613)*BS61</f>
        <v>0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642319</v>
      </c>
      <c r="D643" s="255">
        <f>(D616/D613)*BV91</f>
        <v>17596.863717087483</v>
      </c>
      <c r="E643" s="257">
        <f>(E624/E613)*SUM(C643:D643)</f>
        <v>35622.792710617403</v>
      </c>
      <c r="F643" s="257">
        <f>(F625/F613)*BV65</f>
        <v>330.58827162219359</v>
      </c>
      <c r="G643" s="255">
        <f>(G626/G613)*BV92</f>
        <v>0</v>
      </c>
      <c r="H643" s="257">
        <f>(H629/H613)*BV61</f>
        <v>9486.2727330156795</v>
      </c>
      <c r="I643" s="255">
        <f>(I630/I613)*BV93</f>
        <v>19425.593401370879</v>
      </c>
      <c r="J643" s="255">
        <f>(J631/J613)*BV94</f>
        <v>0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1960326</v>
      </c>
      <c r="D644" s="255">
        <f>(D616/D613)*BW91</f>
        <v>6323.0320695956552</v>
      </c>
      <c r="E644" s="257">
        <f>(E624/E613)*SUM(C644:D644)</f>
        <v>106161.30730566275</v>
      </c>
      <c r="F644" s="257">
        <f>(F625/F613)*BW65</f>
        <v>608.03103113974885</v>
      </c>
      <c r="G644" s="255">
        <f>(G626/G613)*BW92</f>
        <v>0</v>
      </c>
      <c r="H644" s="257">
        <f>(H629/H613)*BW61</f>
        <v>7448.3010972782959</v>
      </c>
      <c r="I644" s="255">
        <f>(I630/I613)*BW93</f>
        <v>2165.4759857265899</v>
      </c>
      <c r="J644" s="255">
        <f>(J631/J613)*BW94</f>
        <v>0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348572</v>
      </c>
      <c r="D645" s="255">
        <f>(D616/D613)*BX91</f>
        <v>4035.9779167631841</v>
      </c>
      <c r="E645" s="257">
        <f>(E624/E613)*SUM(C645:D645)</f>
        <v>19034.064183102877</v>
      </c>
      <c r="F645" s="257">
        <f>(F625/F613)*BX65</f>
        <v>33.620180447365939</v>
      </c>
      <c r="G645" s="255">
        <f>(G626/G613)*BX92</f>
        <v>0</v>
      </c>
      <c r="H645" s="257">
        <f>(H629/H613)*BX61</f>
        <v>4925.0981196986777</v>
      </c>
      <c r="I645" s="255">
        <f>(I630/I613)*BX93</f>
        <v>2165.4759857265899</v>
      </c>
      <c r="J645" s="255">
        <f>(J631/J613)*BX94</f>
        <v>0</v>
      </c>
      <c r="K645" s="257">
        <f>SUM(C632:J645)</f>
        <v>8285129.2181539005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1117885</v>
      </c>
      <c r="D646" s="255">
        <f>(D616/D613)*BY91</f>
        <v>3632.380125086866</v>
      </c>
      <c r="E646" s="257">
        <f>(E624/E613)*SUM(C646:D646)</f>
        <v>60540.41636234754</v>
      </c>
      <c r="F646" s="257">
        <f>(F625/F613)*BY65</f>
        <v>206.66343225994274</v>
      </c>
      <c r="G646" s="255">
        <f>(G626/G613)*BY92</f>
        <v>0</v>
      </c>
      <c r="H646" s="257">
        <f>(H629/H613)*BY61</f>
        <v>16012.634280793731</v>
      </c>
      <c r="I646" s="255">
        <f>(I630/I613)*BY93</f>
        <v>2165.4759857265899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0</v>
      </c>
      <c r="D648" s="255">
        <f>(D616/D613)*CA91</f>
        <v>0</v>
      </c>
      <c r="E648" s="257">
        <f>(E624/E613)*SUM(C648:D648)</f>
        <v>0</v>
      </c>
      <c r="F648" s="257">
        <f>(F625/F613)*CA65</f>
        <v>0</v>
      </c>
      <c r="G648" s="255">
        <f>(G626/G613)*CA92</f>
        <v>0</v>
      </c>
      <c r="H648" s="257">
        <f>(H629/H613)*CA61</f>
        <v>0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1200442.5701862148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18608834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1888316</v>
      </c>
      <c r="D669" s="255">
        <f>(D616/D613)*C91</f>
        <v>110155.29060818984</v>
      </c>
      <c r="E669" s="257">
        <f>(E624/E613)*SUM(C669:D669)</f>
        <v>107879.09859062872</v>
      </c>
      <c r="F669" s="257">
        <f>(F625/F613)*C65</f>
        <v>5305.1546446037737</v>
      </c>
      <c r="G669" s="255">
        <f>(G626/G613)*C92</f>
        <v>403712.52789166995</v>
      </c>
      <c r="H669" s="257">
        <f>(H629/H613)*C61</f>
        <v>31370.206250100444</v>
      </c>
      <c r="I669" s="255">
        <f>(I630/I613)*C93</f>
        <v>51907.733187269725</v>
      </c>
      <c r="J669" s="255">
        <f>(J631/J613)*C94</f>
        <v>18503.033768318193</v>
      </c>
      <c r="K669" s="255">
        <f>(K645/K613)*C90</f>
        <v>152293.65012914411</v>
      </c>
      <c r="L669" s="255">
        <f>(L648/L613)*C95</f>
        <v>144818.18562944472</v>
      </c>
      <c r="M669" s="231">
        <f t="shared" ref="M669:M714" si="18">ROUND(SUM(D669:L669),0)</f>
        <v>1025945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4231635</v>
      </c>
      <c r="D671" s="255">
        <f>(D616/D613)*E91</f>
        <v>184632.53643219313</v>
      </c>
      <c r="E671" s="257">
        <f>(E624/E613)*SUM(C671:D671)</f>
        <v>238393.69782508761</v>
      </c>
      <c r="F671" s="257">
        <f>(F625/F613)*E65</f>
        <v>7144.5629200416925</v>
      </c>
      <c r="G671" s="255">
        <f>(G626/G613)*E92</f>
        <v>703777.78237850545</v>
      </c>
      <c r="H671" s="257">
        <f>(H629/H613)*E61</f>
        <v>56917.636398094081</v>
      </c>
      <c r="I671" s="255">
        <f>(I630/I613)*E93</f>
        <v>207630.9327490789</v>
      </c>
      <c r="J671" s="255">
        <f>(J631/J613)*E94</f>
        <v>55510.078698318292</v>
      </c>
      <c r="K671" s="255">
        <f>(K645/K613)*E90</f>
        <v>412491.63878185221</v>
      </c>
      <c r="L671" s="255">
        <f>(L648/L613)*E95</f>
        <v>211914.24228375772</v>
      </c>
      <c r="M671" s="231">
        <f t="shared" si="18"/>
        <v>2078413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8"/>
        <v>0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8"/>
        <v>0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>
        <f>(I630/I613)*J93</f>
        <v>0</v>
      </c>
      <c r="J676" s="255">
        <f>(J631/J613)*J94</f>
        <v>21587.687224174315</v>
      </c>
      <c r="K676" s="255">
        <f>(K645/K613)*J90</f>
        <v>26576.662780183993</v>
      </c>
      <c r="L676" s="255">
        <f>(L648/L613)*J95</f>
        <v>0</v>
      </c>
      <c r="M676" s="231">
        <f t="shared" si="18"/>
        <v>48164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>
        <f>(I630/I613)*K93</f>
        <v>0</v>
      </c>
      <c r="J677" s="255">
        <f>(J631/J613)*K94</f>
        <v>0</v>
      </c>
      <c r="K677" s="255">
        <f>(K645/K613)*K90</f>
        <v>0</v>
      </c>
      <c r="L677" s="255">
        <f>(L648/L613)*K95</f>
        <v>0</v>
      </c>
      <c r="M677" s="231">
        <f t="shared" si="18"/>
        <v>0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>
        <f>(I630/I613)*L93</f>
        <v>0</v>
      </c>
      <c r="J678" s="255">
        <f>(J631/J613)*L94</f>
        <v>0</v>
      </c>
      <c r="K678" s="255">
        <f>(K645/K613)*L90</f>
        <v>4631.563516106633</v>
      </c>
      <c r="L678" s="255">
        <f>(L648/L613)*L95</f>
        <v>0</v>
      </c>
      <c r="M678" s="231">
        <f t="shared" si="18"/>
        <v>4632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8"/>
        <v>0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2865833</v>
      </c>
      <c r="D681" s="255">
        <f>(D616/D613)*O91</f>
        <v>220498.92685249529</v>
      </c>
      <c r="E681" s="257">
        <f>(E624/E613)*SUM(C681:D681)</f>
        <v>166602.69666370811</v>
      </c>
      <c r="F681" s="257">
        <f>(F625/F613)*O65</f>
        <v>7280.9961749968834</v>
      </c>
      <c r="G681" s="255">
        <f>(G626/G613)*O92</f>
        <v>357007.27506109641</v>
      </c>
      <c r="H681" s="257">
        <f>(H629/H613)*O61</f>
        <v>46994.655457420391</v>
      </c>
      <c r="I681" s="255">
        <f>(I630/I613)*O93</f>
        <v>155723.19956180916</v>
      </c>
      <c r="J681" s="255">
        <f>(J631/J613)*O94</f>
        <v>43174.397054984925</v>
      </c>
      <c r="K681" s="255">
        <f>(K645/K613)*O90</f>
        <v>171879.22612492763</v>
      </c>
      <c r="L681" s="255">
        <f>(L648/L613)*O95</f>
        <v>223602.92183665838</v>
      </c>
      <c r="M681" s="231">
        <f t="shared" si="18"/>
        <v>1392764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7719541</v>
      </c>
      <c r="D682" s="255">
        <f>(D616/D613)*P91</f>
        <v>425822.57673796103</v>
      </c>
      <c r="E682" s="257">
        <f>(E624/E613)*SUM(C682:D682)</f>
        <v>439693.321831015</v>
      </c>
      <c r="F682" s="257">
        <f>(F625/F613)*P65</f>
        <v>74587.743197363496</v>
      </c>
      <c r="G682" s="255">
        <f>(G626/G613)*P92</f>
        <v>193618.86490208659</v>
      </c>
      <c r="H682" s="257">
        <f>(H629/H613)*P61</f>
        <v>119002.98658680795</v>
      </c>
      <c r="I682" s="255">
        <f>(I630/I613)*P93</f>
        <v>121139.27426035216</v>
      </c>
      <c r="J682" s="255">
        <f>(J631/J613)*P94</f>
        <v>55510.078698318292</v>
      </c>
      <c r="K682" s="255">
        <f>(K645/K613)*P90</f>
        <v>1115638.9889283634</v>
      </c>
      <c r="L682" s="255">
        <f>(L648/L613)*P95</f>
        <v>405005.15645635064</v>
      </c>
      <c r="M682" s="231">
        <f t="shared" si="18"/>
        <v>2950019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29001</v>
      </c>
      <c r="D683" s="255">
        <f>(D616/D613)*Q91</f>
        <v>0</v>
      </c>
      <c r="E683" s="257">
        <f>(E624/E613)*SUM(C683:D683)</f>
        <v>1565.4974644517931</v>
      </c>
      <c r="F683" s="257">
        <f>(F625/F613)*Q65</f>
        <v>1749.5307331530373</v>
      </c>
      <c r="G683" s="255">
        <f>(G626/G613)*Q92</f>
        <v>0</v>
      </c>
      <c r="H683" s="257">
        <f>(H629/H613)*Q61</f>
        <v>0</v>
      </c>
      <c r="I683" s="255">
        <f>(I630/I613)*Q93</f>
        <v>0</v>
      </c>
      <c r="J683" s="255">
        <f>(J631/J613)*Q94</f>
        <v>0</v>
      </c>
      <c r="K683" s="255">
        <f>(K645/K613)*Q90</f>
        <v>91530.451438632605</v>
      </c>
      <c r="L683" s="255">
        <f>(L648/L613)*Q95</f>
        <v>0</v>
      </c>
      <c r="M683" s="231">
        <f t="shared" si="18"/>
        <v>94845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571201</v>
      </c>
      <c r="D684" s="255">
        <f>(D616/D613)*R91</f>
        <v>0</v>
      </c>
      <c r="E684" s="257">
        <f>(E624/E613)*SUM(C684:D684)</f>
        <v>30833.892527579348</v>
      </c>
      <c r="F684" s="257">
        <f>(F625/F613)*R65</f>
        <v>7756.8651174814695</v>
      </c>
      <c r="G684" s="255">
        <f>(G626/G613)*R92</f>
        <v>0</v>
      </c>
      <c r="H684" s="257">
        <f>(H629/H613)*R61</f>
        <v>0</v>
      </c>
      <c r="I684" s="255">
        <f>(I630/I613)*R93</f>
        <v>0</v>
      </c>
      <c r="J684" s="255">
        <f>(J631/J613)*R94</f>
        <v>0</v>
      </c>
      <c r="K684" s="255">
        <f>(K645/K613)*R90</f>
        <v>266114.31532566668</v>
      </c>
      <c r="L684" s="255">
        <f>(L648/L613)*R95</f>
        <v>0</v>
      </c>
      <c r="M684" s="231">
        <f t="shared" si="18"/>
        <v>304705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5081311</v>
      </c>
      <c r="D685" s="255">
        <f>(D616/D613)*S91</f>
        <v>36700.492523099885</v>
      </c>
      <c r="E685" s="257">
        <f>(E624/E613)*SUM(C685:D685)</f>
        <v>276274.40483362816</v>
      </c>
      <c r="F685" s="257">
        <f>(F625/F613)*S65</f>
        <v>298750.93700512091</v>
      </c>
      <c r="G685" s="255">
        <f>(G626/G613)*S92</f>
        <v>0</v>
      </c>
      <c r="H685" s="257">
        <f>(H629/H613)*S61</f>
        <v>0</v>
      </c>
      <c r="I685" s="255">
        <f>(I630/I613)*S93</f>
        <v>0</v>
      </c>
      <c r="J685" s="255">
        <f>(J631/J613)*S94</f>
        <v>0</v>
      </c>
      <c r="K685" s="255">
        <f>(K645/K613)*S90</f>
        <v>1052897.2396476106</v>
      </c>
      <c r="L685" s="255">
        <f>(L648/L613)*S95</f>
        <v>0</v>
      </c>
      <c r="M685" s="231">
        <f t="shared" si="18"/>
        <v>1664623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8"/>
        <v>0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3239174</v>
      </c>
      <c r="D687" s="255">
        <f>(D616/D613)*U91</f>
        <v>55239.084420765445</v>
      </c>
      <c r="E687" s="257">
        <f>(E624/E613)*SUM(C687:D687)</f>
        <v>177835.08604936101</v>
      </c>
      <c r="F687" s="257">
        <f>(F625/F613)*U65</f>
        <v>54560.183399869173</v>
      </c>
      <c r="G687" s="255">
        <f>(G626/G613)*U92</f>
        <v>0</v>
      </c>
      <c r="H687" s="257">
        <f>(H629/H613)*U61</f>
        <v>35931.380863417449</v>
      </c>
      <c r="I687" s="255">
        <f>(I630/I613)*U93</f>
        <v>51907.733187269725</v>
      </c>
      <c r="J687" s="255">
        <f>(J631/J613)*U94</f>
        <v>9252.0055808409506</v>
      </c>
      <c r="K687" s="255">
        <f>(K645/K613)*U90</f>
        <v>774912.27772432822</v>
      </c>
      <c r="L687" s="255">
        <f>(L648/L613)*U95</f>
        <v>0</v>
      </c>
      <c r="M687" s="231">
        <f t="shared" si="18"/>
        <v>1159638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8061</v>
      </c>
      <c r="D688" s="255">
        <f>(D616/D613)*V91</f>
        <v>10493.54258358428</v>
      </c>
      <c r="E688" s="257">
        <f>(E624/E613)*SUM(C688:D688)</f>
        <v>1001.5892337734565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>
        <f>(I630/I613)*V93</f>
        <v>4458.3329117900375</v>
      </c>
      <c r="J688" s="255">
        <f>(J631/J613)*V94</f>
        <v>0</v>
      </c>
      <c r="K688" s="255">
        <f>(K645/K613)*V90</f>
        <v>34809.701881626563</v>
      </c>
      <c r="L688" s="255">
        <f>(L648/L613)*V95</f>
        <v>0</v>
      </c>
      <c r="M688" s="231">
        <f t="shared" si="18"/>
        <v>50763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671835</v>
      </c>
      <c r="D689" s="255">
        <f>(D616/D613)*W91</f>
        <v>17058.733328185725</v>
      </c>
      <c r="E689" s="257">
        <f>(E624/E613)*SUM(C689:D689)</f>
        <v>37187.04157794574</v>
      </c>
      <c r="F689" s="257">
        <f>(F625/F613)*W65</f>
        <v>536.27543729927265</v>
      </c>
      <c r="G689" s="255">
        <f>(G626/G613)*W92</f>
        <v>0</v>
      </c>
      <c r="H689" s="257">
        <f>(H629/H613)*W61</f>
        <v>8394.5022138706536</v>
      </c>
      <c r="I689" s="255">
        <f>(I630/I613)*W93</f>
        <v>7260.713599200918</v>
      </c>
      <c r="J689" s="255">
        <f>(J631/J613)*W94</f>
        <v>0</v>
      </c>
      <c r="K689" s="255">
        <f>(K645/K613)*W90</f>
        <v>352847.59865685651</v>
      </c>
      <c r="L689" s="255">
        <f>(L648/L613)*W95</f>
        <v>0</v>
      </c>
      <c r="M689" s="231">
        <f t="shared" si="18"/>
        <v>423285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293664</v>
      </c>
      <c r="D690" s="255">
        <f>(D616/D613)*X91</f>
        <v>14045.203150335881</v>
      </c>
      <c r="E690" s="257">
        <f>(E624/E613)*SUM(C690:D690)</f>
        <v>16610.391963047223</v>
      </c>
      <c r="F690" s="257">
        <f>(F625/F613)*X65</f>
        <v>1133.5065193660928</v>
      </c>
      <c r="G690" s="255">
        <f>(G626/G613)*X92</f>
        <v>0</v>
      </c>
      <c r="H690" s="257">
        <f>(H629/H613)*X61</f>
        <v>2232.0641724742777</v>
      </c>
      <c r="I690" s="255">
        <f>(I630/I613)*X93</f>
        <v>7515.4754798746344</v>
      </c>
      <c r="J690" s="255">
        <f>(J631/J613)*X94</f>
        <v>0</v>
      </c>
      <c r="K690" s="255">
        <f>(K645/K613)*X90</f>
        <v>588906.07666065451</v>
      </c>
      <c r="L690" s="255">
        <f>(L648/L613)*X95</f>
        <v>0</v>
      </c>
      <c r="M690" s="231">
        <f t="shared" si="18"/>
        <v>630443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3141821</v>
      </c>
      <c r="D691" s="255">
        <f>(D616/D613)*Y91</f>
        <v>132756.76694206367</v>
      </c>
      <c r="E691" s="257">
        <f>(E624/E613)*SUM(C691:D691)</f>
        <v>176764.35954960226</v>
      </c>
      <c r="F691" s="257">
        <f>(F625/F613)*Y65</f>
        <v>8405.8993451014903</v>
      </c>
      <c r="G691" s="255">
        <f>(G626/G613)*Y92</f>
        <v>0</v>
      </c>
      <c r="H691" s="257">
        <f>(H629/H613)*Y61</f>
        <v>52332.200217684964</v>
      </c>
      <c r="I691" s="255">
        <f>(I630/I613)*Y93</f>
        <v>86491.658488726724</v>
      </c>
      <c r="J691" s="255">
        <f>(J631/J613)*Y94</f>
        <v>12335.681643333364</v>
      </c>
      <c r="K691" s="255">
        <f>(K645/K613)*Y90</f>
        <v>666978.32198294182</v>
      </c>
      <c r="L691" s="255">
        <f>(L648/L613)*Y95</f>
        <v>0</v>
      </c>
      <c r="M691" s="231">
        <f t="shared" si="18"/>
        <v>1136065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8"/>
        <v>0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913801</v>
      </c>
      <c r="D693" s="255">
        <f>(D616/D613)*AA91</f>
        <v>9255.8426891102354</v>
      </c>
      <c r="E693" s="257">
        <f>(E624/E613)*SUM(C693:D693)</f>
        <v>49827.355842028883</v>
      </c>
      <c r="F693" s="257">
        <f>(F625/F613)*AA65</f>
        <v>14821.374177728347</v>
      </c>
      <c r="G693" s="255">
        <f>(G626/G613)*AA92</f>
        <v>0</v>
      </c>
      <c r="H693" s="257">
        <f>(H629/H613)*AA61</f>
        <v>5119.1906564355713</v>
      </c>
      <c r="I693" s="255">
        <f>(I630/I613)*AA93</f>
        <v>4394.6424416216087</v>
      </c>
      <c r="J693" s="255">
        <f>(J631/J613)*AA94</f>
        <v>0</v>
      </c>
      <c r="K693" s="255">
        <f>(K645/K613)*AA90</f>
        <v>180526.90627588428</v>
      </c>
      <c r="L693" s="255">
        <f>(L648/L613)*AA95</f>
        <v>0</v>
      </c>
      <c r="M693" s="231">
        <f t="shared" si="18"/>
        <v>263945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4269949</v>
      </c>
      <c r="D694" s="255">
        <f>(D616/D613)*AB91</f>
        <v>26368.389056186137</v>
      </c>
      <c r="E694" s="257">
        <f>(E624/E613)*SUM(C694:D694)</f>
        <v>231918.69173640935</v>
      </c>
      <c r="F694" s="257">
        <f>(F625/F613)*AB65</f>
        <v>187059.63317607265</v>
      </c>
      <c r="G694" s="255">
        <f>(G626/G613)*AB92</f>
        <v>0</v>
      </c>
      <c r="H694" s="257">
        <f>(H629/H613)*AB61</f>
        <v>15406.095103490938</v>
      </c>
      <c r="I694" s="255">
        <f>(I630/I613)*AB93</f>
        <v>11273.213219811953</v>
      </c>
      <c r="J694" s="255">
        <f>(J631/J613)*AB94</f>
        <v>0</v>
      </c>
      <c r="K694" s="255">
        <f>(K645/K613)*AB90</f>
        <v>971608.48782635946</v>
      </c>
      <c r="L694" s="255">
        <f>(L648/L613)*AB95</f>
        <v>0</v>
      </c>
      <c r="M694" s="231">
        <f t="shared" si="18"/>
        <v>1443635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1249907</v>
      </c>
      <c r="D695" s="255">
        <f>(D616/D613)*AC91</f>
        <v>35005.381798059352</v>
      </c>
      <c r="E695" s="257">
        <f>(E624/E613)*SUM(C695:D695)</f>
        <v>69360.610866783085</v>
      </c>
      <c r="F695" s="257">
        <f>(F625/F613)*AC65</f>
        <v>2683.2687030006618</v>
      </c>
      <c r="G695" s="255">
        <f>(G626/G613)*AC92</f>
        <v>0</v>
      </c>
      <c r="H695" s="257">
        <f>(H629/H613)*AC61</f>
        <v>25911.353654375311</v>
      </c>
      <c r="I695" s="255">
        <f>(I630/I613)*AC93</f>
        <v>17769.641176991721</v>
      </c>
      <c r="J695" s="255">
        <f>(J631/J613)*AC94</f>
        <v>15419.35770582578</v>
      </c>
      <c r="K695" s="255">
        <f>(K645/K613)*AC90</f>
        <v>205552.30568413384</v>
      </c>
      <c r="L695" s="255">
        <f>(L648/L613)*AC95</f>
        <v>0</v>
      </c>
      <c r="M695" s="231">
        <f t="shared" si="18"/>
        <v>371702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4637963</v>
      </c>
      <c r="D697" s="255">
        <f>(D616/D613)*AE91</f>
        <v>376906.52438679122</v>
      </c>
      <c r="E697" s="257">
        <f>(E624/E613)*SUM(C697:D697)</f>
        <v>270706.71787124895</v>
      </c>
      <c r="F697" s="257">
        <f>(F625/F613)*AE65</f>
        <v>5277.3920636535895</v>
      </c>
      <c r="G697" s="255">
        <f>(G626/G613)*AE92</f>
        <v>0</v>
      </c>
      <c r="H697" s="257">
        <f>(H629/H613)*AE61</f>
        <v>98453.439259789346</v>
      </c>
      <c r="I697" s="255">
        <f>(I630/I613)*AE93</f>
        <v>155723.19956180916</v>
      </c>
      <c r="J697" s="255">
        <f>(J631/J613)*AE94</f>
        <v>68545.573990065153</v>
      </c>
      <c r="K697" s="255">
        <f>(K645/K613)*AE90</f>
        <v>322369.18221415346</v>
      </c>
      <c r="L697" s="255">
        <f>(L648/L613)*AE95</f>
        <v>0</v>
      </c>
      <c r="M697" s="231">
        <f t="shared" si="18"/>
        <v>1297982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6869543</v>
      </c>
      <c r="D699" s="255">
        <f>(D616/D613)*AG91</f>
        <v>160927.8928010707</v>
      </c>
      <c r="E699" s="257">
        <f>(E624/E613)*SUM(C699:D699)</f>
        <v>379510.5119334578</v>
      </c>
      <c r="F699" s="257">
        <f>(F625/F613)*AG65</f>
        <v>11464.725599197502</v>
      </c>
      <c r="G699" s="255">
        <f>(G626/G613)*AG92</f>
        <v>138116.38979178169</v>
      </c>
      <c r="H699" s="257">
        <f>(H629/H613)*AG61</f>
        <v>70528.375536768755</v>
      </c>
      <c r="I699" s="255">
        <f>(I630/I613)*AG93</f>
        <v>155723.19956180916</v>
      </c>
      <c r="J699" s="255">
        <f>(J631/J613)*AG94</f>
        <v>55510.078698318292</v>
      </c>
      <c r="K699" s="255">
        <f>(K645/K613)*AG90</f>
        <v>867054.17963589763</v>
      </c>
      <c r="L699" s="255">
        <f>(L648/L613)*AG95</f>
        <v>215102.06398000332</v>
      </c>
      <c r="M699" s="231">
        <f t="shared" si="18"/>
        <v>2053937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8"/>
        <v>0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0</v>
      </c>
      <c r="L701" s="255">
        <f>(L648/L613)*AI95</f>
        <v>0</v>
      </c>
      <c r="M701" s="231">
        <f t="shared" si="18"/>
        <v>0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93816</v>
      </c>
      <c r="D702" s="255">
        <f>(D616/D613)*AJ91</f>
        <v>0</v>
      </c>
      <c r="E702" s="257">
        <f>(E624/E613)*SUM(C702:D702)</f>
        <v>5064.263650391691</v>
      </c>
      <c r="F702" s="257">
        <f>(F625/F613)*AJ65</f>
        <v>0</v>
      </c>
      <c r="G702" s="255">
        <f>(G626/G613)*AJ92</f>
        <v>0</v>
      </c>
      <c r="H702" s="257">
        <f>(H629/H613)*AJ61</f>
        <v>1698.3096964478198</v>
      </c>
      <c r="I702" s="255">
        <f>(I630/I613)*AJ93</f>
        <v>14394.046258064978</v>
      </c>
      <c r="J702" s="255">
        <f>(J631/J613)*AJ94</f>
        <v>0</v>
      </c>
      <c r="K702" s="255">
        <f>(K645/K613)*AJ90</f>
        <v>7476.4587866439406</v>
      </c>
      <c r="L702" s="255">
        <f>(L648/L613)*AJ95</f>
        <v>0</v>
      </c>
      <c r="M702" s="231">
        <f t="shared" si="18"/>
        <v>28633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0</v>
      </c>
      <c r="D703" s="255">
        <f>(D616/D613)*AK91</f>
        <v>0</v>
      </c>
      <c r="E703" s="257">
        <f>(E624/E613)*SUM(C703:D703)</f>
        <v>0</v>
      </c>
      <c r="F703" s="257">
        <f>(F625/F613)*AK65</f>
        <v>0</v>
      </c>
      <c r="G703" s="255">
        <f>(G626/G613)*AK92</f>
        <v>0</v>
      </c>
      <c r="H703" s="257">
        <f>(H629/H613)*AK61</f>
        <v>0</v>
      </c>
      <c r="I703" s="255">
        <f>(I630/I613)*AK93</f>
        <v>0</v>
      </c>
      <c r="J703" s="255">
        <f>(J631/J613)*AK94</f>
        <v>0</v>
      </c>
      <c r="K703" s="255">
        <f>(K645/K613)*AK90</f>
        <v>0</v>
      </c>
      <c r="L703" s="255">
        <f>(L648/L613)*AK95</f>
        <v>0</v>
      </c>
      <c r="M703" s="231">
        <f t="shared" si="18"/>
        <v>0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0</v>
      </c>
      <c r="D704" s="255">
        <f>(D616/D613)*AL91</f>
        <v>0</v>
      </c>
      <c r="E704" s="257">
        <f>(E624/E613)*SUM(C704:D704)</f>
        <v>0</v>
      </c>
      <c r="F704" s="257">
        <f>(F625/F613)*AL65</f>
        <v>0</v>
      </c>
      <c r="G704" s="255">
        <f>(G626/G613)*AL92</f>
        <v>0</v>
      </c>
      <c r="H704" s="257">
        <f>(H629/H613)*AL61</f>
        <v>0</v>
      </c>
      <c r="I704" s="255">
        <f>(I630/I613)*AL93</f>
        <v>0</v>
      </c>
      <c r="J704" s="255">
        <f>(J631/J613)*AL94</f>
        <v>0</v>
      </c>
      <c r="K704" s="255">
        <f>(K645/K613)*AL90</f>
        <v>0</v>
      </c>
      <c r="L704" s="255">
        <f>(L648/L613)*AL95</f>
        <v>0</v>
      </c>
      <c r="M704" s="231">
        <f t="shared" si="18"/>
        <v>0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0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>
        <f>(I630/I613)*AO93</f>
        <v>0</v>
      </c>
      <c r="J707" s="255">
        <f>(J631/J613)*AO94</f>
        <v>0</v>
      </c>
      <c r="K707" s="255">
        <f>(K645/K613)*AO90</f>
        <v>0</v>
      </c>
      <c r="L707" s="255">
        <f>(L648/L613)*AO95</f>
        <v>0</v>
      </c>
      <c r="M707" s="231">
        <f t="shared" si="18"/>
        <v>0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1156619</v>
      </c>
      <c r="D708" s="255">
        <f>(D616/D613)*AP91</f>
        <v>70764.146140581157</v>
      </c>
      <c r="E708" s="257">
        <f>(E624/E613)*SUM(C708:D708)</f>
        <v>66255.136139924289</v>
      </c>
      <c r="F708" s="257">
        <f>(F625/F613)*AP65</f>
        <v>9526.1652489374956</v>
      </c>
      <c r="G708" s="255">
        <f>(G626/G613)*AP92</f>
        <v>0</v>
      </c>
      <c r="H708" s="257">
        <f>(H629/H613)*AP61</f>
        <v>0</v>
      </c>
      <c r="I708" s="255">
        <f>(I630/I613)*AP93</f>
        <v>0</v>
      </c>
      <c r="J708" s="255">
        <f>(J631/J613)*AP94</f>
        <v>0</v>
      </c>
      <c r="K708" s="255">
        <f>(K645/K613)*AP90</f>
        <v>18033.984151932375</v>
      </c>
      <c r="L708" s="255">
        <f>(L648/L613)*AP95</f>
        <v>0</v>
      </c>
      <c r="M708" s="231">
        <f t="shared" si="18"/>
        <v>164579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8"/>
        <v>0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0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24612</v>
      </c>
      <c r="D714" s="255">
        <f>(D616/D613)*AV91</f>
        <v>12807.503255861839</v>
      </c>
      <c r="E714" s="257">
        <f>(E624/E613)*SUM(C714:D714)</f>
        <v>2019.9350873451717</v>
      </c>
      <c r="F714" s="257">
        <f>(F625/F613)*AV65</f>
        <v>387.82190004257336</v>
      </c>
      <c r="G714" s="255">
        <f>(G626/G613)*AV92</f>
        <v>0</v>
      </c>
      <c r="H714" s="257">
        <f>(H629/H613)*AV61</f>
        <v>4900.8365526065663</v>
      </c>
      <c r="I714" s="255">
        <f>(I630/I613)*AV93</f>
        <v>0</v>
      </c>
      <c r="J714" s="255">
        <f>(J631/J613)*AV94</f>
        <v>0</v>
      </c>
      <c r="K714" s="255">
        <f>(K645/K613)*AV90</f>
        <v>0</v>
      </c>
      <c r="L714" s="255">
        <f>(L648/L613)*AV95</f>
        <v>0</v>
      </c>
      <c r="M714" s="231">
        <f t="shared" si="18"/>
        <v>20116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67566437</v>
      </c>
      <c r="D716" s="231">
        <f>SUM(D617:D648)+SUM(D669:D714)</f>
        <v>3136197</v>
      </c>
      <c r="E716" s="231">
        <f>SUM(E625:E648)+SUM(E669:E714)</f>
        <v>3460490.8831493063</v>
      </c>
      <c r="F716" s="231">
        <f>SUM(F626:F649)+SUM(F669:F714)</f>
        <v>732840.55107605853</v>
      </c>
      <c r="G716" s="231">
        <f>SUM(G627:G648)+SUM(G669:G714)</f>
        <v>1796232.8400251402</v>
      </c>
      <c r="H716" s="231">
        <f>SUM(H630:H648)+SUM(H669:H714)</f>
        <v>747134.95860158012</v>
      </c>
      <c r="I716" s="231">
        <f>SUM(I631:I648)+SUM(I669:I714)</f>
        <v>1133690.3689980381</v>
      </c>
      <c r="J716" s="231">
        <f>SUM(J632:J648)+SUM(J669:J714)</f>
        <v>355347.97306249751</v>
      </c>
      <c r="K716" s="231">
        <f>SUM(K669:K714)</f>
        <v>8285129.2181538986</v>
      </c>
      <c r="L716" s="231">
        <f>SUM(L669:L714)</f>
        <v>1200442.5701862148</v>
      </c>
      <c r="M716" s="231">
        <f>SUM(M669:M714)</f>
        <v>18608833</v>
      </c>
      <c r="N716" s="249" t="s">
        <v>669</v>
      </c>
    </row>
    <row r="717" spans="1:14" s="231" customFormat="1" ht="12.65" customHeight="1" x14ac:dyDescent="0.3">
      <c r="C717" s="252">
        <f>CE86</f>
        <v>67566437</v>
      </c>
      <c r="D717" s="231">
        <f>D616</f>
        <v>3136197</v>
      </c>
      <c r="E717" s="231">
        <f>E624</f>
        <v>3460490.8831493063</v>
      </c>
      <c r="F717" s="231">
        <f>F625</f>
        <v>732840.55107605841</v>
      </c>
      <c r="G717" s="231">
        <f>G626</f>
        <v>1796232.8400251402</v>
      </c>
      <c r="H717" s="231">
        <f>H629</f>
        <v>747134.95860158035</v>
      </c>
      <c r="I717" s="231">
        <f>I630</f>
        <v>1133690.3689980381</v>
      </c>
      <c r="J717" s="231">
        <f>J631</f>
        <v>355347.97306249756</v>
      </c>
      <c r="K717" s="231">
        <f>K645</f>
        <v>8285129.2181539005</v>
      </c>
      <c r="L717" s="231">
        <f>L648</f>
        <v>1200442.5701862148</v>
      </c>
      <c r="M717" s="231">
        <f>C649</f>
        <v>18608834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35">
      <c r="A2" s="12" t="str">
        <f>RIGHT(data!C96,4)</f>
        <v>2022</v>
      </c>
      <c r="B2" s="225" t="str">
        <f>RIGHT(data!C97,3)</f>
        <v>172</v>
      </c>
      <c r="C2" s="12" t="str">
        <f>SUBSTITUTE(LEFT(data!C98,49),",","")</f>
        <v>Public Hospital District #1-A of Whitman County</v>
      </c>
      <c r="D2" s="12" t="str">
        <f>LEFT(data!C99,49)</f>
        <v>835 SE Bishop Blvd</v>
      </c>
      <c r="E2" s="12" t="str">
        <f>RIGHT(data!C100,100)</f>
        <v>Pullman</v>
      </c>
      <c r="F2" s="12" t="str">
        <f>RIGHT(data!C101,100)</f>
        <v>Washington</v>
      </c>
      <c r="G2" s="12" t="str">
        <f>RIGHT(data!C102,100)</f>
        <v>Whitman</v>
      </c>
      <c r="H2" s="12" t="str">
        <f>RIGHT(data!C103,100)</f>
        <v>99163</v>
      </c>
      <c r="I2" s="12" t="str">
        <f>LEFT(data!C104,49)</f>
        <v>Matthew Forge</v>
      </c>
      <c r="J2" s="12" t="str">
        <f>LEFT(data!C105,49)</f>
        <v xml:space="preserve">Steven D Febus </v>
      </c>
      <c r="K2" s="12" t="str">
        <f>LEFT(data!C107,49)</f>
        <v>509-332-2541</v>
      </c>
      <c r="L2" s="12" t="str">
        <f>LEFT(data!C107,49)</f>
        <v>509-332-2541</v>
      </c>
      <c r="M2" s="12" t="str">
        <f>LEFT(data!C109,49)</f>
        <v>Shauna Patrick</v>
      </c>
      <c r="N2" s="12" t="str">
        <f>LEFT(data!C110,49)</f>
        <v>shauna.patrick@pullmanregional.org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3" customFormat="1" ht="12.65" customHeight="1" x14ac:dyDescent="0.35">
      <c r="A2" s="16" t="str">
        <f>RIGHT(data!C97,3)</f>
        <v>172</v>
      </c>
      <c r="B2" s="224" t="str">
        <f>RIGHT(data!C96,4)</f>
        <v>2022</v>
      </c>
      <c r="C2" s="16" t="s">
        <v>1122</v>
      </c>
      <c r="D2" s="223">
        <f>ROUND(data!C181,0)</f>
        <v>2490634</v>
      </c>
      <c r="E2" s="223">
        <f>ROUND(data!C182,0)</f>
        <v>282</v>
      </c>
      <c r="F2" s="223">
        <f>ROUND(data!C183,0)</f>
        <v>175088</v>
      </c>
      <c r="G2" s="223">
        <f>ROUND(data!C184,0)</f>
        <v>4755038</v>
      </c>
      <c r="H2" s="223">
        <f>ROUND(data!C185,0)</f>
        <v>23078</v>
      </c>
      <c r="I2" s="223">
        <f>ROUND(data!C186,0)</f>
        <v>983338</v>
      </c>
      <c r="J2" s="223">
        <f>ROUND(data!C187+data!C188,0)</f>
        <v>1082026</v>
      </c>
      <c r="K2" s="223">
        <f>ROUND(data!C191,0)</f>
        <v>352500</v>
      </c>
      <c r="L2" s="223">
        <f>ROUND(data!C192,0)</f>
        <v>486900</v>
      </c>
      <c r="M2" s="223">
        <f>ROUND(data!C195,0)</f>
        <v>199925</v>
      </c>
      <c r="N2" s="223">
        <f>ROUND(data!C196,0)</f>
        <v>214780</v>
      </c>
      <c r="O2" s="223">
        <f>ROUND(data!C199,0)</f>
        <v>14647</v>
      </c>
      <c r="P2" s="223">
        <f>ROUND(data!C200,0)</f>
        <v>882377</v>
      </c>
      <c r="Q2" s="223">
        <f>ROUND(data!C201,0)</f>
        <v>0</v>
      </c>
      <c r="R2" s="223">
        <f>ROUND(data!C204,0)</f>
        <v>504504</v>
      </c>
      <c r="S2" s="223">
        <f>ROUND(data!C205,0)</f>
        <v>0</v>
      </c>
      <c r="T2" s="223">
        <f>ROUND(data!B211,0)</f>
        <v>1813305</v>
      </c>
      <c r="U2" s="223">
        <f>ROUND(data!C211,0)</f>
        <v>0</v>
      </c>
      <c r="V2" s="223">
        <f>ROUND(data!D211,0)</f>
        <v>0</v>
      </c>
      <c r="W2" s="223">
        <f>ROUND(data!B212,0)</f>
        <v>3772788</v>
      </c>
      <c r="X2" s="223">
        <f>ROUND(data!C212,0)</f>
        <v>0</v>
      </c>
      <c r="Y2" s="223">
        <f>ROUND(data!D212,0)</f>
        <v>1102572</v>
      </c>
      <c r="Z2" s="223">
        <f>ROUND(data!B213,0)</f>
        <v>18420292</v>
      </c>
      <c r="AA2" s="223">
        <f>ROUND(data!C213,0)</f>
        <v>1073704</v>
      </c>
      <c r="AB2" s="223">
        <f>ROUND(data!D213,0)</f>
        <v>371993</v>
      </c>
      <c r="AC2" s="223">
        <f>ROUND(data!B214,0)</f>
        <v>15776334</v>
      </c>
      <c r="AD2" s="223">
        <f>ROUND(data!C214,0)</f>
        <v>677600</v>
      </c>
      <c r="AE2" s="223">
        <f>ROUND(data!D214,0)</f>
        <v>6440468</v>
      </c>
      <c r="AF2" s="223">
        <f>ROUND(data!B215,0)</f>
        <v>1053251</v>
      </c>
      <c r="AG2" s="223">
        <f>ROUND(data!C215,0)</f>
        <v>336790</v>
      </c>
      <c r="AH2" s="223">
        <f>ROUND(data!D215,0)</f>
        <v>865891</v>
      </c>
      <c r="AI2" s="223">
        <f>ROUND(data!B216,0)</f>
        <v>16548114</v>
      </c>
      <c r="AJ2" s="223">
        <f>ROUND(data!C216,0)</f>
        <v>4002363</v>
      </c>
      <c r="AK2" s="223">
        <f>ROUND(data!D216,0)</f>
        <v>2413467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104566</v>
      </c>
      <c r="AP2" s="223">
        <f>ROUND(data!C218,0)</f>
        <v>6314</v>
      </c>
      <c r="AQ2" s="223">
        <f>ROUND(data!D218,0)</f>
        <v>0</v>
      </c>
      <c r="AR2" s="223">
        <f>ROUND(data!B219,0)</f>
        <v>1334596</v>
      </c>
      <c r="AS2" s="223">
        <f>ROUND(data!C219,0)</f>
        <v>8809261</v>
      </c>
      <c r="AT2" s="223">
        <f>ROUND(data!D219,0)</f>
        <v>4433841</v>
      </c>
      <c r="AU2" s="223">
        <v>0</v>
      </c>
      <c r="AV2" s="223">
        <v>0</v>
      </c>
      <c r="AW2" s="223">
        <v>0</v>
      </c>
      <c r="AX2" s="223">
        <f>ROUND(data!B225,0)</f>
        <v>1988802</v>
      </c>
      <c r="AY2" s="223">
        <f>ROUND(data!C225,0)</f>
        <v>92342</v>
      </c>
      <c r="AZ2" s="223">
        <f>ROUND(data!D225,0)</f>
        <v>1102571</v>
      </c>
      <c r="BA2" s="223">
        <f>ROUND(data!B226,0)</f>
        <v>5591314</v>
      </c>
      <c r="BB2" s="223">
        <f>ROUND(data!C226,0)</f>
        <v>840911</v>
      </c>
      <c r="BC2" s="223">
        <f>ROUND(data!D226,0)</f>
        <v>442553</v>
      </c>
      <c r="BD2" s="223">
        <f>ROUND(data!B227,0)</f>
        <v>12800841</v>
      </c>
      <c r="BE2" s="223">
        <f>ROUND(data!C227,0)</f>
        <v>513706</v>
      </c>
      <c r="BF2" s="223">
        <f>ROUND(data!D227,0)</f>
        <v>6440468</v>
      </c>
      <c r="BG2" s="223">
        <f>ROUND(data!B228,0)</f>
        <v>936008</v>
      </c>
      <c r="BH2" s="223">
        <f>ROUND(data!C228,0)</f>
        <v>25642</v>
      </c>
      <c r="BI2" s="223">
        <f>ROUND(data!D228,0)</f>
        <v>865891</v>
      </c>
      <c r="BJ2" s="223">
        <f>ROUND(data!B229,0)</f>
        <v>11877107</v>
      </c>
      <c r="BK2" s="223">
        <f>ROUND(data!C229,0)</f>
        <v>1608678</v>
      </c>
      <c r="BL2" s="223">
        <f>ROUND(data!D229,0)</f>
        <v>2303073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8341</v>
      </c>
      <c r="BQ2" s="223">
        <f>ROUND(data!C231,0)</f>
        <v>21860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31557160</v>
      </c>
      <c r="BW2" s="223">
        <f>ROUND(data!C240,0)</f>
        <v>12193142</v>
      </c>
      <c r="BX2" s="223">
        <f>ROUND(data!C241,0)</f>
        <v>872922</v>
      </c>
      <c r="BY2" s="223">
        <f>ROUND(data!C242,0)</f>
        <v>724024</v>
      </c>
      <c r="BZ2" s="223">
        <f>ROUND(data!C243,0)</f>
        <v>0</v>
      </c>
      <c r="CA2" s="223">
        <f>ROUND(data!C244,0)</f>
        <v>35112394</v>
      </c>
      <c r="CB2" s="223">
        <f>ROUND(data!C247,0)</f>
        <v>1624</v>
      </c>
      <c r="CC2" s="223">
        <f>ROUND(data!C249,0)</f>
        <v>234560</v>
      </c>
      <c r="CD2" s="223">
        <f>ROUND(data!C250,0)</f>
        <v>998219</v>
      </c>
      <c r="CE2" s="223">
        <f>ROUND(data!C254+data!C255,0)</f>
        <v>680541</v>
      </c>
      <c r="CF2" s="223">
        <f>data!D237</f>
        <v>1122030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3" customFormat="1" ht="12.65" customHeight="1" x14ac:dyDescent="0.35">
      <c r="A2" s="16" t="str">
        <f>RIGHT(data!C97,3)</f>
        <v>172</v>
      </c>
      <c r="B2" s="16" t="str">
        <f>RIGHT(data!C96,4)</f>
        <v>2022</v>
      </c>
      <c r="C2" s="16" t="s">
        <v>1122</v>
      </c>
      <c r="D2" s="222">
        <f>ROUND(data!C127,0)</f>
        <v>1072</v>
      </c>
      <c r="E2" s="222">
        <f>ROUND(data!C128,0)</f>
        <v>3</v>
      </c>
      <c r="F2" s="222">
        <f>ROUND(data!C129,0)</f>
        <v>0</v>
      </c>
      <c r="G2" s="222">
        <f>ROUND(data!C130,0)</f>
        <v>359</v>
      </c>
      <c r="H2" s="222">
        <f>ROUND(data!D127,0)</f>
        <v>3196</v>
      </c>
      <c r="I2" s="222">
        <f>ROUND(data!D128,0)</f>
        <v>17</v>
      </c>
      <c r="J2" s="222">
        <f>ROUND(data!D129,0)</f>
        <v>0</v>
      </c>
      <c r="K2" s="222">
        <f>ROUND(data!D130,0)</f>
        <v>653</v>
      </c>
      <c r="L2" s="222">
        <f>ROUND(data!C132,0)</f>
        <v>2</v>
      </c>
      <c r="M2" s="222">
        <f>ROUND(data!C133,0)</f>
        <v>0</v>
      </c>
      <c r="N2" s="222">
        <f>ROUND(data!C134,0)</f>
        <v>13</v>
      </c>
      <c r="O2" s="222">
        <f>ROUND(data!C135,0)</f>
        <v>0</v>
      </c>
      <c r="P2" s="222">
        <f>ROUND(data!C136,0)</f>
        <v>8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2</v>
      </c>
      <c r="U2" s="222">
        <f>ROUND(data!C141,0)</f>
        <v>0</v>
      </c>
      <c r="V2" s="222">
        <f>ROUND(data!C142,0)</f>
        <v>0</v>
      </c>
      <c r="W2" s="222">
        <f>ROUND(data!C144,0)</f>
        <v>42</v>
      </c>
      <c r="X2" s="222">
        <f>ROUND(data!C145,0)</f>
        <v>8</v>
      </c>
      <c r="Y2" s="222">
        <f>ROUND(data!B154,0)</f>
        <v>425</v>
      </c>
      <c r="Z2" s="222">
        <f>ROUND(data!B155,0)</f>
        <v>1530</v>
      </c>
      <c r="AA2" s="222">
        <f>ROUND(data!B156,0)</f>
        <v>25811</v>
      </c>
      <c r="AB2" s="222">
        <f>ROUND(data!B157,0)</f>
        <v>12682464</v>
      </c>
      <c r="AC2" s="222">
        <f>ROUND(data!B158,0)</f>
        <v>49173640</v>
      </c>
      <c r="AD2" s="222">
        <f>ROUND(data!C154,0)</f>
        <v>259</v>
      </c>
      <c r="AE2" s="222">
        <f>ROUND(data!C155,0)</f>
        <v>664</v>
      </c>
      <c r="AF2" s="222">
        <f>ROUND(data!C156,0)</f>
        <v>11107</v>
      </c>
      <c r="AG2" s="222">
        <f>ROUND(data!C157,0)</f>
        <v>3533733</v>
      </c>
      <c r="AH2" s="222">
        <f>ROUND(data!C158,0)</f>
        <v>19300249</v>
      </c>
      <c r="AI2" s="222">
        <f>ROUND(data!D154,0)</f>
        <v>388</v>
      </c>
      <c r="AJ2" s="222">
        <f>ROUND(data!D155,0)</f>
        <v>1672</v>
      </c>
      <c r="AK2" s="222">
        <f>ROUND(data!D156,0)</f>
        <v>49117</v>
      </c>
      <c r="AL2" s="222">
        <f>ROUND(data!D157,0)</f>
        <v>9953521</v>
      </c>
      <c r="AM2" s="222">
        <f>ROUND(data!D158,0)</f>
        <v>75123622</v>
      </c>
      <c r="AN2" s="222">
        <f>ROUND(data!B160,0)</f>
        <v>3</v>
      </c>
      <c r="AO2" s="222">
        <f>ROUND(data!B161,0)</f>
        <v>17</v>
      </c>
      <c r="AP2" s="222">
        <f>ROUND(data!B162,0)</f>
        <v>0</v>
      </c>
      <c r="AQ2" s="222">
        <f>ROUND(data!B163,0)</f>
        <v>23803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7526138</v>
      </c>
      <c r="BS2" s="222">
        <f>ROUND(data!C173,0)</f>
        <v>6650057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1" t="s">
        <v>1288</v>
      </c>
      <c r="CR1" s="211" t="s">
        <v>1289</v>
      </c>
      <c r="CS1" s="211" t="s">
        <v>1290</v>
      </c>
      <c r="CT1" s="211" t="s">
        <v>1291</v>
      </c>
      <c r="CU1" s="211" t="s">
        <v>1292</v>
      </c>
      <c r="CV1" s="211" t="s">
        <v>1293</v>
      </c>
      <c r="CW1" s="211" t="s">
        <v>1294</v>
      </c>
      <c r="CX1" s="211" t="s">
        <v>1295</v>
      </c>
      <c r="CY1" s="211" t="s">
        <v>1296</v>
      </c>
      <c r="CZ1" s="211" t="s">
        <v>1297</v>
      </c>
      <c r="DA1" s="211" t="s">
        <v>1298</v>
      </c>
      <c r="DB1" s="211" t="s">
        <v>1299</v>
      </c>
      <c r="DC1" s="211" t="s">
        <v>1300</v>
      </c>
      <c r="DD1" s="211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3" customFormat="1" ht="12.65" customHeight="1" x14ac:dyDescent="0.35">
      <c r="A2" s="223" t="str">
        <f>RIGHT(data!C97,3)</f>
        <v>172</v>
      </c>
      <c r="B2" s="224" t="str">
        <f>RIGHT(data!C96,4)</f>
        <v>2022</v>
      </c>
      <c r="C2" s="16" t="s">
        <v>1122</v>
      </c>
      <c r="D2" s="222">
        <f>ROUND(data!C266,0)</f>
        <v>5751318</v>
      </c>
      <c r="E2" s="222">
        <f>ROUND(data!C267,0)</f>
        <v>0</v>
      </c>
      <c r="F2" s="222">
        <f>ROUND(data!C268,0)</f>
        <v>26251624</v>
      </c>
      <c r="G2" s="222">
        <f>ROUND(data!C269,0)</f>
        <v>14141828</v>
      </c>
      <c r="H2" s="222">
        <f>ROUND(data!C270,0)</f>
        <v>0</v>
      </c>
      <c r="I2" s="222">
        <f>ROUND(data!C271,0)</f>
        <v>10320509</v>
      </c>
      <c r="J2" s="222">
        <f>ROUND(data!C272,0)</f>
        <v>0</v>
      </c>
      <c r="K2" s="222">
        <f>ROUND(data!C273,0)</f>
        <v>2645244</v>
      </c>
      <c r="L2" s="222">
        <f>ROUND(data!C274,0)</f>
        <v>517568</v>
      </c>
      <c r="M2" s="222">
        <f>ROUND(data!C275,0)</f>
        <v>0</v>
      </c>
      <c r="N2" s="222">
        <f>ROUND(data!C278,0)</f>
        <v>16999762</v>
      </c>
      <c r="O2" s="222">
        <f>ROUND(data!C279,0)</f>
        <v>0</v>
      </c>
      <c r="P2" s="222">
        <f>ROUND(data!C280,0)</f>
        <v>0</v>
      </c>
      <c r="Q2" s="222">
        <f>ROUND(data!C283,0)</f>
        <v>1813305</v>
      </c>
      <c r="R2" s="222">
        <f>ROUND(data!C284,0)</f>
        <v>2670216</v>
      </c>
      <c r="S2" s="222">
        <f>ROUND(data!C285,0)</f>
        <v>19122003</v>
      </c>
      <c r="T2" s="222">
        <f>ROUND(data!C286,0)</f>
        <v>10013466</v>
      </c>
      <c r="U2" s="222">
        <f>ROUND(data!C287,0)</f>
        <v>524150</v>
      </c>
      <c r="V2" s="222">
        <f>ROUND(data!C288,0)</f>
        <v>18137010</v>
      </c>
      <c r="W2" s="222">
        <f>ROUND(data!C289,0)</f>
        <v>110880</v>
      </c>
      <c r="X2" s="222">
        <f>ROUND(data!C290,0)</f>
        <v>5710016</v>
      </c>
      <c r="Y2" s="222">
        <f>ROUND(data!C291,0)</f>
        <v>0</v>
      </c>
      <c r="Z2" s="222">
        <f>ROUND(data!C292,0)</f>
        <v>25150996</v>
      </c>
      <c r="AA2" s="222">
        <f>ROUND(data!C295,0)</f>
        <v>3165262</v>
      </c>
      <c r="AB2" s="222">
        <f>ROUND(data!C296,0)</f>
        <v>688763</v>
      </c>
      <c r="AC2" s="222">
        <f>ROUND(data!C297,0)</f>
        <v>817922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5656136</v>
      </c>
      <c r="AK2" s="222">
        <f>ROUND(data!C316,0)</f>
        <v>4338718</v>
      </c>
      <c r="AL2" s="222">
        <f>ROUND(data!C317,0)</f>
        <v>259871</v>
      </c>
      <c r="AM2" s="222">
        <f>ROUND(data!C318,0)</f>
        <v>0</v>
      </c>
      <c r="AN2" s="222">
        <f>ROUND(data!C319,0)</f>
        <v>-268000</v>
      </c>
      <c r="AO2" s="222">
        <f>ROUND(data!C320,0)</f>
        <v>0</v>
      </c>
      <c r="AP2" s="222">
        <f>ROUND(data!C321,0)</f>
        <v>0</v>
      </c>
      <c r="AQ2" s="222">
        <f>ROUND(data!C322,0)</f>
        <v>2476499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2222769</v>
      </c>
      <c r="AZ2" s="222">
        <f>ROUND(data!C335,0)</f>
        <v>10537052</v>
      </c>
      <c r="BA2" s="222">
        <f>ROUND(data!C336,0)</f>
        <v>0</v>
      </c>
      <c r="BB2" s="222">
        <f>ROUND(data!C337,0)</f>
        <v>0</v>
      </c>
      <c r="BC2" s="222">
        <f>ROUND(data!C338,0)</f>
        <v>340874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59024749</v>
      </c>
      <c r="BJ2" s="222">
        <f>ROUND(data!C349,0)</f>
        <v>0</v>
      </c>
      <c r="BK2" s="222">
        <f>ROUND(data!CE60,2)</f>
        <v>377.77</v>
      </c>
      <c r="BL2" s="222">
        <f>ROUND(data!C358,0)</f>
        <v>26169718</v>
      </c>
      <c r="BM2" s="222">
        <f>ROUND(data!C359,0)</f>
        <v>143597510</v>
      </c>
      <c r="BN2" s="222">
        <f>ROUND(data!C363,0)</f>
        <v>80459642</v>
      </c>
      <c r="BO2" s="222">
        <f>ROUND(data!C364,0)</f>
        <v>1232779</v>
      </c>
      <c r="BP2" s="222">
        <f>ROUND(data!C365,0)</f>
        <v>680541</v>
      </c>
      <c r="BQ2" s="222">
        <f>ROUND(data!D381,0)</f>
        <v>1797081</v>
      </c>
      <c r="BR2" s="222">
        <f>ROUND(data!C370,0)</f>
        <v>95205</v>
      </c>
      <c r="BS2" s="222">
        <f>ROUND(data!C371,0)</f>
        <v>268345</v>
      </c>
      <c r="BT2" s="222">
        <f>ROUND(data!C372,0)</f>
        <v>375574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345123</v>
      </c>
      <c r="CB2" s="222">
        <f>ROUND(data!C380,0)</f>
        <v>712834</v>
      </c>
      <c r="CC2" s="222">
        <f>ROUND(data!C382,0)</f>
        <v>660000</v>
      </c>
      <c r="CD2" s="222">
        <f>ROUND(data!C389,0)</f>
        <v>36261329</v>
      </c>
      <c r="CE2" s="222">
        <f>ROUND(data!C390,0)</f>
        <v>9509484</v>
      </c>
      <c r="CF2" s="222">
        <f>ROUND(data!C391,0)</f>
        <v>8532069</v>
      </c>
      <c r="CG2" s="222">
        <f>ROUND(data!C392,0)</f>
        <v>14157872</v>
      </c>
      <c r="CH2" s="222">
        <f>ROUND(data!C393,0)</f>
        <v>840990</v>
      </c>
      <c r="CI2" s="222">
        <f>ROUND(data!C394,0)</f>
        <v>4887272</v>
      </c>
      <c r="CJ2" s="222">
        <f>ROUND(data!C395,0)</f>
        <v>3029616</v>
      </c>
      <c r="CK2" s="222">
        <f>ROUND(data!C396,0)</f>
        <v>839400</v>
      </c>
      <c r="CL2" s="222">
        <f>ROUND(data!C397,0)</f>
        <v>414706</v>
      </c>
      <c r="CM2" s="222">
        <f>ROUND(data!C398,0)</f>
        <v>897024</v>
      </c>
      <c r="CN2" s="222">
        <f>ROUND(data!C399,0)</f>
        <v>504504</v>
      </c>
      <c r="CO2" s="222">
        <f>ROUND(data!C362,0)</f>
        <v>1122030</v>
      </c>
      <c r="CP2" s="222">
        <f>ROUND(data!D415,0)</f>
        <v>1978289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1329472</v>
      </c>
      <c r="DB2" s="65">
        <f>ROUND(data!C412,0)</f>
        <v>0</v>
      </c>
      <c r="DC2" s="65">
        <f>ROUND(data!C413,0)</f>
        <v>0</v>
      </c>
      <c r="DD2" s="65">
        <f>ROUND(data!C414,0)</f>
        <v>648817</v>
      </c>
      <c r="DE2" s="65">
        <f>ROUND(data!C419,0)</f>
        <v>0</v>
      </c>
      <c r="DF2" s="222">
        <f>ROUND(data!D420,0)</f>
        <v>-6193150</v>
      </c>
      <c r="DG2" s="222">
        <f>ROUND(data!C422,0)</f>
        <v>8226654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172</v>
      </c>
      <c r="B2" s="224" t="str">
        <f>RIGHT(data!$C$96,4)</f>
        <v>2022</v>
      </c>
      <c r="C2" s="16" t="str">
        <f>data!C$55</f>
        <v>6010</v>
      </c>
      <c r="D2" s="16" t="s">
        <v>1122</v>
      </c>
      <c r="E2" s="222">
        <f>ROUND(data!C59,0)</f>
        <v>799</v>
      </c>
      <c r="F2" s="212">
        <f>ROUND(data!C60,2)</f>
        <v>14.72</v>
      </c>
      <c r="G2" s="222">
        <f>ROUND(data!C61,0)</f>
        <v>1381870</v>
      </c>
      <c r="H2" s="222">
        <f>ROUND(data!C62,0)</f>
        <v>362394</v>
      </c>
      <c r="I2" s="222">
        <f>ROUND(data!C63,0)</f>
        <v>408265</v>
      </c>
      <c r="J2" s="222">
        <f>ROUND(data!C64,0)</f>
        <v>77864</v>
      </c>
      <c r="K2" s="222">
        <f>ROUND(data!C65,0)</f>
        <v>480</v>
      </c>
      <c r="L2" s="222">
        <f>ROUND(data!C66,0)</f>
        <v>24658</v>
      </c>
      <c r="M2" s="66">
        <f>ROUND(data!C67,0)</f>
        <v>97313</v>
      </c>
      <c r="N2" s="222">
        <f>ROUND(data!C68,0)</f>
        <v>12914</v>
      </c>
      <c r="O2" s="222">
        <f>ROUND(data!C69,0)</f>
        <v>3630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3630</v>
      </c>
      <c r="AD2" s="222">
        <f>ROUND(data!C84,0)</f>
        <v>0</v>
      </c>
      <c r="AE2" s="222">
        <f>ROUND(data!C89,0)</f>
        <v>3018509</v>
      </c>
      <c r="AF2" s="222">
        <f>ROUND(data!C87,0)</f>
        <v>1998815</v>
      </c>
      <c r="AG2" s="222">
        <f>IF(data!C90&gt;0,ROUND(data!C90,0),0)</f>
        <v>4094</v>
      </c>
      <c r="AH2" s="222">
        <f>IF(data!C91&gt;0,ROUND(data!C91,0),0)</f>
        <v>3922</v>
      </c>
      <c r="AI2" s="222">
        <f>IF(data!C92&gt;0,ROUND(data!C92,0),0)</f>
        <v>3565</v>
      </c>
      <c r="AJ2" s="222">
        <f>IF(data!C93&gt;0,ROUND(data!C93,0),0)</f>
        <v>19617</v>
      </c>
      <c r="AK2" s="212">
        <f>IF(data!C94&gt;0,ROUND(data!C94,2),0)</f>
        <v>9.67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172</v>
      </c>
      <c r="B3" s="224" t="str">
        <f>RIGHT(data!$C$96,4)</f>
        <v>2022</v>
      </c>
      <c r="C3" s="16" t="str">
        <f>data!D$55</f>
        <v>6030</v>
      </c>
      <c r="D3" s="16" t="s">
        <v>1122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172</v>
      </c>
      <c r="B4" s="224" t="str">
        <f>RIGHT(data!$C$96,4)</f>
        <v>2022</v>
      </c>
      <c r="C4" s="16" t="str">
        <f>data!E$55</f>
        <v>6070</v>
      </c>
      <c r="D4" s="16" t="s">
        <v>1122</v>
      </c>
      <c r="E4" s="222">
        <f>ROUND(data!E59,0)</f>
        <v>2397</v>
      </c>
      <c r="F4" s="212">
        <f>ROUND(data!E60,2)</f>
        <v>27.05</v>
      </c>
      <c r="G4" s="222">
        <f>ROUND(data!E61,0)</f>
        <v>3081251</v>
      </c>
      <c r="H4" s="222">
        <f>ROUND(data!E62,0)</f>
        <v>808054</v>
      </c>
      <c r="I4" s="222">
        <f>ROUND(data!E63,0)</f>
        <v>1516787</v>
      </c>
      <c r="J4" s="222">
        <f>ROUND(data!E64,0)</f>
        <v>115572</v>
      </c>
      <c r="K4" s="222">
        <f>ROUND(data!E65,0)</f>
        <v>342</v>
      </c>
      <c r="L4" s="222">
        <f>ROUND(data!E66,0)</f>
        <v>32239</v>
      </c>
      <c r="M4" s="66">
        <f>ROUND(data!E67,0)</f>
        <v>163108</v>
      </c>
      <c r="N4" s="222">
        <f>ROUND(data!E68,0)</f>
        <v>60907</v>
      </c>
      <c r="O4" s="222">
        <f>ROUND(data!E69,0)</f>
        <v>13488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13488</v>
      </c>
      <c r="AD4" s="222">
        <f>ROUND(data!E84,0)</f>
        <v>253714</v>
      </c>
      <c r="AE4" s="222">
        <f>ROUND(data!E89,0)</f>
        <v>6742896</v>
      </c>
      <c r="AF4" s="222">
        <f>ROUND(data!E87,0)</f>
        <v>3261403</v>
      </c>
      <c r="AG4" s="222">
        <f>IF(data!E90&gt;0,ROUND(data!E90,0),0)</f>
        <v>6862</v>
      </c>
      <c r="AH4" s="222">
        <f>IF(data!E91&gt;0,ROUND(data!E91,0),0)</f>
        <v>6678</v>
      </c>
      <c r="AI4" s="222">
        <f>IF(data!E92&gt;0,ROUND(data!E92,0),0)</f>
        <v>3565</v>
      </c>
      <c r="AJ4" s="222">
        <f>IF(data!E93&gt;0,ROUND(data!E93,0),0)</f>
        <v>58852</v>
      </c>
      <c r="AK4" s="212">
        <f>IF(data!E94&gt;0,ROUND(data!E94,2),0)</f>
        <v>14.09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172</v>
      </c>
      <c r="B5" s="224" t="str">
        <f>RIGHT(data!$C$96,4)</f>
        <v>2022</v>
      </c>
      <c r="C5" s="16" t="str">
        <f>data!F$55</f>
        <v>6100</v>
      </c>
      <c r="D5" s="16" t="s">
        <v>1122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172</v>
      </c>
      <c r="B6" s="224" t="str">
        <f>RIGHT(data!$C$96,4)</f>
        <v>2022</v>
      </c>
      <c r="C6" s="16" t="str">
        <f>data!G$55</f>
        <v>6120</v>
      </c>
      <c r="D6" s="16" t="s">
        <v>1122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172</v>
      </c>
      <c r="B7" s="224" t="str">
        <f>RIGHT(data!$C$96,4)</f>
        <v>2022</v>
      </c>
      <c r="C7" s="16" t="str">
        <f>data!H$55</f>
        <v>6140</v>
      </c>
      <c r="D7" s="16" t="s">
        <v>1122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172</v>
      </c>
      <c r="B8" s="224" t="str">
        <f>RIGHT(data!$C$96,4)</f>
        <v>2022</v>
      </c>
      <c r="C8" s="16" t="str">
        <f>data!I$55</f>
        <v>6150</v>
      </c>
      <c r="D8" s="16" t="s">
        <v>1122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172</v>
      </c>
      <c r="B9" s="224" t="str">
        <f>RIGHT(data!$C$96,4)</f>
        <v>2022</v>
      </c>
      <c r="C9" s="16" t="str">
        <f>data!J$55</f>
        <v>6170</v>
      </c>
      <c r="D9" s="16" t="s">
        <v>1122</v>
      </c>
      <c r="E9" s="222">
        <f>ROUND(data!J59,0)</f>
        <v>653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22887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172</v>
      </c>
      <c r="B10" s="224" t="str">
        <f>RIGHT(data!$C$96,4)</f>
        <v>2022</v>
      </c>
      <c r="C10" s="16" t="str">
        <f>data!K$55</f>
        <v>6200</v>
      </c>
      <c r="D10" s="16" t="s">
        <v>1122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172</v>
      </c>
      <c r="B11" s="224" t="str">
        <f>RIGHT(data!$C$96,4)</f>
        <v>2022</v>
      </c>
      <c r="C11" s="16" t="str">
        <f>data!L$55</f>
        <v>6210</v>
      </c>
      <c r="D11" s="16" t="s">
        <v>1122</v>
      </c>
      <c r="E11" s="222">
        <f>ROUND(data!L59,0)</f>
        <v>17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23803</v>
      </c>
      <c r="AF11" s="222">
        <f>ROUND(data!L87,0)</f>
        <v>23803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172</v>
      </c>
      <c r="B12" s="224" t="str">
        <f>RIGHT(data!$C$96,4)</f>
        <v>2022</v>
      </c>
      <c r="C12" s="16" t="str">
        <f>data!M$55</f>
        <v>6330</v>
      </c>
      <c r="D12" s="16" t="s">
        <v>1122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172</v>
      </c>
      <c r="B13" s="224" t="str">
        <f>RIGHT(data!$C$96,4)</f>
        <v>2022</v>
      </c>
      <c r="C13" s="16" t="str">
        <f>data!N$55</f>
        <v>6400</v>
      </c>
      <c r="D13" s="16" t="s">
        <v>1122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172</v>
      </c>
      <c r="B14" s="224" t="str">
        <f>RIGHT(data!$C$96,4)</f>
        <v>2022</v>
      </c>
      <c r="C14" s="16" t="str">
        <f>data!O$55</f>
        <v>7010</v>
      </c>
      <c r="D14" s="16" t="s">
        <v>1122</v>
      </c>
      <c r="E14" s="222">
        <f>ROUND(data!O59,0)</f>
        <v>359</v>
      </c>
      <c r="F14" s="212">
        <f>ROUND(data!O60,2)</f>
        <v>20.309999999999999</v>
      </c>
      <c r="G14" s="222">
        <f>ROUND(data!O61,0)</f>
        <v>2073749</v>
      </c>
      <c r="H14" s="222">
        <f>ROUND(data!O62,0)</f>
        <v>543838</v>
      </c>
      <c r="I14" s="222">
        <f>ROUND(data!O63,0)</f>
        <v>207993</v>
      </c>
      <c r="J14" s="222">
        <f>ROUND(data!O64,0)</f>
        <v>131940</v>
      </c>
      <c r="K14" s="222">
        <f>ROUND(data!O65,0)</f>
        <v>480</v>
      </c>
      <c r="L14" s="222">
        <f>ROUND(data!O66,0)</f>
        <v>78976</v>
      </c>
      <c r="M14" s="66">
        <f>ROUND(data!O67,0)</f>
        <v>194793</v>
      </c>
      <c r="N14" s="222">
        <f>ROUND(data!O68,0)</f>
        <v>25801</v>
      </c>
      <c r="O14" s="222">
        <f>ROUND(data!O69,0)</f>
        <v>9254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9254</v>
      </c>
      <c r="AD14" s="222">
        <f>ROUND(data!O84,0)</f>
        <v>4395</v>
      </c>
      <c r="AE14" s="222">
        <f>ROUND(data!O89,0)</f>
        <v>3817012</v>
      </c>
      <c r="AF14" s="222">
        <f>ROUND(data!O87,0)</f>
        <v>3214242</v>
      </c>
      <c r="AG14" s="222">
        <f>IF(data!O90&gt;0,ROUND(data!O90,0),0)</f>
        <v>8195</v>
      </c>
      <c r="AH14" s="222">
        <f>IF(data!O91&gt;0,ROUND(data!O91,0),0)</f>
        <v>3367</v>
      </c>
      <c r="AI14" s="222">
        <f>IF(data!O92&gt;0,ROUND(data!O92,0),0)</f>
        <v>3565</v>
      </c>
      <c r="AJ14" s="222">
        <f>IF(data!O93&gt;0,ROUND(data!O93,0),0)</f>
        <v>45774</v>
      </c>
      <c r="AK14" s="212">
        <f>IF(data!O94&gt;0,ROUND(data!O94,2),0)</f>
        <v>14.24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172</v>
      </c>
      <c r="B15" s="224" t="str">
        <f>RIGHT(data!$C$96,4)</f>
        <v>2022</v>
      </c>
      <c r="C15" s="16" t="str">
        <f>data!P$55</f>
        <v>7020</v>
      </c>
      <c r="D15" s="16" t="s">
        <v>1122</v>
      </c>
      <c r="E15" s="222">
        <f>ROUND(data!P59,0)</f>
        <v>255187</v>
      </c>
      <c r="F15" s="212">
        <f>ROUND(data!P60,2)</f>
        <v>53.27</v>
      </c>
      <c r="G15" s="222">
        <f>ROUND(data!P61,0)</f>
        <v>4887213</v>
      </c>
      <c r="H15" s="222">
        <f>ROUND(data!P62,0)</f>
        <v>1281665</v>
      </c>
      <c r="I15" s="222">
        <f>ROUND(data!P63,0)</f>
        <v>181233</v>
      </c>
      <c r="J15" s="222">
        <f>ROUND(data!P64,0)</f>
        <v>1777752</v>
      </c>
      <c r="K15" s="222">
        <f>ROUND(data!P65,0)</f>
        <v>1440</v>
      </c>
      <c r="L15" s="222">
        <f>ROUND(data!P66,0)</f>
        <v>437399</v>
      </c>
      <c r="M15" s="66">
        <f>ROUND(data!P67,0)</f>
        <v>376179</v>
      </c>
      <c r="N15" s="222">
        <f>ROUND(data!P68,0)</f>
        <v>72871</v>
      </c>
      <c r="O15" s="222">
        <f>ROUND(data!P69,0)</f>
        <v>22818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22818</v>
      </c>
      <c r="AD15" s="222">
        <f>ROUND(data!P84,0)</f>
        <v>10080</v>
      </c>
      <c r="AE15" s="222">
        <f>ROUND(data!P89,0)</f>
        <v>24764438</v>
      </c>
      <c r="AF15" s="222">
        <f>ROUND(data!P87,0)</f>
        <v>3189403</v>
      </c>
      <c r="AG15" s="222">
        <f>IF(data!P90&gt;0,ROUND(data!P90,0),0)</f>
        <v>15826</v>
      </c>
      <c r="AH15" s="222">
        <f>IF(data!P91&gt;0,ROUND(data!P91,0),0)</f>
        <v>2274</v>
      </c>
      <c r="AI15" s="222">
        <f>IF(data!P92&gt;0,ROUND(data!P92,0),0)</f>
        <v>2971</v>
      </c>
      <c r="AJ15" s="222">
        <f>IF(data!P93&gt;0,ROUND(data!P93,0),0)</f>
        <v>58852</v>
      </c>
      <c r="AK15" s="212">
        <f>IF(data!P94&gt;0,ROUND(data!P94,2),0)</f>
        <v>30.57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172</v>
      </c>
      <c r="B16" s="224" t="str">
        <f>RIGHT(data!$C$96,4)</f>
        <v>2022</v>
      </c>
      <c r="C16" s="16" t="str">
        <f>data!Q$55</f>
        <v>7030</v>
      </c>
      <c r="D16" s="16" t="s">
        <v>1122</v>
      </c>
      <c r="E16" s="222">
        <f>ROUND(data!Q59,0)</f>
        <v>109962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28541</v>
      </c>
      <c r="K16" s="222">
        <f>ROUND(data!Q65,0)</f>
        <v>0</v>
      </c>
      <c r="L16" s="222">
        <f>ROUND(data!Q66,0)</f>
        <v>1367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1850667</v>
      </c>
      <c r="AF16" s="222">
        <f>ROUND(data!Q87,0)</f>
        <v>315208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172</v>
      </c>
      <c r="B17" s="224" t="str">
        <f>RIGHT(data!$C$96,4)</f>
        <v>2022</v>
      </c>
      <c r="C17" s="16" t="str">
        <f>data!R$55</f>
        <v>7040</v>
      </c>
      <c r="D17" s="16" t="s">
        <v>1122</v>
      </c>
      <c r="E17" s="222">
        <f>ROUND(data!R59,0)</f>
        <v>194100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1976211</v>
      </c>
      <c r="J17" s="222">
        <f>ROUND(data!R64,0)</f>
        <v>127798</v>
      </c>
      <c r="K17" s="222">
        <f>ROUND(data!R65,0)</f>
        <v>0</v>
      </c>
      <c r="L17" s="222">
        <f>ROUND(data!R66,0)</f>
        <v>1072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8179473</v>
      </c>
      <c r="AF17" s="222">
        <f>ROUND(data!R87,0)</f>
        <v>1711578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172</v>
      </c>
      <c r="B18" s="224" t="str">
        <f>RIGHT(data!$C$96,4)</f>
        <v>2022</v>
      </c>
      <c r="C18" s="16" t="str">
        <f>data!S$55</f>
        <v>7050</v>
      </c>
      <c r="D18" s="16" t="s">
        <v>1122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5371485</v>
      </c>
      <c r="K18" s="222">
        <f>ROUND(data!S65,0)</f>
        <v>0</v>
      </c>
      <c r="L18" s="222">
        <f>ROUND(data!S66,0)</f>
        <v>0</v>
      </c>
      <c r="M18" s="66">
        <f>ROUND(data!S67,0)</f>
        <v>32422</v>
      </c>
      <c r="N18" s="222">
        <f>ROUND(data!S68,0)</f>
        <v>74856</v>
      </c>
      <c r="O18" s="222">
        <f>ROUND(data!S69,0)</f>
        <v>218769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61256</v>
      </c>
      <c r="AB18" s="222">
        <f>ROUND(data!S82,0)</f>
        <v>0</v>
      </c>
      <c r="AC18" s="222">
        <f>ROUND(data!S83,0)</f>
        <v>157513</v>
      </c>
      <c r="AD18" s="222">
        <f>ROUND(data!S84,0)</f>
        <v>19661</v>
      </c>
      <c r="AE18" s="222">
        <f>ROUND(data!S89,0)</f>
        <v>20682566</v>
      </c>
      <c r="AF18" s="222">
        <f>ROUND(data!S87,0)</f>
        <v>4756054</v>
      </c>
      <c r="AG18" s="222">
        <f>IF(data!S90&gt;0,ROUND(data!S90,0),0)</f>
        <v>1364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172</v>
      </c>
      <c r="B19" s="224" t="str">
        <f>RIGHT(data!$C$96,4)</f>
        <v>2022</v>
      </c>
      <c r="C19" s="16" t="str">
        <f>data!T$55</f>
        <v>7060</v>
      </c>
      <c r="D19" s="16" t="s">
        <v>1122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172</v>
      </c>
      <c r="B20" s="224" t="str">
        <f>RIGHT(data!$C$96,4)</f>
        <v>2022</v>
      </c>
      <c r="C20" s="16" t="str">
        <f>data!U$55</f>
        <v>7070</v>
      </c>
      <c r="D20" s="16" t="s">
        <v>1122</v>
      </c>
      <c r="E20" s="222">
        <f>ROUND(data!U59,0)</f>
        <v>126674</v>
      </c>
      <c r="F20" s="212">
        <f>ROUND(data!U60,2)</f>
        <v>17.489999999999998</v>
      </c>
      <c r="G20" s="222">
        <f>ROUND(data!U61,0)</f>
        <v>1203889</v>
      </c>
      <c r="H20" s="222">
        <f>ROUND(data!U62,0)</f>
        <v>315718</v>
      </c>
      <c r="I20" s="222">
        <f>ROUND(data!U63,0)</f>
        <v>733713</v>
      </c>
      <c r="J20" s="222">
        <f>ROUND(data!U64,0)</f>
        <v>1070953</v>
      </c>
      <c r="K20" s="222">
        <f>ROUND(data!U65,0)</f>
        <v>960</v>
      </c>
      <c r="L20" s="222">
        <f>ROUND(data!U66,0)</f>
        <v>216434</v>
      </c>
      <c r="M20" s="66">
        <f>ROUND(data!U67,0)</f>
        <v>48799</v>
      </c>
      <c r="N20" s="222">
        <f>ROUND(data!U68,0)</f>
        <v>4555</v>
      </c>
      <c r="O20" s="222">
        <f>ROUND(data!U69,0)</f>
        <v>13944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13944</v>
      </c>
      <c r="AD20" s="222">
        <f>ROUND(data!U84,0)</f>
        <v>0</v>
      </c>
      <c r="AE20" s="222">
        <f>ROUND(data!U89,0)</f>
        <v>13839597</v>
      </c>
      <c r="AF20" s="222">
        <f>ROUND(data!U87,0)</f>
        <v>1806902</v>
      </c>
      <c r="AG20" s="222">
        <f>IF(data!U90&gt;0,ROUND(data!U90,0),0)</f>
        <v>2053</v>
      </c>
      <c r="AH20" s="222">
        <f>IF(data!U91&gt;0,ROUND(data!U91,0),0)</f>
        <v>0</v>
      </c>
      <c r="AI20" s="222">
        <f>IF(data!U92&gt;0,ROUND(data!U92,0),0)</f>
        <v>1188</v>
      </c>
      <c r="AJ20" s="222">
        <f>IF(data!U93&gt;0,ROUND(data!U93,0),0)</f>
        <v>9809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172</v>
      </c>
      <c r="B21" s="224" t="str">
        <f>RIGHT(data!$C$96,4)</f>
        <v>2022</v>
      </c>
      <c r="C21" s="16" t="str">
        <f>data!V$55</f>
        <v>7110</v>
      </c>
      <c r="D21" s="16" t="s">
        <v>1122</v>
      </c>
      <c r="E21" s="222">
        <f>ROUND(data!V59,0)</f>
        <v>4356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26105</v>
      </c>
      <c r="M21" s="66">
        <f>ROUND(data!V67,0)</f>
        <v>9270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730214</v>
      </c>
      <c r="AF21" s="222">
        <f>ROUND(data!V87,0)</f>
        <v>44152</v>
      </c>
      <c r="AG21" s="222">
        <f>IF(data!V90&gt;0,ROUND(data!V90,0),0)</f>
        <v>390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172</v>
      </c>
      <c r="B22" s="224" t="str">
        <f>RIGHT(data!$C$96,4)</f>
        <v>2022</v>
      </c>
      <c r="C22" s="16" t="str">
        <f>data!W$55</f>
        <v>7120</v>
      </c>
      <c r="D22" s="16" t="s">
        <v>1122</v>
      </c>
      <c r="E22" s="222">
        <f>ROUND(data!W59,0)</f>
        <v>2921</v>
      </c>
      <c r="F22" s="212">
        <f>ROUND(data!W60,2)</f>
        <v>3.35</v>
      </c>
      <c r="G22" s="222">
        <f>ROUND(data!W61,0)</f>
        <v>321680</v>
      </c>
      <c r="H22" s="222">
        <f>ROUND(data!W62,0)</f>
        <v>84360</v>
      </c>
      <c r="I22" s="222">
        <f>ROUND(data!W63,0)</f>
        <v>71343</v>
      </c>
      <c r="J22" s="222">
        <f>ROUND(data!W64,0)</f>
        <v>17795</v>
      </c>
      <c r="K22" s="222">
        <f>ROUND(data!W65,0)</f>
        <v>0</v>
      </c>
      <c r="L22" s="222">
        <f>ROUND(data!W66,0)</f>
        <v>168601</v>
      </c>
      <c r="M22" s="66">
        <f>ROUND(data!W67,0)</f>
        <v>15070</v>
      </c>
      <c r="N22" s="222">
        <f>ROUND(data!W68,0)</f>
        <v>0</v>
      </c>
      <c r="O22" s="222">
        <f>ROUND(data!W69,0)</f>
        <v>110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110</v>
      </c>
      <c r="AD22" s="222">
        <f>ROUND(data!W84,0)</f>
        <v>0</v>
      </c>
      <c r="AE22" s="222">
        <f>ROUND(data!W89,0)</f>
        <v>8114463</v>
      </c>
      <c r="AF22" s="222">
        <f>ROUND(data!W87,0)</f>
        <v>67070</v>
      </c>
      <c r="AG22" s="222">
        <f>IF(data!W90&gt;0,ROUND(data!W90,0),0)</f>
        <v>634</v>
      </c>
      <c r="AH22" s="222">
        <f>IF(data!W91&gt;0,ROUND(data!W91,0),0)</f>
        <v>0</v>
      </c>
      <c r="AI22" s="222">
        <f>IF(data!W92&gt;0,ROUND(data!W92,0),0)</f>
        <v>149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172</v>
      </c>
      <c r="B23" s="224" t="str">
        <f>RIGHT(data!$C$96,4)</f>
        <v>2022</v>
      </c>
      <c r="C23" s="16" t="str">
        <f>data!X$55</f>
        <v>7130</v>
      </c>
      <c r="D23" s="16" t="s">
        <v>1122</v>
      </c>
      <c r="E23" s="222">
        <f>ROUND(data!X59,0)</f>
        <v>6130</v>
      </c>
      <c r="F23" s="212">
        <f>ROUND(data!X60,2)</f>
        <v>0.91</v>
      </c>
      <c r="G23" s="222">
        <f>ROUND(data!X61,0)</f>
        <v>105184</v>
      </c>
      <c r="H23" s="222">
        <f>ROUND(data!X62,0)</f>
        <v>27584</v>
      </c>
      <c r="I23" s="222">
        <f>ROUND(data!X63,0)</f>
        <v>0</v>
      </c>
      <c r="J23" s="222">
        <f>ROUND(data!X64,0)</f>
        <v>18846</v>
      </c>
      <c r="K23" s="222">
        <f>ROUND(data!X65,0)</f>
        <v>0</v>
      </c>
      <c r="L23" s="222">
        <f>ROUND(data!X66,0)</f>
        <v>171249</v>
      </c>
      <c r="M23" s="66">
        <f>ROUND(data!X67,0)</f>
        <v>12408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12737071</v>
      </c>
      <c r="AF23" s="222">
        <f>ROUND(data!X87,0)</f>
        <v>252126</v>
      </c>
      <c r="AG23" s="222">
        <f>IF(data!X90&gt;0,ROUND(data!X90,0),0)</f>
        <v>522</v>
      </c>
      <c r="AH23" s="222">
        <f>IF(data!X91&gt;0,ROUND(data!X91,0),0)</f>
        <v>0</v>
      </c>
      <c r="AI23" s="222">
        <f>IF(data!X92&gt;0,ROUND(data!X92,0),0)</f>
        <v>149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172</v>
      </c>
      <c r="B24" s="224" t="str">
        <f>RIGHT(data!$C$96,4)</f>
        <v>2022</v>
      </c>
      <c r="C24" s="16" t="str">
        <f>data!Y$55</f>
        <v>7140</v>
      </c>
      <c r="D24" s="16" t="s">
        <v>1122</v>
      </c>
      <c r="E24" s="222">
        <f>ROUND(data!Y59,0)</f>
        <v>25513</v>
      </c>
      <c r="F24" s="212">
        <f>ROUND(data!Y60,2)</f>
        <v>22.09</v>
      </c>
      <c r="G24" s="222">
        <f>ROUND(data!Y61,0)</f>
        <v>1724839</v>
      </c>
      <c r="H24" s="222">
        <f>ROUND(data!Y62,0)</f>
        <v>452337</v>
      </c>
      <c r="I24" s="222">
        <f>ROUND(data!Y63,0)</f>
        <v>664434</v>
      </c>
      <c r="J24" s="222">
        <f>ROUND(data!Y64,0)</f>
        <v>137664</v>
      </c>
      <c r="K24" s="222">
        <f>ROUND(data!Y65,0)</f>
        <v>1200</v>
      </c>
      <c r="L24" s="222">
        <f>ROUND(data!Y66,0)</f>
        <v>359572</v>
      </c>
      <c r="M24" s="66">
        <f>ROUND(data!Y67,0)</f>
        <v>117280</v>
      </c>
      <c r="N24" s="222">
        <f>ROUND(data!Y68,0)</f>
        <v>30490</v>
      </c>
      <c r="O24" s="222">
        <f>ROUND(data!Y69,0)</f>
        <v>11873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11873</v>
      </c>
      <c r="AD24" s="222">
        <f>ROUND(data!Y84,0)</f>
        <v>7721</v>
      </c>
      <c r="AE24" s="222">
        <f>ROUND(data!Y89,0)</f>
        <v>13367433</v>
      </c>
      <c r="AF24" s="222">
        <f>ROUND(data!Y87,0)</f>
        <v>626984</v>
      </c>
      <c r="AG24" s="222">
        <f>IF(data!Y90&gt;0,ROUND(data!Y90,0),0)</f>
        <v>4934</v>
      </c>
      <c r="AH24" s="222">
        <f>IF(data!Y91&gt;0,ROUND(data!Y91,0),0)</f>
        <v>0</v>
      </c>
      <c r="AI24" s="222">
        <f>IF(data!Y92&gt;0,ROUND(data!Y92,0),0)</f>
        <v>2971</v>
      </c>
      <c r="AJ24" s="222">
        <f>IF(data!Y93&gt;0,ROUND(data!Y93,0),0)</f>
        <v>13078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172</v>
      </c>
      <c r="B25" s="224" t="str">
        <f>RIGHT(data!$C$96,4)</f>
        <v>2022</v>
      </c>
      <c r="C25" s="16" t="str">
        <f>data!Z$55</f>
        <v>7150</v>
      </c>
      <c r="D25" s="16" t="s">
        <v>1122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172</v>
      </c>
      <c r="B26" s="224" t="str">
        <f>RIGHT(data!$C$96,4)</f>
        <v>2022</v>
      </c>
      <c r="C26" s="16" t="str">
        <f>data!AA$55</f>
        <v>7160</v>
      </c>
      <c r="D26" s="16" t="s">
        <v>1122</v>
      </c>
      <c r="E26" s="222">
        <f>ROUND(data!AA59,0)</f>
        <v>1306</v>
      </c>
      <c r="F26" s="212">
        <f>ROUND(data!AA60,2)</f>
        <v>2.06</v>
      </c>
      <c r="G26" s="222">
        <f>ROUND(data!AA61,0)</f>
        <v>250975</v>
      </c>
      <c r="H26" s="222">
        <f>ROUND(data!AA62,0)</f>
        <v>65818</v>
      </c>
      <c r="I26" s="222">
        <f>ROUND(data!AA63,0)</f>
        <v>284710</v>
      </c>
      <c r="J26" s="222">
        <f>ROUND(data!AA64,0)</f>
        <v>192847</v>
      </c>
      <c r="K26" s="222">
        <f>ROUND(data!AA65,0)</f>
        <v>0</v>
      </c>
      <c r="L26" s="222">
        <f>ROUND(data!AA66,0)</f>
        <v>133108</v>
      </c>
      <c r="M26" s="66">
        <f>ROUND(data!AA67,0)</f>
        <v>8177</v>
      </c>
      <c r="N26" s="222">
        <f>ROUND(data!AA68,0)</f>
        <v>0</v>
      </c>
      <c r="O26" s="222">
        <f>ROUND(data!AA69,0)</f>
        <v>4563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4563</v>
      </c>
      <c r="AD26" s="222">
        <f>ROUND(data!AA84,0)</f>
        <v>0</v>
      </c>
      <c r="AE26" s="222">
        <f>ROUND(data!AA89,0)</f>
        <v>3925935</v>
      </c>
      <c r="AF26" s="222">
        <f>ROUND(data!AA87,0)</f>
        <v>80238</v>
      </c>
      <c r="AG26" s="222">
        <f>IF(data!AA90&gt;0,ROUND(data!AA90,0),0)</f>
        <v>344</v>
      </c>
      <c r="AH26" s="222">
        <f>IF(data!AA91&gt;0,ROUND(data!AA91,0),0)</f>
        <v>0</v>
      </c>
      <c r="AI26" s="222">
        <f>IF(data!AA92&gt;0,ROUND(data!AA92,0),0)</f>
        <v>148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172</v>
      </c>
      <c r="B27" s="224" t="str">
        <f>RIGHT(data!$C$96,4)</f>
        <v>2022</v>
      </c>
      <c r="C27" s="16" t="str">
        <f>data!AB$55</f>
        <v>7170</v>
      </c>
      <c r="D27" s="16" t="s">
        <v>1122</v>
      </c>
      <c r="E27" s="222"/>
      <c r="F27" s="212">
        <f>ROUND(data!AB60,2)</f>
        <v>6.22</v>
      </c>
      <c r="G27" s="222">
        <f>ROUND(data!AB61,0)</f>
        <v>787376</v>
      </c>
      <c r="H27" s="222">
        <f>ROUND(data!AB62,0)</f>
        <v>206488</v>
      </c>
      <c r="I27" s="222">
        <f>ROUND(data!AB63,0)</f>
        <v>55446</v>
      </c>
      <c r="J27" s="222">
        <f>ROUND(data!AB64,0)</f>
        <v>3782870</v>
      </c>
      <c r="K27" s="222">
        <f>ROUND(data!AB65,0)</f>
        <v>42534</v>
      </c>
      <c r="L27" s="222">
        <f>ROUND(data!AB66,0)</f>
        <v>28137</v>
      </c>
      <c r="M27" s="66">
        <f>ROUND(data!AB67,0)</f>
        <v>23294</v>
      </c>
      <c r="N27" s="222">
        <f>ROUND(data!AB68,0)</f>
        <v>141265</v>
      </c>
      <c r="O27" s="222">
        <f>ROUND(data!AB69,0)</f>
        <v>4895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4895</v>
      </c>
      <c r="AD27" s="222">
        <f>ROUND(data!AB84,0)</f>
        <v>6752</v>
      </c>
      <c r="AE27" s="222">
        <f>ROUND(data!AB89,0)</f>
        <v>19021201</v>
      </c>
      <c r="AF27" s="222">
        <f>ROUND(data!AB87,0)</f>
        <v>3003981</v>
      </c>
      <c r="AG27" s="222">
        <f>IF(data!AB90&gt;0,ROUND(data!AB90,0),0)</f>
        <v>980</v>
      </c>
      <c r="AH27" s="222">
        <f>IF(data!AB91&gt;0,ROUND(data!AB91,0),0)</f>
        <v>0</v>
      </c>
      <c r="AI27" s="222">
        <f>IF(data!AB92&gt;0,ROUND(data!AB92,0),0)</f>
        <v>297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172</v>
      </c>
      <c r="B28" s="224" t="str">
        <f>RIGHT(data!$C$96,4)</f>
        <v>2022</v>
      </c>
      <c r="C28" s="16" t="str">
        <f>data!AC$55</f>
        <v>7180</v>
      </c>
      <c r="D28" s="16" t="s">
        <v>1122</v>
      </c>
      <c r="E28" s="222">
        <f>ROUND(data!AC59,0)</f>
        <v>10271</v>
      </c>
      <c r="F28" s="212">
        <f>ROUND(data!AC60,2)</f>
        <v>10.49</v>
      </c>
      <c r="G28" s="222">
        <f>ROUND(data!AC61,0)</f>
        <v>929103</v>
      </c>
      <c r="H28" s="222">
        <f>ROUND(data!AC62,0)</f>
        <v>243656</v>
      </c>
      <c r="I28" s="222">
        <f>ROUND(data!AC63,0)</f>
        <v>20086</v>
      </c>
      <c r="J28" s="222">
        <f>ROUND(data!AC64,0)</f>
        <v>49919</v>
      </c>
      <c r="K28" s="222">
        <f>ROUND(data!AC65,0)</f>
        <v>480</v>
      </c>
      <c r="L28" s="222">
        <f>ROUND(data!AC66,0)</f>
        <v>16249</v>
      </c>
      <c r="M28" s="66">
        <f>ROUND(data!AC67,0)</f>
        <v>30924</v>
      </c>
      <c r="N28" s="222">
        <f>ROUND(data!AC68,0)</f>
        <v>1639</v>
      </c>
      <c r="O28" s="222">
        <f>ROUND(data!AC69,0)</f>
        <v>2018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2018</v>
      </c>
      <c r="AD28" s="222">
        <f>ROUND(data!AC84,0)</f>
        <v>0</v>
      </c>
      <c r="AE28" s="222">
        <f>ROUND(data!AC89,0)</f>
        <v>3615606</v>
      </c>
      <c r="AF28" s="222">
        <f>ROUND(data!AC87,0)</f>
        <v>1180134</v>
      </c>
      <c r="AG28" s="222">
        <f>IF(data!AC90&gt;0,ROUND(data!AC90,0),0)</f>
        <v>1301</v>
      </c>
      <c r="AH28" s="222">
        <f>IF(data!AC91&gt;0,ROUND(data!AC91,0),0)</f>
        <v>0</v>
      </c>
      <c r="AI28" s="222">
        <f>IF(data!AC92&gt;0,ROUND(data!AC92,0),0)</f>
        <v>742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172</v>
      </c>
      <c r="B29" s="224" t="str">
        <f>RIGHT(data!$C$96,4)</f>
        <v>2022</v>
      </c>
      <c r="C29" s="16" t="str">
        <f>data!AD$55</f>
        <v>7190</v>
      </c>
      <c r="D29" s="16" t="s">
        <v>1122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172</v>
      </c>
      <c r="B30" s="224" t="str">
        <f>RIGHT(data!$C$96,4)</f>
        <v>2022</v>
      </c>
      <c r="C30" s="16" t="str">
        <f>data!AE$55</f>
        <v>7200</v>
      </c>
      <c r="D30" s="16" t="s">
        <v>1122</v>
      </c>
      <c r="E30" s="222">
        <f>ROUND(data!AE59,0)</f>
        <v>37279</v>
      </c>
      <c r="F30" s="212">
        <f>ROUND(data!AE60,2)</f>
        <v>43.82</v>
      </c>
      <c r="G30" s="222">
        <f>ROUND(data!AE61,0)</f>
        <v>3509499</v>
      </c>
      <c r="H30" s="222">
        <f>ROUND(data!AE62,0)</f>
        <v>920361</v>
      </c>
      <c r="I30" s="222">
        <f>ROUND(data!AE63,0)</f>
        <v>26196</v>
      </c>
      <c r="J30" s="222">
        <f>ROUND(data!AE64,0)</f>
        <v>99824</v>
      </c>
      <c r="K30" s="222">
        <f>ROUND(data!AE65,0)</f>
        <v>35579</v>
      </c>
      <c r="L30" s="222">
        <f>ROUND(data!AE66,0)</f>
        <v>72181</v>
      </c>
      <c r="M30" s="66">
        <f>ROUND(data!AE67,0)</f>
        <v>332966</v>
      </c>
      <c r="N30" s="222">
        <f>ROUND(data!AE68,0)</f>
        <v>53250</v>
      </c>
      <c r="O30" s="222">
        <f>ROUND(data!AE69,0)</f>
        <v>52612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52612</v>
      </c>
      <c r="AD30" s="222">
        <f>ROUND(data!AE84,0)</f>
        <v>59535</v>
      </c>
      <c r="AE30" s="222">
        <f>ROUND(data!AE89,0)</f>
        <v>6263933</v>
      </c>
      <c r="AF30" s="222">
        <f>ROUND(data!AE87,0)</f>
        <v>381359</v>
      </c>
      <c r="AG30" s="222">
        <f>IF(data!AE90&gt;0,ROUND(data!AE90,0),0)</f>
        <v>14008</v>
      </c>
      <c r="AH30" s="222">
        <f>IF(data!AE91&gt;0,ROUND(data!AE91,0),0)</f>
        <v>0</v>
      </c>
      <c r="AI30" s="222">
        <f>IF(data!AE92&gt;0,ROUND(data!AE92,0),0)</f>
        <v>2080</v>
      </c>
      <c r="AJ30" s="222">
        <f>IF(data!AE93&gt;0,ROUND(data!AE93,0),0)</f>
        <v>38393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172</v>
      </c>
      <c r="B31" s="224" t="str">
        <f>RIGHT(data!$C$96,4)</f>
        <v>2022</v>
      </c>
      <c r="C31" s="16" t="str">
        <f>data!AF$55</f>
        <v>7220</v>
      </c>
      <c r="D31" s="16" t="s">
        <v>1122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172</v>
      </c>
      <c r="B32" s="224" t="str">
        <f>RIGHT(data!$C$96,4)</f>
        <v>2022</v>
      </c>
      <c r="C32" s="16" t="str">
        <f>data!AG$55</f>
        <v>7230</v>
      </c>
      <c r="D32" s="16" t="s">
        <v>1122</v>
      </c>
      <c r="E32" s="222">
        <f>ROUND(data!AG59,0)</f>
        <v>14577</v>
      </c>
      <c r="F32" s="212">
        <f>ROUND(data!AG60,2)</f>
        <v>32.74</v>
      </c>
      <c r="G32" s="222">
        <f>ROUND(data!AG61,0)</f>
        <v>5862836</v>
      </c>
      <c r="H32" s="222">
        <f>ROUND(data!AG62,0)</f>
        <v>1537521</v>
      </c>
      <c r="I32" s="222">
        <f>ROUND(data!AG63,0)</f>
        <v>110463</v>
      </c>
      <c r="J32" s="222">
        <f>ROUND(data!AG64,0)</f>
        <v>224717</v>
      </c>
      <c r="K32" s="222">
        <f>ROUND(data!AG65,0)</f>
        <v>1710</v>
      </c>
      <c r="L32" s="222">
        <f>ROUND(data!AG66,0)</f>
        <v>60415</v>
      </c>
      <c r="M32" s="66">
        <f>ROUND(data!AG67,0)</f>
        <v>142167</v>
      </c>
      <c r="N32" s="222">
        <f>ROUND(data!AG68,0)</f>
        <v>27219</v>
      </c>
      <c r="O32" s="222">
        <f>ROUND(data!AG69,0)</f>
        <v>49977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49977</v>
      </c>
      <c r="AD32" s="222">
        <f>ROUND(data!AG84,0)</f>
        <v>0</v>
      </c>
      <c r="AE32" s="222">
        <f>ROUND(data!AG89,0)</f>
        <v>18906236</v>
      </c>
      <c r="AF32" s="222">
        <f>ROUND(data!AG87,0)</f>
        <v>256266</v>
      </c>
      <c r="AG32" s="222">
        <f>IF(data!AG90&gt;0,ROUND(data!AG90,0),0)</f>
        <v>5981</v>
      </c>
      <c r="AH32" s="222">
        <f>IF(data!AG91&gt;0,ROUND(data!AG91,0),0)</f>
        <v>1774</v>
      </c>
      <c r="AI32" s="222">
        <f>IF(data!AG92&gt;0,ROUND(data!AG92,0),0)</f>
        <v>2377</v>
      </c>
      <c r="AJ32" s="222">
        <f>IF(data!AG93&gt;0,ROUND(data!AG93,0),0)</f>
        <v>58852</v>
      </c>
      <c r="AK32" s="212">
        <f>IF(data!AG94&gt;0,ROUND(data!AG94,2),0)</f>
        <v>15.2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172</v>
      </c>
      <c r="B33" s="224" t="str">
        <f>RIGHT(data!$C$96,4)</f>
        <v>2022</v>
      </c>
      <c r="C33" s="16" t="str">
        <f>data!AH$55</f>
        <v>7240</v>
      </c>
      <c r="D33" s="16" t="s">
        <v>1122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123435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172</v>
      </c>
      <c r="B34" s="224" t="str">
        <f>RIGHT(data!$C$96,4)</f>
        <v>2022</v>
      </c>
      <c r="C34" s="16" t="str">
        <f>data!AI$55</f>
        <v>7250</v>
      </c>
      <c r="D34" s="16" t="s">
        <v>1122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172</v>
      </c>
      <c r="B35" s="224" t="str">
        <f>RIGHT(data!$C$96,4)</f>
        <v>2022</v>
      </c>
      <c r="C35" s="16" t="str">
        <f>data!AJ$55</f>
        <v>7260</v>
      </c>
      <c r="D35" s="16" t="s">
        <v>1122</v>
      </c>
      <c r="E35" s="222">
        <f>ROUND(data!AJ59,0)</f>
        <v>397</v>
      </c>
      <c r="F35" s="212">
        <f>ROUND(data!AJ60,2)</f>
        <v>1.26</v>
      </c>
      <c r="G35" s="222">
        <f>ROUND(data!AJ61,0)</f>
        <v>105163</v>
      </c>
      <c r="H35" s="222">
        <f>ROUND(data!AJ62,0)</f>
        <v>27579</v>
      </c>
      <c r="I35" s="222">
        <f>ROUND(data!AJ63,0)</f>
        <v>0</v>
      </c>
      <c r="J35" s="222">
        <f>ROUND(data!AJ64,0)</f>
        <v>36897</v>
      </c>
      <c r="K35" s="222">
        <f>ROUND(data!AJ65,0)</f>
        <v>79</v>
      </c>
      <c r="L35" s="222">
        <f>ROUND(data!AJ66,0)</f>
        <v>11922</v>
      </c>
      <c r="M35" s="66">
        <f>ROUND(data!AJ67,0)</f>
        <v>0</v>
      </c>
      <c r="N35" s="222">
        <f>ROUND(data!AJ68,0)</f>
        <v>1340</v>
      </c>
      <c r="O35" s="222">
        <f>ROUND(data!AJ69,0)</f>
        <v>725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725</v>
      </c>
      <c r="AD35" s="222">
        <f>ROUND(data!AJ84,0)</f>
        <v>81185</v>
      </c>
      <c r="AE35" s="222">
        <f>ROUND(data!AJ89,0)</f>
        <v>166175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149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172</v>
      </c>
      <c r="B36" s="224" t="str">
        <f>RIGHT(data!$C$96,4)</f>
        <v>2022</v>
      </c>
      <c r="C36" s="16" t="str">
        <f>data!AK$55</f>
        <v>7310</v>
      </c>
      <c r="D36" s="16" t="s">
        <v>1122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172</v>
      </c>
      <c r="B37" s="224" t="str">
        <f>RIGHT(data!$C$96,4)</f>
        <v>2022</v>
      </c>
      <c r="C37" s="16" t="str">
        <f>data!AL$55</f>
        <v>7320</v>
      </c>
      <c r="D37" s="16" t="s">
        <v>1122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172</v>
      </c>
      <c r="B38" s="224" t="str">
        <f>RIGHT(data!$C$96,4)</f>
        <v>2022</v>
      </c>
      <c r="C38" s="16" t="str">
        <f>data!AM$55</f>
        <v>7330</v>
      </c>
      <c r="D38" s="16" t="s">
        <v>1122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172</v>
      </c>
      <c r="B39" s="224" t="str">
        <f>RIGHT(data!$C$96,4)</f>
        <v>2022</v>
      </c>
      <c r="C39" s="16" t="str">
        <f>data!AN$55</f>
        <v>7340</v>
      </c>
      <c r="D39" s="16" t="s">
        <v>1122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172</v>
      </c>
      <c r="B40" s="224" t="str">
        <f>RIGHT(data!$C$96,4)</f>
        <v>2022</v>
      </c>
      <c r="C40" s="16" t="str">
        <f>data!AO$55</f>
        <v>7350</v>
      </c>
      <c r="D40" s="16" t="s">
        <v>1122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172</v>
      </c>
      <c r="B41" s="224" t="str">
        <f>RIGHT(data!$C$96,4)</f>
        <v>2022</v>
      </c>
      <c r="C41" s="16" t="str">
        <f>data!AP$55</f>
        <v>7380</v>
      </c>
      <c r="D41" s="16" t="s">
        <v>1122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62514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2630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172</v>
      </c>
      <c r="B42" s="224" t="str">
        <f>RIGHT(data!$C$96,4)</f>
        <v>2022</v>
      </c>
      <c r="C42" s="16" t="str">
        <f>data!AQ$55</f>
        <v>7390</v>
      </c>
      <c r="D42" s="16" t="s">
        <v>1122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172</v>
      </c>
      <c r="B43" s="224" t="str">
        <f>RIGHT(data!$C$96,4)</f>
        <v>2022</v>
      </c>
      <c r="C43" s="16" t="str">
        <f>data!AR$55</f>
        <v>7400</v>
      </c>
      <c r="D43" s="16" t="s">
        <v>1122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172</v>
      </c>
      <c r="B44" s="224" t="str">
        <f>RIGHT(data!$C$96,4)</f>
        <v>2022</v>
      </c>
      <c r="C44" s="16" t="str">
        <f>data!AS$55</f>
        <v>7410</v>
      </c>
      <c r="D44" s="16" t="s">
        <v>1122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172</v>
      </c>
      <c r="B45" s="224" t="str">
        <f>RIGHT(data!$C$96,4)</f>
        <v>2022</v>
      </c>
      <c r="C45" s="16" t="str">
        <f>data!AT$55</f>
        <v>7420</v>
      </c>
      <c r="D45" s="16" t="s">
        <v>1122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172</v>
      </c>
      <c r="B46" s="224" t="str">
        <f>RIGHT(data!$C$96,4)</f>
        <v>2022</v>
      </c>
      <c r="C46" s="16" t="str">
        <f>data!AU$55</f>
        <v>7430</v>
      </c>
      <c r="D46" s="16" t="s">
        <v>1122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172</v>
      </c>
      <c r="B47" s="224" t="str">
        <f>RIGHT(data!$C$96,4)</f>
        <v>2022</v>
      </c>
      <c r="C47" s="16" t="str">
        <f>data!AV$55</f>
        <v>7490</v>
      </c>
      <c r="D47" s="16" t="s">
        <v>1122</v>
      </c>
      <c r="E47" s="222"/>
      <c r="F47" s="212">
        <f>ROUND(data!AV60,2)</f>
        <v>2.0499999999999998</v>
      </c>
      <c r="G47" s="222">
        <f>ROUND(data!AV61,0)</f>
        <v>185801</v>
      </c>
      <c r="H47" s="222">
        <f>ROUND(data!AV62,0)</f>
        <v>48726</v>
      </c>
      <c r="I47" s="222">
        <f>ROUND(data!AV63,0)</f>
        <v>4208</v>
      </c>
      <c r="J47" s="222">
        <f>ROUND(data!AV64,0)</f>
        <v>7392</v>
      </c>
      <c r="K47" s="222">
        <f>ROUND(data!AV65,0)</f>
        <v>0</v>
      </c>
      <c r="L47" s="222">
        <f>ROUND(data!AV66,0)</f>
        <v>1890</v>
      </c>
      <c r="M47" s="66">
        <f>ROUND(data!AV67,0)</f>
        <v>11314</v>
      </c>
      <c r="N47" s="222">
        <f>ROUND(data!AV68,0)</f>
        <v>0</v>
      </c>
      <c r="O47" s="222">
        <f>ROUND(data!AV69,0)</f>
        <v>71647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71647</v>
      </c>
      <c r="AD47" s="222">
        <f>ROUND(data!AV84,0)</f>
        <v>10520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476</v>
      </c>
      <c r="AH47" s="222">
        <f>IF(data!AV91&gt;0,ROUND(data!AV91,0),0)</f>
        <v>0</v>
      </c>
      <c r="AI47" s="222">
        <f>IF(data!AV92&gt;0,ROUND(data!AV92,0),0)</f>
        <v>149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172</v>
      </c>
      <c r="B48" s="224" t="str">
        <f>RIGHT(data!$C$96,4)</f>
        <v>2022</v>
      </c>
      <c r="C48" s="16" t="str">
        <f>data!AW$55</f>
        <v>8200</v>
      </c>
      <c r="D48" s="16" t="s">
        <v>1122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172</v>
      </c>
      <c r="B49" s="224" t="str">
        <f>RIGHT(data!$C$96,4)</f>
        <v>2022</v>
      </c>
      <c r="C49" s="16" t="str">
        <f>data!AX$55</f>
        <v>8310</v>
      </c>
      <c r="D49" s="16" t="s">
        <v>1122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172</v>
      </c>
      <c r="B50" s="224" t="str">
        <f>RIGHT(data!$C$96,4)</f>
        <v>2022</v>
      </c>
      <c r="C50" s="16" t="str">
        <f>data!AY$55</f>
        <v>8320</v>
      </c>
      <c r="D50" s="16" t="s">
        <v>1122</v>
      </c>
      <c r="E50" s="222">
        <f>ROUND(data!AY59,0)</f>
        <v>18015</v>
      </c>
      <c r="F50" s="212">
        <f>ROUND(data!AY60,2)</f>
        <v>15.56</v>
      </c>
      <c r="G50" s="222">
        <f>ROUND(data!AY61,0)</f>
        <v>527355</v>
      </c>
      <c r="H50" s="222">
        <f>ROUND(data!AY62,0)</f>
        <v>138298</v>
      </c>
      <c r="I50" s="222">
        <f>ROUND(data!AY63,0)</f>
        <v>259517</v>
      </c>
      <c r="J50" s="222">
        <f>ROUND(data!AY64,0)</f>
        <v>465560</v>
      </c>
      <c r="K50" s="222">
        <f>ROUND(data!AY65,0)</f>
        <v>112</v>
      </c>
      <c r="L50" s="222">
        <f>ROUND(data!AY66,0)</f>
        <v>18553</v>
      </c>
      <c r="M50" s="66">
        <f>ROUND(data!AY67,0)</f>
        <v>108295</v>
      </c>
      <c r="N50" s="222">
        <f>ROUND(data!AY68,0)</f>
        <v>12474</v>
      </c>
      <c r="O50" s="222">
        <f>ROUND(data!AY69,0)</f>
        <v>662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662</v>
      </c>
      <c r="AD50" s="222">
        <f>ROUND(data!AY84,0)</f>
        <v>345124</v>
      </c>
      <c r="AE50" s="222"/>
      <c r="AF50" s="222"/>
      <c r="AG50" s="222">
        <f>IF(data!AY90&gt;0,ROUND(data!AY90,0),0)</f>
        <v>4556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172</v>
      </c>
      <c r="B51" s="224" t="str">
        <f>RIGHT(data!$C$96,4)</f>
        <v>2022</v>
      </c>
      <c r="C51" s="16" t="str">
        <f>data!AZ$55</f>
        <v>8330</v>
      </c>
      <c r="D51" s="16" t="s">
        <v>1122</v>
      </c>
      <c r="E51" s="222">
        <f>ROUND(data!AZ59,0)</f>
        <v>55697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172</v>
      </c>
      <c r="B52" s="224" t="str">
        <f>RIGHT(data!$C$96,4)</f>
        <v>2022</v>
      </c>
      <c r="C52" s="16" t="str">
        <f>data!BA$55</f>
        <v>8350</v>
      </c>
      <c r="D52" s="16" t="s">
        <v>1122</v>
      </c>
      <c r="E52" s="222">
        <f>ROUND(data!BA59,0)</f>
        <v>0</v>
      </c>
      <c r="F52" s="212">
        <f>ROUND(data!BA60,2)</f>
        <v>0.97</v>
      </c>
      <c r="G52" s="222">
        <f>ROUND(data!BA61,0)</f>
        <v>42843</v>
      </c>
      <c r="H52" s="222">
        <f>ROUND(data!BA62,0)</f>
        <v>11236</v>
      </c>
      <c r="I52" s="222">
        <f>ROUND(data!BA63,0)</f>
        <v>0</v>
      </c>
      <c r="J52" s="222">
        <f>ROUND(data!BA64,0)</f>
        <v>8</v>
      </c>
      <c r="K52" s="222">
        <f>ROUND(data!BA65,0)</f>
        <v>0</v>
      </c>
      <c r="L52" s="222">
        <f>ROUND(data!BA66,0)</f>
        <v>221233</v>
      </c>
      <c r="M52" s="66">
        <f>ROUND(data!BA67,0)</f>
        <v>30663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1290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172</v>
      </c>
      <c r="B53" s="224" t="str">
        <f>RIGHT(data!$C$96,4)</f>
        <v>2022</v>
      </c>
      <c r="C53" s="16" t="str">
        <f>data!BB$55</f>
        <v>8360</v>
      </c>
      <c r="D53" s="16" t="s">
        <v>1122</v>
      </c>
      <c r="E53" s="222"/>
      <c r="F53" s="212">
        <f>ROUND(data!BB60,2)</f>
        <v>5.75</v>
      </c>
      <c r="G53" s="222">
        <f>ROUND(data!BB61,0)</f>
        <v>495888</v>
      </c>
      <c r="H53" s="222">
        <f>ROUND(data!BB62,0)</f>
        <v>130046</v>
      </c>
      <c r="I53" s="222">
        <f>ROUND(data!BB63,0)</f>
        <v>15697</v>
      </c>
      <c r="J53" s="222">
        <f>ROUND(data!BB64,0)</f>
        <v>1094</v>
      </c>
      <c r="K53" s="222">
        <f>ROUND(data!BB65,0)</f>
        <v>3537</v>
      </c>
      <c r="L53" s="222">
        <f>ROUND(data!BB66,0)</f>
        <v>17174</v>
      </c>
      <c r="M53" s="66">
        <f>ROUND(data!BB67,0)</f>
        <v>10031</v>
      </c>
      <c r="N53" s="222">
        <f>ROUND(data!BB68,0)</f>
        <v>2270</v>
      </c>
      <c r="O53" s="222">
        <f>ROUND(data!BB69,0)</f>
        <v>8622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8622</v>
      </c>
      <c r="AD53" s="222">
        <f>ROUND(data!BB84,0)</f>
        <v>0</v>
      </c>
      <c r="AE53" s="222"/>
      <c r="AF53" s="222"/>
      <c r="AG53" s="222">
        <f>IF(data!BB90&gt;0,ROUND(data!BB90,0),0)</f>
        <v>422</v>
      </c>
      <c r="AH53" s="222">
        <f>IFERROR(IF(data!BB$91&gt;0,ROUND(data!BB$91,0),0),0)</f>
        <v>0</v>
      </c>
      <c r="AI53" s="222">
        <f>IFERROR(IF(data!BB$92&gt;0,ROUND(data!BB$92,0),0),0)</f>
        <v>149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172</v>
      </c>
      <c r="B54" s="224" t="str">
        <f>RIGHT(data!$C$96,4)</f>
        <v>2022</v>
      </c>
      <c r="C54" s="16" t="str">
        <f>data!BC$55</f>
        <v>8370</v>
      </c>
      <c r="D54" s="16" t="s">
        <v>1122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172</v>
      </c>
      <c r="B55" s="224" t="str">
        <f>RIGHT(data!$C$96,4)</f>
        <v>2022</v>
      </c>
      <c r="C55" s="16" t="str">
        <f>data!BD$55</f>
        <v>8420</v>
      </c>
      <c r="D55" s="16" t="s">
        <v>1122</v>
      </c>
      <c r="E55" s="222"/>
      <c r="F55" s="212">
        <f>ROUND(data!BD60,2)</f>
        <v>6.24</v>
      </c>
      <c r="G55" s="222">
        <f>ROUND(data!BD61,0)</f>
        <v>457896</v>
      </c>
      <c r="H55" s="222">
        <f>ROUND(data!BD62,0)</f>
        <v>120083</v>
      </c>
      <c r="I55" s="222">
        <f>ROUND(data!BD63,0)</f>
        <v>0</v>
      </c>
      <c r="J55" s="222">
        <f>ROUND(data!BD64,0)</f>
        <v>19421</v>
      </c>
      <c r="K55" s="222">
        <f>ROUND(data!BD65,0)</f>
        <v>1497</v>
      </c>
      <c r="L55" s="222">
        <f>ROUND(data!BD66,0)</f>
        <v>4059</v>
      </c>
      <c r="M55" s="66">
        <f>ROUND(data!BD67,0)</f>
        <v>67815</v>
      </c>
      <c r="N55" s="222">
        <f>ROUND(data!BD68,0)</f>
        <v>7166</v>
      </c>
      <c r="O55" s="222">
        <f>ROUND(data!BD69,0)</f>
        <v>5002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5002</v>
      </c>
      <c r="AD55" s="222">
        <f>ROUND(data!BD84,0)</f>
        <v>0</v>
      </c>
      <c r="AE55" s="222"/>
      <c r="AF55" s="222"/>
      <c r="AG55" s="222">
        <f>IF(data!BD90&gt;0,ROUND(data!BD90,0),0)</f>
        <v>2853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172</v>
      </c>
      <c r="B56" s="224" t="str">
        <f>RIGHT(data!$C$96,4)</f>
        <v>2022</v>
      </c>
      <c r="C56" s="16" t="str">
        <f>data!BE$55</f>
        <v>8430</v>
      </c>
      <c r="D56" s="16" t="s">
        <v>1122</v>
      </c>
      <c r="E56" s="222">
        <f>ROUND(data!BE59,0)</f>
        <v>127457</v>
      </c>
      <c r="F56" s="212">
        <f>ROUND(data!BE60,2)</f>
        <v>7.87</v>
      </c>
      <c r="G56" s="222">
        <f>ROUND(data!BE61,0)</f>
        <v>622201</v>
      </c>
      <c r="H56" s="222">
        <f>ROUND(data!BE62,0)</f>
        <v>163171</v>
      </c>
      <c r="I56" s="222">
        <f>ROUND(data!BE63,0)</f>
        <v>63657</v>
      </c>
      <c r="J56" s="222">
        <f>ROUND(data!BE64,0)</f>
        <v>12678</v>
      </c>
      <c r="K56" s="222">
        <f>ROUND(data!BE65,0)</f>
        <v>554300</v>
      </c>
      <c r="L56" s="222">
        <f>ROUND(data!BE66,0)</f>
        <v>210813</v>
      </c>
      <c r="M56" s="66">
        <f>ROUND(data!BE67,0)</f>
        <v>259042</v>
      </c>
      <c r="N56" s="222">
        <f>ROUND(data!BE68,0)</f>
        <v>7443</v>
      </c>
      <c r="O56" s="222">
        <f>ROUND(data!BE69,0)</f>
        <v>1709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1709</v>
      </c>
      <c r="AD56" s="222">
        <f>ROUND(data!BE84,0)</f>
        <v>0</v>
      </c>
      <c r="AE56" s="222"/>
      <c r="AF56" s="222"/>
      <c r="AG56" s="222">
        <f>IF(data!BE90&gt;0,ROUND(data!BE90,0),0)</f>
        <v>10898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172</v>
      </c>
      <c r="B57" s="224" t="str">
        <f>RIGHT(data!$C$96,4)</f>
        <v>2022</v>
      </c>
      <c r="C57" s="16" t="str">
        <f>data!BF$55</f>
        <v>8460</v>
      </c>
      <c r="D57" s="16" t="s">
        <v>1122</v>
      </c>
      <c r="E57" s="222"/>
      <c r="F57" s="212">
        <f>ROUND(data!BF60,2)</f>
        <v>12.64</v>
      </c>
      <c r="G57" s="222">
        <f>ROUND(data!BF61,0)</f>
        <v>592453</v>
      </c>
      <c r="H57" s="222">
        <f>ROUND(data!BF62,0)</f>
        <v>155370</v>
      </c>
      <c r="I57" s="222">
        <f>ROUND(data!BF63,0)</f>
        <v>4928</v>
      </c>
      <c r="J57" s="222">
        <f>ROUND(data!BF64,0)</f>
        <v>65836</v>
      </c>
      <c r="K57" s="222">
        <f>ROUND(data!BF65,0)</f>
        <v>53594</v>
      </c>
      <c r="L57" s="222">
        <f>ROUND(data!BF66,0)</f>
        <v>11150</v>
      </c>
      <c r="M57" s="66">
        <f>ROUND(data!BF67,0)</f>
        <v>105680</v>
      </c>
      <c r="N57" s="222">
        <f>ROUND(data!BF68,0)</f>
        <v>103</v>
      </c>
      <c r="O57" s="222">
        <f>ROUND(data!BF69,0)</f>
        <v>1741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1741</v>
      </c>
      <c r="AD57" s="222">
        <f>ROUND(data!BF84,0)</f>
        <v>0</v>
      </c>
      <c r="AE57" s="222"/>
      <c r="AF57" s="222"/>
      <c r="AG57" s="222">
        <f>IF(data!BF90&gt;0,ROUND(data!BF90,0),0)</f>
        <v>4446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172</v>
      </c>
      <c r="B58" s="224" t="str">
        <f>RIGHT(data!$C$96,4)</f>
        <v>2022</v>
      </c>
      <c r="C58" s="16" t="str">
        <f>data!BG$55</f>
        <v>8470</v>
      </c>
      <c r="D58" s="16" t="s">
        <v>1122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172</v>
      </c>
      <c r="B59" s="224" t="str">
        <f>RIGHT(data!$C$96,4)</f>
        <v>2022</v>
      </c>
      <c r="C59" s="16" t="str">
        <f>data!BH$55</f>
        <v>8480</v>
      </c>
      <c r="D59" s="16" t="s">
        <v>1122</v>
      </c>
      <c r="E59" s="222"/>
      <c r="F59" s="212">
        <f>ROUND(data!BH60,2)</f>
        <v>6.96</v>
      </c>
      <c r="G59" s="222">
        <f>ROUND(data!BH61,0)</f>
        <v>763368</v>
      </c>
      <c r="H59" s="222">
        <f>ROUND(data!BH62,0)</f>
        <v>200192</v>
      </c>
      <c r="I59" s="222">
        <f>ROUND(data!BH63,0)</f>
        <v>755</v>
      </c>
      <c r="J59" s="222">
        <f>ROUND(data!BH64,0)</f>
        <v>48997</v>
      </c>
      <c r="K59" s="222">
        <f>ROUND(data!BH65,0)</f>
        <v>116735</v>
      </c>
      <c r="L59" s="222">
        <f>ROUND(data!BH66,0)</f>
        <v>1478805</v>
      </c>
      <c r="M59" s="66">
        <f>ROUND(data!BH67,0)</f>
        <v>24982</v>
      </c>
      <c r="N59" s="222">
        <f>ROUND(data!BH68,0)</f>
        <v>0</v>
      </c>
      <c r="O59" s="222">
        <f>ROUND(data!BH69,0)</f>
        <v>5743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5743</v>
      </c>
      <c r="AD59" s="222">
        <f>ROUND(data!BH84,0)</f>
        <v>15540</v>
      </c>
      <c r="AE59" s="222"/>
      <c r="AF59" s="222"/>
      <c r="AG59" s="222">
        <f>IF(data!BH90&gt;0,ROUND(data!BH90,0),0)</f>
        <v>1051</v>
      </c>
      <c r="AH59" s="222">
        <f>IFERROR(IF(data!BH$91&gt;0,ROUND(data!BH$91,0),0),0)</f>
        <v>0</v>
      </c>
      <c r="AI59" s="222">
        <f>IFERROR(IF(data!BH$92&gt;0,ROUND(data!BH$92,0),0),0)</f>
        <v>148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172</v>
      </c>
      <c r="B60" s="224" t="str">
        <f>RIGHT(data!$C$96,4)</f>
        <v>2022</v>
      </c>
      <c r="C60" s="16" t="str">
        <f>data!BI$55</f>
        <v>8490</v>
      </c>
      <c r="D60" s="16" t="s">
        <v>1122</v>
      </c>
      <c r="E60" s="222"/>
      <c r="F60" s="212">
        <f>ROUND(data!BI60,2)</f>
        <v>3.54</v>
      </c>
      <c r="G60" s="222">
        <f>ROUND(data!BI61,0)</f>
        <v>402064</v>
      </c>
      <c r="H60" s="222">
        <f>ROUND(data!BI62,0)</f>
        <v>105441</v>
      </c>
      <c r="I60" s="222">
        <f>ROUND(data!BI63,0)</f>
        <v>50450</v>
      </c>
      <c r="J60" s="222">
        <f>ROUND(data!BI64,0)</f>
        <v>9834</v>
      </c>
      <c r="K60" s="222">
        <f>ROUND(data!BI65,0)</f>
        <v>4433</v>
      </c>
      <c r="L60" s="222">
        <f>ROUND(data!BI66,0)</f>
        <v>114097</v>
      </c>
      <c r="M60" s="66">
        <f>ROUND(data!BI67,0)</f>
        <v>0</v>
      </c>
      <c r="N60" s="222">
        <f>ROUND(data!BI68,0)</f>
        <v>43283</v>
      </c>
      <c r="O60" s="222">
        <f>ROUND(data!BI69,0)</f>
        <v>236433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236433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172</v>
      </c>
      <c r="B61" s="224" t="str">
        <f>RIGHT(data!$C$96,4)</f>
        <v>2022</v>
      </c>
      <c r="C61" s="16" t="str">
        <f>data!BJ$55</f>
        <v>8510</v>
      </c>
      <c r="D61" s="16" t="s">
        <v>1122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172</v>
      </c>
      <c r="B62" s="224" t="str">
        <f>RIGHT(data!$C$96,4)</f>
        <v>2022</v>
      </c>
      <c r="C62" s="16" t="str">
        <f>data!BK$55</f>
        <v>8530</v>
      </c>
      <c r="D62" s="16" t="s">
        <v>1122</v>
      </c>
      <c r="E62" s="222"/>
      <c r="F62" s="212">
        <f>ROUND(data!BK60,2)</f>
        <v>10.47</v>
      </c>
      <c r="G62" s="222">
        <f>ROUND(data!BK61,0)</f>
        <v>630100</v>
      </c>
      <c r="H62" s="222">
        <f>ROUND(data!BK62,0)</f>
        <v>165243</v>
      </c>
      <c r="I62" s="222">
        <f>ROUND(data!BK63,0)</f>
        <v>261738</v>
      </c>
      <c r="J62" s="222">
        <f>ROUND(data!BK64,0)</f>
        <v>27322</v>
      </c>
      <c r="K62" s="222">
        <f>ROUND(data!BK65,0)</f>
        <v>5412</v>
      </c>
      <c r="L62" s="222">
        <f>ROUND(data!BK66,0)</f>
        <v>402640</v>
      </c>
      <c r="M62" s="66">
        <f>ROUND(data!BK67,0)</f>
        <v>0</v>
      </c>
      <c r="N62" s="222">
        <f>ROUND(data!BK68,0)</f>
        <v>56400</v>
      </c>
      <c r="O62" s="222">
        <f>ROUND(data!BK69,0)</f>
        <v>7193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7193</v>
      </c>
      <c r="AD62" s="222">
        <f>ROUND(data!BK84,0)</f>
        <v>59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148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172</v>
      </c>
      <c r="B63" s="224" t="str">
        <f>RIGHT(data!$C$96,4)</f>
        <v>2022</v>
      </c>
      <c r="C63" s="16" t="str">
        <f>data!BL$55</f>
        <v>8560</v>
      </c>
      <c r="D63" s="16" t="s">
        <v>1122</v>
      </c>
      <c r="E63" s="222"/>
      <c r="F63" s="212">
        <f>ROUND(data!BL60,2)</f>
        <v>13.36</v>
      </c>
      <c r="G63" s="222">
        <f>ROUND(data!BL61,0)</f>
        <v>616494</v>
      </c>
      <c r="H63" s="222">
        <f>ROUND(data!BL62,0)</f>
        <v>161675</v>
      </c>
      <c r="I63" s="222">
        <f>ROUND(data!BL63,0)</f>
        <v>0</v>
      </c>
      <c r="J63" s="222">
        <f>ROUND(data!BL64,0)</f>
        <v>13241</v>
      </c>
      <c r="K63" s="222">
        <f>ROUND(data!BL65,0)</f>
        <v>480</v>
      </c>
      <c r="L63" s="222">
        <f>ROUND(data!BL66,0)</f>
        <v>189</v>
      </c>
      <c r="M63" s="66">
        <f>ROUND(data!BL67,0)</f>
        <v>24530</v>
      </c>
      <c r="N63" s="222">
        <f>ROUND(data!BL68,0)</f>
        <v>4244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1032</v>
      </c>
      <c r="AH63" s="222">
        <f>IFERROR(IF(data!BL$91&gt;0,ROUND(data!BL$91,0),0),0)</f>
        <v>0</v>
      </c>
      <c r="AI63" s="222">
        <f>IFERROR(IF(data!BL$92&gt;0,ROUND(data!BL$92,0),0),0)</f>
        <v>148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172</v>
      </c>
      <c r="B64" s="224" t="str">
        <f>RIGHT(data!$C$96,4)</f>
        <v>2022</v>
      </c>
      <c r="C64" s="16" t="str">
        <f>data!BM$55</f>
        <v>8590</v>
      </c>
      <c r="D64" s="16" t="s">
        <v>1122</v>
      </c>
      <c r="E64" s="222"/>
      <c r="F64" s="212">
        <f>ROUND(data!BM60,2)</f>
        <v>4.6399999999999997</v>
      </c>
      <c r="G64" s="222">
        <f>ROUND(data!BM61,0)</f>
        <v>397183</v>
      </c>
      <c r="H64" s="222">
        <f>ROUND(data!BM62,0)</f>
        <v>104161</v>
      </c>
      <c r="I64" s="222">
        <f>ROUND(data!BM63,0)</f>
        <v>94022</v>
      </c>
      <c r="J64" s="222">
        <f>ROUND(data!BM64,0)</f>
        <v>15226</v>
      </c>
      <c r="K64" s="222">
        <f>ROUND(data!BM65,0)</f>
        <v>176</v>
      </c>
      <c r="L64" s="222">
        <f>ROUND(data!BM66,0)</f>
        <v>37300</v>
      </c>
      <c r="M64" s="66">
        <f>ROUND(data!BM67,0)</f>
        <v>0</v>
      </c>
      <c r="N64" s="222">
        <f>ROUND(data!BM68,0)</f>
        <v>27614</v>
      </c>
      <c r="O64" s="222">
        <f>ROUND(data!BM69,0)</f>
        <v>68077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68077</v>
      </c>
      <c r="AD64" s="222">
        <f>ROUND(data!BM84,0)</f>
        <v>316762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172</v>
      </c>
      <c r="B65" s="224" t="str">
        <f>RIGHT(data!$C$96,4)</f>
        <v>2022</v>
      </c>
      <c r="C65" s="16" t="str">
        <f>data!BN$55</f>
        <v>8610</v>
      </c>
      <c r="D65" s="16" t="s">
        <v>1122</v>
      </c>
      <c r="E65" s="222"/>
      <c r="F65" s="212">
        <f>ROUND(data!BN60,2)</f>
        <v>5.36</v>
      </c>
      <c r="G65" s="222">
        <f>ROUND(data!BN61,0)</f>
        <v>959003</v>
      </c>
      <c r="H65" s="222">
        <f>ROUND(data!BN62,0)</f>
        <v>251497</v>
      </c>
      <c r="I65" s="222">
        <f>ROUND(data!BN63,0)</f>
        <v>366777</v>
      </c>
      <c r="J65" s="222">
        <f>ROUND(data!BN64,0)</f>
        <v>39487</v>
      </c>
      <c r="K65" s="222">
        <f>ROUND(data!BN65,0)</f>
        <v>1158</v>
      </c>
      <c r="L65" s="222">
        <f>ROUND(data!BN66,0)</f>
        <v>40795</v>
      </c>
      <c r="M65" s="66">
        <f>ROUND(data!BN67,0)</f>
        <v>50772</v>
      </c>
      <c r="N65" s="222">
        <f>ROUND(data!BN68,0)</f>
        <v>71699</v>
      </c>
      <c r="O65" s="222">
        <f>ROUND(data!BN69,0)</f>
        <v>257775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257775</v>
      </c>
      <c r="AD65" s="222">
        <f>ROUND(data!BN84,0)</f>
        <v>50000</v>
      </c>
      <c r="AE65" s="222"/>
      <c r="AF65" s="222"/>
      <c r="AG65" s="222">
        <f>IF(data!BN90&gt;0,ROUND(data!BN90,0),0)</f>
        <v>2136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172</v>
      </c>
      <c r="B66" s="224" t="str">
        <f>RIGHT(data!$C$96,4)</f>
        <v>2022</v>
      </c>
      <c r="C66" s="16" t="str">
        <f>data!BO$55</f>
        <v>8620</v>
      </c>
      <c r="D66" s="16" t="s">
        <v>1122</v>
      </c>
      <c r="E66" s="222"/>
      <c r="F66" s="212">
        <f>ROUND(data!BO60,2)</f>
        <v>1.26</v>
      </c>
      <c r="G66" s="222">
        <f>ROUND(data!BO61,0)</f>
        <v>95780</v>
      </c>
      <c r="H66" s="222">
        <f>ROUND(data!BO62,0)</f>
        <v>25118</v>
      </c>
      <c r="I66" s="222">
        <f>ROUND(data!BO63,0)</f>
        <v>110328</v>
      </c>
      <c r="J66" s="222">
        <f>ROUND(data!BO64,0)</f>
        <v>123259</v>
      </c>
      <c r="K66" s="222">
        <f>ROUND(data!BO65,0)</f>
        <v>11708</v>
      </c>
      <c r="L66" s="222">
        <f>ROUND(data!BO66,0)</f>
        <v>11426</v>
      </c>
      <c r="M66" s="66">
        <f>ROUND(data!BO67,0)</f>
        <v>0</v>
      </c>
      <c r="N66" s="222">
        <f>ROUND(data!BO68,0)</f>
        <v>45232</v>
      </c>
      <c r="O66" s="222">
        <f>ROUND(data!BO69,0)</f>
        <v>20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20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172</v>
      </c>
      <c r="B67" s="224" t="str">
        <f>RIGHT(data!$C$96,4)</f>
        <v>2022</v>
      </c>
      <c r="C67" s="16" t="str">
        <f>data!BP$55</f>
        <v>8630</v>
      </c>
      <c r="D67" s="16" t="s">
        <v>1122</v>
      </c>
      <c r="E67" s="222"/>
      <c r="F67" s="212">
        <f>ROUND(data!BP60,2)</f>
        <v>3.86</v>
      </c>
      <c r="G67" s="222">
        <f>ROUND(data!BP61,0)</f>
        <v>293977</v>
      </c>
      <c r="H67" s="222">
        <f>ROUND(data!BP62,0)</f>
        <v>77095</v>
      </c>
      <c r="I67" s="222">
        <f>ROUND(data!BP63,0)</f>
        <v>557110</v>
      </c>
      <c r="J67" s="222">
        <f>ROUND(data!BP64,0)</f>
        <v>3427</v>
      </c>
      <c r="K67" s="222">
        <f>ROUND(data!BP65,0)</f>
        <v>0</v>
      </c>
      <c r="L67" s="222">
        <f>ROUND(data!BP66,0)</f>
        <v>47578</v>
      </c>
      <c r="M67" s="66">
        <f>ROUND(data!BP67,0)</f>
        <v>0</v>
      </c>
      <c r="N67" s="222">
        <f>ROUND(data!BP68,0)</f>
        <v>371</v>
      </c>
      <c r="O67" s="222">
        <f>ROUND(data!BP69,0)</f>
        <v>22275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22275</v>
      </c>
      <c r="AD67" s="222">
        <f>ROUND(data!BP84,0)</f>
        <v>15000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172</v>
      </c>
      <c r="B68" s="224" t="str">
        <f>RIGHT(data!$C$96,4)</f>
        <v>2022</v>
      </c>
      <c r="C68" s="16" t="str">
        <f>data!BQ$55</f>
        <v>8640</v>
      </c>
      <c r="D68" s="16" t="s">
        <v>1122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172</v>
      </c>
      <c r="B69" s="224" t="str">
        <f>RIGHT(data!$C$96,4)</f>
        <v>2022</v>
      </c>
      <c r="C69" s="16" t="str">
        <f>data!BR$55</f>
        <v>8650</v>
      </c>
      <c r="D69" s="16" t="s">
        <v>1122</v>
      </c>
      <c r="E69" s="222"/>
      <c r="F69" s="212">
        <f>ROUND(data!BR60,2)</f>
        <v>6.32</v>
      </c>
      <c r="G69" s="222">
        <f>ROUND(data!BR61,0)</f>
        <v>639616</v>
      </c>
      <c r="H69" s="222">
        <f>ROUND(data!BR62,0)</f>
        <v>167738</v>
      </c>
      <c r="I69" s="222">
        <f>ROUND(data!BR63,0)</f>
        <v>109528</v>
      </c>
      <c r="J69" s="222">
        <f>ROUND(data!BR64,0)</f>
        <v>21629</v>
      </c>
      <c r="K69" s="222">
        <f>ROUND(data!BR65,0)</f>
        <v>440</v>
      </c>
      <c r="L69" s="222">
        <f>ROUND(data!BR66,0)</f>
        <v>135615</v>
      </c>
      <c r="M69" s="66">
        <f>ROUND(data!BR67,0)</f>
        <v>0</v>
      </c>
      <c r="N69" s="222">
        <f>ROUND(data!BR68,0)</f>
        <v>27911</v>
      </c>
      <c r="O69" s="222">
        <f>ROUND(data!BR69,0)</f>
        <v>59804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59804</v>
      </c>
      <c r="AD69" s="222">
        <f>ROUND(data!BR84,0)</f>
        <v>31125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172</v>
      </c>
      <c r="B70" s="224" t="str">
        <f>RIGHT(data!$C$96,4)</f>
        <v>2022</v>
      </c>
      <c r="C70" s="16" t="str">
        <f>data!BS$55</f>
        <v>8660</v>
      </c>
      <c r="D70" s="16" t="s">
        <v>1122</v>
      </c>
      <c r="E70" s="222"/>
      <c r="F70" s="212">
        <f>ROUND(data!BS60,2)</f>
        <v>0.5</v>
      </c>
      <c r="G70" s="222">
        <f>ROUND(data!BS61,0)</f>
        <v>20028</v>
      </c>
      <c r="H70" s="222">
        <f>ROUND(data!BS62,0)</f>
        <v>5252</v>
      </c>
      <c r="I70" s="222">
        <f>ROUND(data!BS63,0)</f>
        <v>0</v>
      </c>
      <c r="J70" s="222">
        <f>ROUND(data!BS64,0)</f>
        <v>2280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666</v>
      </c>
      <c r="O70" s="222">
        <f>ROUND(data!BS69,0)</f>
        <v>4785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4785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172</v>
      </c>
      <c r="B71" s="224" t="str">
        <f>RIGHT(data!$C$96,4)</f>
        <v>2022</v>
      </c>
      <c r="C71" s="16" t="str">
        <f>data!BT$55</f>
        <v>8670</v>
      </c>
      <c r="D71" s="16" t="s">
        <v>1122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172</v>
      </c>
      <c r="B72" s="224" t="str">
        <f>RIGHT(data!$C$96,4)</f>
        <v>2022</v>
      </c>
      <c r="C72" s="16" t="str">
        <f>data!BU$55</f>
        <v>8680</v>
      </c>
      <c r="D72" s="16" t="s">
        <v>1122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172</v>
      </c>
      <c r="B73" s="224" t="str">
        <f>RIGHT(data!$C$96,4)</f>
        <v>2022</v>
      </c>
      <c r="C73" s="16" t="str">
        <f>data!BV$55</f>
        <v>8690</v>
      </c>
      <c r="D73" s="16" t="s">
        <v>1122</v>
      </c>
      <c r="E73" s="222"/>
      <c r="F73" s="212">
        <f>ROUND(data!BV60,2)</f>
        <v>3.91</v>
      </c>
      <c r="G73" s="222">
        <f>ROUND(data!BV61,0)</f>
        <v>295489</v>
      </c>
      <c r="H73" s="222">
        <f>ROUND(data!BV62,0)</f>
        <v>77492</v>
      </c>
      <c r="I73" s="222">
        <f>ROUND(data!BV63,0)</f>
        <v>238524</v>
      </c>
      <c r="J73" s="222">
        <f>ROUND(data!BV64,0)</f>
        <v>7568</v>
      </c>
      <c r="K73" s="222">
        <f>ROUND(data!BV65,0)</f>
        <v>0</v>
      </c>
      <c r="L73" s="222">
        <f>ROUND(data!BV66,0)</f>
        <v>47231</v>
      </c>
      <c r="M73" s="66">
        <f>ROUND(data!BV67,0)</f>
        <v>15545</v>
      </c>
      <c r="N73" s="222">
        <f>ROUND(data!BV68,0)</f>
        <v>25417</v>
      </c>
      <c r="O73" s="222">
        <f>ROUND(data!BV69,0)</f>
        <v>703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703</v>
      </c>
      <c r="AD73" s="222">
        <f>ROUND(data!BV84,0)</f>
        <v>8504</v>
      </c>
      <c r="AE73" s="222"/>
      <c r="AF73" s="222"/>
      <c r="AG73" s="222">
        <f>IF(data!BV90&gt;0,ROUND(data!BV90,0),0)</f>
        <v>654</v>
      </c>
      <c r="AH73" s="222">
        <f>IF(data!BV91&gt;0,ROUND(data!BV91,0),0)</f>
        <v>0</v>
      </c>
      <c r="AI73" s="222">
        <f>IF(data!BV92&gt;0,ROUND(data!BV92,0),0)</f>
        <v>148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172</v>
      </c>
      <c r="B74" s="224" t="str">
        <f>RIGHT(data!$C$96,4)</f>
        <v>2022</v>
      </c>
      <c r="C74" s="16" t="str">
        <f>data!BW$55</f>
        <v>8700</v>
      </c>
      <c r="D74" s="16" t="s">
        <v>1122</v>
      </c>
      <c r="E74" s="222"/>
      <c r="F74" s="212">
        <f>ROUND(data!BW60,2)</f>
        <v>1.05</v>
      </c>
      <c r="G74" s="222">
        <f>ROUND(data!BW61,0)</f>
        <v>553800</v>
      </c>
      <c r="H74" s="222">
        <f>ROUND(data!BW62,0)</f>
        <v>145233</v>
      </c>
      <c r="I74" s="222">
        <f>ROUND(data!BW63,0)</f>
        <v>0</v>
      </c>
      <c r="J74" s="222">
        <f>ROUND(data!BW64,0)</f>
        <v>2165</v>
      </c>
      <c r="K74" s="222">
        <f>ROUND(data!BW65,0)</f>
        <v>480</v>
      </c>
      <c r="L74" s="222">
        <f>ROUND(data!BW66,0)</f>
        <v>24705</v>
      </c>
      <c r="M74" s="66">
        <f>ROUND(data!BW67,0)</f>
        <v>5586</v>
      </c>
      <c r="N74" s="222">
        <f>ROUND(data!BW68,0)</f>
        <v>0</v>
      </c>
      <c r="O74" s="222">
        <f>ROUND(data!BW69,0)</f>
        <v>32287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32287</v>
      </c>
      <c r="AD74" s="222">
        <f>ROUND(data!BW84,0)</f>
        <v>9725</v>
      </c>
      <c r="AE74" s="222"/>
      <c r="AF74" s="222"/>
      <c r="AG74" s="222">
        <f>IF(data!BW90&gt;0,ROUND(data!BW90,0),0)</f>
        <v>235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172</v>
      </c>
      <c r="B75" s="224" t="str">
        <f>RIGHT(data!$C$96,4)</f>
        <v>2022</v>
      </c>
      <c r="C75" s="16" t="str">
        <f>data!BX$55</f>
        <v>8710</v>
      </c>
      <c r="D75" s="16" t="s">
        <v>1122</v>
      </c>
      <c r="E75" s="222"/>
      <c r="F75" s="212">
        <f>ROUND(data!BX60,2)</f>
        <v>1.8</v>
      </c>
      <c r="G75" s="222">
        <f>ROUND(data!BX61,0)</f>
        <v>230058</v>
      </c>
      <c r="H75" s="222">
        <f>ROUND(data!BX62,0)</f>
        <v>60332</v>
      </c>
      <c r="I75" s="222">
        <f>ROUND(data!BX63,0)</f>
        <v>98362</v>
      </c>
      <c r="J75" s="222">
        <f>ROUND(data!BX64,0)</f>
        <v>1373</v>
      </c>
      <c r="K75" s="222">
        <f>ROUND(data!BX65,0)</f>
        <v>680</v>
      </c>
      <c r="L75" s="222">
        <f>ROUND(data!BX66,0)</f>
        <v>98130</v>
      </c>
      <c r="M75" s="66">
        <f>ROUND(data!BX67,0)</f>
        <v>3565</v>
      </c>
      <c r="N75" s="222">
        <f>ROUND(data!BX68,0)</f>
        <v>0</v>
      </c>
      <c r="O75" s="222">
        <f>ROUND(data!BX69,0)</f>
        <v>8941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8941</v>
      </c>
      <c r="AD75" s="222">
        <f>ROUND(data!BX84,0)</f>
        <v>0</v>
      </c>
      <c r="AE75" s="222"/>
      <c r="AF75" s="222"/>
      <c r="AG75" s="222">
        <f>IF(data!BX90&gt;0,ROUND(data!BX90,0),0)</f>
        <v>150</v>
      </c>
      <c r="AH75" s="222">
        <f>IF(data!BX91&gt;0,ROUND(data!BX91,0),0)</f>
        <v>0</v>
      </c>
      <c r="AI75" s="222">
        <f>IF(data!BX92&gt;0,ROUND(data!BX92,0),0)</f>
        <v>148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172</v>
      </c>
      <c r="B76" s="224" t="str">
        <f>RIGHT(data!$C$96,4)</f>
        <v>2022</v>
      </c>
      <c r="C76" s="16" t="str">
        <f>data!BY$55</f>
        <v>8720</v>
      </c>
      <c r="D76" s="16" t="s">
        <v>1122</v>
      </c>
      <c r="E76" s="222"/>
      <c r="F76" s="212">
        <f>ROUND(data!BY60,2)</f>
        <v>6.53</v>
      </c>
      <c r="G76" s="222">
        <f>ROUND(data!BY61,0)</f>
        <v>1013443</v>
      </c>
      <c r="H76" s="222">
        <f>ROUND(data!BY62,0)</f>
        <v>265774</v>
      </c>
      <c r="I76" s="222">
        <f>ROUND(data!BY63,0)</f>
        <v>5108</v>
      </c>
      <c r="J76" s="222">
        <f>ROUND(data!BY64,0)</f>
        <v>4070</v>
      </c>
      <c r="K76" s="222">
        <f>ROUND(data!BY65,0)</f>
        <v>964</v>
      </c>
      <c r="L76" s="222">
        <f>ROUND(data!BY66,0)</f>
        <v>439</v>
      </c>
      <c r="M76" s="66">
        <f>ROUND(data!BY67,0)</f>
        <v>3209</v>
      </c>
      <c r="N76" s="222">
        <f>ROUND(data!BY68,0)</f>
        <v>0</v>
      </c>
      <c r="O76" s="222">
        <f>ROUND(data!BY69,0)</f>
        <v>36443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36443</v>
      </c>
      <c r="AD76" s="222">
        <f>ROUND(data!BY84,0)</f>
        <v>29947</v>
      </c>
      <c r="AE76" s="222"/>
      <c r="AF76" s="222"/>
      <c r="AG76" s="222">
        <f>IF(data!BY90&gt;0,ROUND(data!BY90,0),0)</f>
        <v>135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172</v>
      </c>
      <c r="B77" s="224" t="str">
        <f>RIGHT(data!$C$96,4)</f>
        <v>2022</v>
      </c>
      <c r="C77" s="16" t="str">
        <f>data!BZ$55</f>
        <v>8730</v>
      </c>
      <c r="D77" s="16" t="s">
        <v>1122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172</v>
      </c>
      <c r="B78" s="224" t="str">
        <f>RIGHT(data!$C$96,4)</f>
        <v>2022</v>
      </c>
      <c r="C78" s="16" t="str">
        <f>data!CA$55</f>
        <v>8740</v>
      </c>
      <c r="D78" s="16" t="s">
        <v>1122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172</v>
      </c>
      <c r="B79" s="224" t="str">
        <f>RIGHT(data!$C$96,4)</f>
        <v>2022</v>
      </c>
      <c r="C79" s="16" t="str">
        <f>data!CB$55</f>
        <v>8770</v>
      </c>
      <c r="D79" s="16" t="s">
        <v>1122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172</v>
      </c>
      <c r="B80" s="224" t="str">
        <f>RIGHT(data!$C$96,4)</f>
        <v>2022</v>
      </c>
      <c r="C80" s="16" t="str">
        <f>data!CC$55</f>
        <v>8790</v>
      </c>
      <c r="D80" s="16" t="s">
        <v>1122</v>
      </c>
      <c r="E80" s="222"/>
      <c r="F80" s="212">
        <f>ROUND(data!CC60,2)</f>
        <v>1.35</v>
      </c>
      <c r="G80" s="222">
        <f>ROUND(data!CC61,0)</f>
        <v>201862</v>
      </c>
      <c r="H80" s="222">
        <f>ROUND(data!CC62,0)</f>
        <v>52938</v>
      </c>
      <c r="I80" s="222">
        <f>ROUND(data!CC63,0)</f>
        <v>34480</v>
      </c>
      <c r="J80" s="222">
        <f>ROUND(data!CC64,0)</f>
        <v>2721</v>
      </c>
      <c r="K80" s="222">
        <f>ROUND(data!CC65,0)</f>
        <v>0</v>
      </c>
      <c r="L80" s="222">
        <f>ROUND(data!CC66,0)</f>
        <v>331</v>
      </c>
      <c r="M80" s="66">
        <f>ROUND(data!CC67,0)</f>
        <v>641901</v>
      </c>
      <c r="N80" s="222">
        <f>ROUND(data!CC68,0)</f>
        <v>0</v>
      </c>
      <c r="O80" s="222">
        <f>ROUND(data!CC69,0)</f>
        <v>3755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3755</v>
      </c>
      <c r="AD80" s="222">
        <f>ROUND(data!CC84,0)</f>
        <v>0</v>
      </c>
      <c r="AE80" s="222"/>
      <c r="AF80" s="222"/>
      <c r="AG80" s="222">
        <f>IF(data!CC90&gt;0,ROUND(data!CC90,0),0)</f>
        <v>27005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F44" sqref="F44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Public Hospital District #1-A of Whitman County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H-172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835 SE Bishop Blvd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Pullman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Washington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1383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690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691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1384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690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40" zoomScaleNormal="100" workbookViewId="0">
      <selection activeCell="I41" sqref="I41"/>
    </sheetView>
  </sheetViews>
  <sheetFormatPr defaultColWidth="8.6640625" defaultRowHeight="14.5" x14ac:dyDescent="0.35"/>
  <cols>
    <col min="1" max="1" width="28.75" style="1" customWidth="1"/>
    <col min="2" max="7" width="12.25" style="1" customWidth="1"/>
    <col min="8" max="8" width="15.16406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692</v>
      </c>
    </row>
    <row r="3" spans="1:13" x14ac:dyDescent="0.35">
      <c r="A3" s="67"/>
    </row>
    <row r="4" spans="1:13" x14ac:dyDescent="0.35">
      <c r="A4" s="163" t="s">
        <v>693</v>
      </c>
    </row>
    <row r="5" spans="1:13" x14ac:dyDescent="0.35">
      <c r="A5" s="163" t="s">
        <v>694</v>
      </c>
    </row>
    <row r="6" spans="1:13" x14ac:dyDescent="0.35">
      <c r="A6" s="163" t="s">
        <v>695</v>
      </c>
    </row>
    <row r="7" spans="1:13" x14ac:dyDescent="0.35">
      <c r="A7" s="163"/>
    </row>
    <row r="8" spans="1:13" x14ac:dyDescent="0.35">
      <c r="A8" s="2" t="s">
        <v>696</v>
      </c>
    </row>
    <row r="9" spans="1:13" x14ac:dyDescent="0.35">
      <c r="A9" s="163" t="s">
        <v>17</v>
      </c>
    </row>
    <row r="12" spans="1:13" x14ac:dyDescent="0.35">
      <c r="A12" s="1" t="str">
        <f>data!C97</f>
        <v>172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697</v>
      </c>
      <c r="C13" s="274" t="s">
        <v>697</v>
      </c>
      <c r="D13" s="5" t="s">
        <v>698</v>
      </c>
      <c r="E13" s="5" t="s">
        <v>698</v>
      </c>
      <c r="F13" s="3" t="s">
        <v>699</v>
      </c>
      <c r="G13" s="3" t="s">
        <v>699</v>
      </c>
      <c r="H13" s="3" t="s">
        <v>700</v>
      </c>
    </row>
    <row r="14" spans="1:13" x14ac:dyDescent="0.35">
      <c r="A14" s="1" t="s">
        <v>701</v>
      </c>
      <c r="B14" s="274" t="s">
        <v>337</v>
      </c>
      <c r="C14" s="274" t="s">
        <v>337</v>
      </c>
      <c r="D14" s="4" t="s">
        <v>702</v>
      </c>
      <c r="E14" s="4" t="s">
        <v>702</v>
      </c>
      <c r="F14" s="3" t="s">
        <v>703</v>
      </c>
      <c r="G14" s="3" t="s">
        <v>703</v>
      </c>
      <c r="H14" s="3" t="s">
        <v>704</v>
      </c>
      <c r="I14" s="8" t="s">
        <v>705</v>
      </c>
      <c r="J14" s="68" t="s">
        <v>706</v>
      </c>
    </row>
    <row r="15" spans="1:13" x14ac:dyDescent="0.35">
      <c r="A15" s="1" t="s">
        <v>707</v>
      </c>
      <c r="B15" s="274">
        <f>'Prior Year'!C86</f>
        <v>1888316</v>
      </c>
      <c r="C15" s="274">
        <f>data!C85</f>
        <v>2369388</v>
      </c>
      <c r="D15" s="274">
        <f>'Prior Year'!C60</f>
        <v>740</v>
      </c>
      <c r="E15" s="1">
        <f>data!C59</f>
        <v>799</v>
      </c>
      <c r="F15" s="238">
        <f t="shared" ref="F15:F59" si="0">IF(B15=0,"",IF(D15=0,"",B15/D15))</f>
        <v>2551.7783783783784</v>
      </c>
      <c r="G15" s="238">
        <f t="shared" ref="G15:G29" si="1">IF(C15=0,"",IF(E15=0,"",C15/E15))</f>
        <v>2965.4418022528162</v>
      </c>
      <c r="H15" s="6" t="str">
        <f t="shared" ref="H15:H59" si="2">IF(B15=0,"",IF(C15=0,"",IF(D15=0,"",IF(E15=0,"",IF(G15/F15-1&lt;-0.25,G15/F15-1,IF(G15/F15-1&gt;0.25,G15/F15-1,""))))))</f>
        <v/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708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s="341" customFormat="1" x14ac:dyDescent="0.35">
      <c r="A17" s="341" t="s">
        <v>709</v>
      </c>
      <c r="B17" s="342">
        <f>'Prior Year'!E86</f>
        <v>4231635</v>
      </c>
      <c r="C17" s="342">
        <f>data!E85</f>
        <v>5538034</v>
      </c>
      <c r="D17" s="342">
        <f>'Prior Year'!E60</f>
        <v>2735</v>
      </c>
      <c r="E17" s="341">
        <f>data!E59</f>
        <v>2397</v>
      </c>
      <c r="F17" s="343">
        <f t="shared" si="0"/>
        <v>1547.215722120658</v>
      </c>
      <c r="G17" s="343">
        <f t="shared" si="1"/>
        <v>2310.4021693783898</v>
      </c>
      <c r="H17" s="344">
        <f t="shared" si="2"/>
        <v>0.49326440802429716</v>
      </c>
      <c r="I17" s="346" t="s">
        <v>1387</v>
      </c>
      <c r="M17" s="345"/>
    </row>
    <row r="18" spans="1:13" x14ac:dyDescent="0.35">
      <c r="A18" s="1" t="s">
        <v>710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35">
      <c r="A19" s="1" t="s">
        <v>711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35">
      <c r="A20" s="1" t="s">
        <v>712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35">
      <c r="A21" s="1" t="s">
        <v>713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35">
      <c r="A22" s="1" t="s">
        <v>714</v>
      </c>
      <c r="B22" s="274">
        <f>'Prior Year'!J86</f>
        <v>0</v>
      </c>
      <c r="C22" s="274">
        <f>data!J85</f>
        <v>0</v>
      </c>
      <c r="D22" s="274">
        <f>'Prior Year'!J60</f>
        <v>668</v>
      </c>
      <c r="E22" s="1">
        <f>data!J59</f>
        <v>653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4" t="str">
        <f t="shared" si="3"/>
        <v>Please provide explanation for the fluctuation noted here</v>
      </c>
      <c r="M22" s="7"/>
    </row>
    <row r="23" spans="1:13" x14ac:dyDescent="0.35">
      <c r="A23" s="1" t="s">
        <v>715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x14ac:dyDescent="0.35">
      <c r="A24" s="1" t="s">
        <v>716</v>
      </c>
      <c r="B24" s="274">
        <f>'Prior Year'!L86</f>
        <v>0</v>
      </c>
      <c r="C24" s="274">
        <f>data!L85</f>
        <v>0</v>
      </c>
      <c r="D24" s="274">
        <f>'Prior Year'!L60</f>
        <v>64</v>
      </c>
      <c r="E24" s="1">
        <f>data!L59</f>
        <v>17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 t="str">
        <f t="shared" si="3"/>
        <v>Please provide explanation for the fluctuation noted here</v>
      </c>
      <c r="M24" s="7"/>
    </row>
    <row r="25" spans="1:13" x14ac:dyDescent="0.35">
      <c r="A25" s="1" t="s">
        <v>717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35">
      <c r="A26" s="1" t="s">
        <v>718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35">
      <c r="A27" s="1" t="s">
        <v>719</v>
      </c>
      <c r="B27" s="274">
        <f>'Prior Year'!O86</f>
        <v>2865833</v>
      </c>
      <c r="C27" s="274">
        <f>data!O85</f>
        <v>3262429</v>
      </c>
      <c r="D27" s="274">
        <f>'Prior Year'!O60</f>
        <v>0</v>
      </c>
      <c r="E27" s="1">
        <f>data!O59</f>
        <v>359</v>
      </c>
      <c r="F27" s="238" t="str">
        <f t="shared" si="0"/>
        <v/>
      </c>
      <c r="G27" s="238">
        <f t="shared" si="1"/>
        <v>9087.5459610027847</v>
      </c>
      <c r="H27" s="6" t="str">
        <f t="shared" si="2"/>
        <v/>
      </c>
      <c r="I27" s="274" t="str">
        <f t="shared" si="3"/>
        <v>Please provide explanation for the fluctuation noted here</v>
      </c>
      <c r="M27" s="7"/>
    </row>
    <row r="28" spans="1:13" x14ac:dyDescent="0.35">
      <c r="A28" s="1" t="s">
        <v>720</v>
      </c>
      <c r="B28" s="274">
        <f>'Prior Year'!P86</f>
        <v>7719541</v>
      </c>
      <c r="C28" s="274">
        <f>data!P85</f>
        <v>9028490</v>
      </c>
      <c r="D28" s="274">
        <f>'Prior Year'!P60</f>
        <v>240792</v>
      </c>
      <c r="E28" s="1">
        <f>data!P59</f>
        <v>255187</v>
      </c>
      <c r="F28" s="238">
        <f t="shared" si="0"/>
        <v>32.058959599986707</v>
      </c>
      <c r="G28" s="238">
        <f t="shared" si="1"/>
        <v>35.379897878810439</v>
      </c>
      <c r="H28" s="6" t="str">
        <f t="shared" si="2"/>
        <v/>
      </c>
      <c r="I28" s="274" t="str">
        <f t="shared" si="3"/>
        <v>Please provide explanation for the fluctuation noted here</v>
      </c>
      <c r="M28" s="7"/>
    </row>
    <row r="29" spans="1:13" x14ac:dyDescent="0.35">
      <c r="A29" s="1" t="s">
        <v>721</v>
      </c>
      <c r="B29" s="274">
        <f>'Prior Year'!Q86</f>
        <v>29001</v>
      </c>
      <c r="C29" s="274">
        <f>data!Q85</f>
        <v>29908</v>
      </c>
      <c r="D29" s="274">
        <f>'Prior Year'!Q60</f>
        <v>102401</v>
      </c>
      <c r="E29" s="1">
        <f>data!Q59</f>
        <v>109962</v>
      </c>
      <c r="F29" s="238">
        <f t="shared" si="0"/>
        <v>0.28321012490112402</v>
      </c>
      <c r="G29" s="238">
        <f t="shared" si="1"/>
        <v>0.2719848674996817</v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s="341" customFormat="1" x14ac:dyDescent="0.35">
      <c r="A30" s="341" t="s">
        <v>722</v>
      </c>
      <c r="B30" s="342">
        <f>'Prior Year'!R86</f>
        <v>571201</v>
      </c>
      <c r="C30" s="342">
        <f>data!R85</f>
        <v>2105081</v>
      </c>
      <c r="D30" s="342">
        <f>'Prior Year'!R60</f>
        <v>184500</v>
      </c>
      <c r="E30" s="341">
        <f>data!R59</f>
        <v>194100</v>
      </c>
      <c r="F30" s="343">
        <f t="shared" si="0"/>
        <v>3.0959403794037939</v>
      </c>
      <c r="G30" s="343">
        <f>IFERROR(IF(C30=0,"",IF(E30=0,"",C30/E30)),"")</f>
        <v>10.845342606903658</v>
      </c>
      <c r="H30" s="344">
        <f t="shared" si="2"/>
        <v>2.5030850978442354</v>
      </c>
      <c r="I30" s="346" t="s">
        <v>1385</v>
      </c>
      <c r="M30" s="345"/>
    </row>
    <row r="31" spans="1:13" x14ac:dyDescent="0.35">
      <c r="A31" s="1" t="s">
        <v>723</v>
      </c>
      <c r="B31" s="274">
        <f>'Prior Year'!S86</f>
        <v>5081311</v>
      </c>
      <c r="C31" s="274">
        <f>data!S85</f>
        <v>5677871</v>
      </c>
      <c r="D31" s="274" t="s">
        <v>724</v>
      </c>
      <c r="E31" s="4" t="s">
        <v>724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4" t="e">
        <f t="shared" si="3"/>
        <v>#VALUE!</v>
      </c>
      <c r="M31" s="7"/>
    </row>
    <row r="32" spans="1:13" x14ac:dyDescent="0.35">
      <c r="A32" s="1" t="s">
        <v>725</v>
      </c>
      <c r="B32" s="274">
        <f>'Prior Year'!T86</f>
        <v>0</v>
      </c>
      <c r="C32" s="274">
        <f>data!T85</f>
        <v>0</v>
      </c>
      <c r="D32" s="274" t="s">
        <v>724</v>
      </c>
      <c r="E32" s="4" t="s">
        <v>724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>Please provide explanation for the fluctuation noted here</v>
      </c>
      <c r="M32" s="7"/>
    </row>
    <row r="33" spans="1:13" x14ac:dyDescent="0.35">
      <c r="A33" s="1" t="s">
        <v>726</v>
      </c>
      <c r="B33" s="274">
        <f>'Prior Year'!U86</f>
        <v>3239174</v>
      </c>
      <c r="C33" s="274">
        <f>data!U85</f>
        <v>3608965</v>
      </c>
      <c r="D33" s="274">
        <f>'Prior Year'!U60</f>
        <v>129346</v>
      </c>
      <c r="E33" s="1">
        <f>data!U59</f>
        <v>126674</v>
      </c>
      <c r="F33" s="238">
        <f t="shared" si="0"/>
        <v>25.042707157546428</v>
      </c>
      <c r="G33" s="238">
        <f t="shared" ref="G33:G69" si="5">IF(C33=0,"",IF(E33=0,"",C33/E33))</f>
        <v>28.490179515922762</v>
      </c>
      <c r="H33" s="6" t="str">
        <f t="shared" si="2"/>
        <v/>
      </c>
      <c r="I33" s="274" t="str">
        <f t="shared" si="3"/>
        <v>Please provide explanation for the fluctuation noted here</v>
      </c>
      <c r="M33" s="7"/>
    </row>
    <row r="34" spans="1:13" s="341" customFormat="1" x14ac:dyDescent="0.35">
      <c r="A34" s="341" t="s">
        <v>727</v>
      </c>
      <c r="B34" s="342">
        <f>'Prior Year'!V86</f>
        <v>8061</v>
      </c>
      <c r="C34" s="342">
        <f>data!V85</f>
        <v>35375</v>
      </c>
      <c r="D34" s="342">
        <f>'Prior Year'!V60</f>
        <v>3998</v>
      </c>
      <c r="E34" s="341">
        <f>data!V59</f>
        <v>4356</v>
      </c>
      <c r="F34" s="343">
        <f t="shared" si="0"/>
        <v>2.0162581290645321</v>
      </c>
      <c r="G34" s="343">
        <f t="shared" si="5"/>
        <v>8.1209825528007347</v>
      </c>
      <c r="H34" s="344">
        <f t="shared" si="2"/>
        <v>3.0277494412724648</v>
      </c>
      <c r="I34" s="346" t="s">
        <v>1386</v>
      </c>
      <c r="M34" s="345"/>
    </row>
    <row r="35" spans="1:13" x14ac:dyDescent="0.35">
      <c r="A35" s="1" t="s">
        <v>728</v>
      </c>
      <c r="B35" s="274">
        <f>'Prior Year'!W86</f>
        <v>671835</v>
      </c>
      <c r="C35" s="274">
        <f>data!W85</f>
        <v>678959</v>
      </c>
      <c r="D35" s="274">
        <f>'Prior Year'!W60</f>
        <v>2590</v>
      </c>
      <c r="E35" s="1">
        <f>data!W59</f>
        <v>2921</v>
      </c>
      <c r="F35" s="238">
        <f t="shared" si="0"/>
        <v>259.39575289575288</v>
      </c>
      <c r="G35" s="238">
        <f t="shared" si="5"/>
        <v>232.44060253337898</v>
      </c>
      <c r="H35" s="6" t="str">
        <f t="shared" si="2"/>
        <v/>
      </c>
      <c r="I35" s="274" t="str">
        <f t="shared" si="3"/>
        <v>Please provide explanation for the fluctuation noted here</v>
      </c>
      <c r="M35" s="7"/>
    </row>
    <row r="36" spans="1:13" x14ac:dyDescent="0.35">
      <c r="A36" s="1" t="s">
        <v>729</v>
      </c>
      <c r="B36" s="274">
        <f>'Prior Year'!X86</f>
        <v>293664</v>
      </c>
      <c r="C36" s="274">
        <f>data!X85</f>
        <v>335271</v>
      </c>
      <c r="D36" s="274">
        <f>'Prior Year'!X60</f>
        <v>5648</v>
      </c>
      <c r="E36" s="1">
        <f>data!X59</f>
        <v>6130</v>
      </c>
      <c r="F36" s="238">
        <f t="shared" si="0"/>
        <v>51.994334277620396</v>
      </c>
      <c r="G36" s="238">
        <f t="shared" si="5"/>
        <v>54.693474714518757</v>
      </c>
      <c r="H36" s="6" t="str">
        <f t="shared" si="2"/>
        <v/>
      </c>
      <c r="I36" s="274" t="str">
        <f t="shared" si="3"/>
        <v>Please provide explanation for the fluctuation noted here</v>
      </c>
      <c r="M36" s="7"/>
    </row>
    <row r="37" spans="1:13" x14ac:dyDescent="0.35">
      <c r="A37" s="1" t="s">
        <v>730</v>
      </c>
      <c r="B37" s="274">
        <f>'Prior Year'!Y86</f>
        <v>3141821</v>
      </c>
      <c r="C37" s="274">
        <f>data!Y85</f>
        <v>3491968</v>
      </c>
      <c r="D37" s="274">
        <f>'Prior Year'!Y60</f>
        <v>25055</v>
      </c>
      <c r="E37" s="1">
        <f>data!Y59</f>
        <v>25513</v>
      </c>
      <c r="F37" s="238">
        <f t="shared" si="0"/>
        <v>125.3969666733187</v>
      </c>
      <c r="G37" s="238">
        <f t="shared" si="5"/>
        <v>136.87014463214831</v>
      </c>
      <c r="H37" s="6" t="str">
        <f t="shared" si="2"/>
        <v/>
      </c>
      <c r="I37" s="274" t="str">
        <f t="shared" si="3"/>
        <v>Please provide explanation for the fluctuation noted here</v>
      </c>
      <c r="M37" s="7"/>
    </row>
    <row r="38" spans="1:13" x14ac:dyDescent="0.35">
      <c r="A38" s="1" t="s">
        <v>731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35">
      <c r="A39" s="1" t="s">
        <v>732</v>
      </c>
      <c r="B39" s="274">
        <f>'Prior Year'!AA86</f>
        <v>913801</v>
      </c>
      <c r="C39" s="274">
        <f>data!AA85</f>
        <v>940198</v>
      </c>
      <c r="D39" s="274">
        <f>'Prior Year'!AA60</f>
        <v>1146</v>
      </c>
      <c r="E39" s="1">
        <f>data!AA59</f>
        <v>1306</v>
      </c>
      <c r="F39" s="238">
        <f t="shared" si="0"/>
        <v>797.38307155322866</v>
      </c>
      <c r="G39" s="238">
        <f t="shared" si="5"/>
        <v>719.90658499234303</v>
      </c>
      <c r="H39" s="6" t="str">
        <f t="shared" si="2"/>
        <v/>
      </c>
      <c r="I39" s="274" t="str">
        <f t="shared" si="3"/>
        <v>Please provide explanation for the fluctuation noted here</v>
      </c>
      <c r="M39" s="7"/>
    </row>
    <row r="40" spans="1:13" x14ac:dyDescent="0.35">
      <c r="A40" s="1" t="s">
        <v>733</v>
      </c>
      <c r="B40" s="274">
        <f>'Prior Year'!AB86</f>
        <v>4269949</v>
      </c>
      <c r="C40" s="274">
        <f>data!AB85</f>
        <v>5065553</v>
      </c>
      <c r="D40" s="274" t="s">
        <v>724</v>
      </c>
      <c r="E40" s="4" t="s">
        <v>724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4" t="e">
        <f t="shared" si="3"/>
        <v>#VALUE!</v>
      </c>
      <c r="M40" s="7"/>
    </row>
    <row r="41" spans="1:13" s="341" customFormat="1" ht="43.5" x14ac:dyDescent="0.35">
      <c r="A41" s="341" t="s">
        <v>734</v>
      </c>
      <c r="B41" s="342">
        <f>'Prior Year'!AC86</f>
        <v>1249907</v>
      </c>
      <c r="C41" s="342">
        <f>data!AC85</f>
        <v>1294074</v>
      </c>
      <c r="D41" s="342">
        <f>'Prior Year'!AC60</f>
        <v>12709</v>
      </c>
      <c r="E41" s="341">
        <f>data!AC59</f>
        <v>10271</v>
      </c>
      <c r="F41" s="343">
        <f t="shared" si="0"/>
        <v>98.348178456212139</v>
      </c>
      <c r="G41" s="343">
        <f t="shared" si="5"/>
        <v>125.99298997176517</v>
      </c>
      <c r="H41" s="344">
        <f t="shared" si="2"/>
        <v>0.28109124082924852</v>
      </c>
      <c r="I41" s="347" t="s">
        <v>1388</v>
      </c>
      <c r="M41" s="345"/>
    </row>
    <row r="42" spans="1:13" x14ac:dyDescent="0.35">
      <c r="A42" s="1" t="s">
        <v>735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x14ac:dyDescent="0.35">
      <c r="A43" s="1" t="s">
        <v>736</v>
      </c>
      <c r="B43" s="274">
        <f>'Prior Year'!AE86</f>
        <v>4637963</v>
      </c>
      <c r="C43" s="274">
        <f>data!AE85</f>
        <v>5042933</v>
      </c>
      <c r="D43" s="274">
        <f>'Prior Year'!AE60</f>
        <v>36568</v>
      </c>
      <c r="E43" s="1">
        <f>data!AE59</f>
        <v>37279</v>
      </c>
      <c r="F43" s="238">
        <f t="shared" si="0"/>
        <v>126.83119120542551</v>
      </c>
      <c r="G43" s="238">
        <f t="shared" si="5"/>
        <v>135.27543657286944</v>
      </c>
      <c r="H43" s="6" t="str">
        <f t="shared" si="2"/>
        <v/>
      </c>
      <c r="I43" s="274" t="str">
        <f t="shared" si="3"/>
        <v>Please provide explanation for the fluctuation noted here</v>
      </c>
      <c r="M43" s="7"/>
    </row>
    <row r="44" spans="1:13" x14ac:dyDescent="0.35">
      <c r="A44" s="1" t="s">
        <v>737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x14ac:dyDescent="0.35">
      <c r="A45" s="1" t="s">
        <v>738</v>
      </c>
      <c r="B45" s="274">
        <f>'Prior Year'!AG86</f>
        <v>6869543</v>
      </c>
      <c r="C45" s="274">
        <f>data!AG85</f>
        <v>8017025</v>
      </c>
      <c r="D45" s="274">
        <f>'Prior Year'!AG60</f>
        <v>12676</v>
      </c>
      <c r="E45" s="1">
        <f>data!AG59</f>
        <v>14577</v>
      </c>
      <c r="F45" s="238">
        <f t="shared" si="0"/>
        <v>541.93302303565792</v>
      </c>
      <c r="G45" s="238">
        <f t="shared" si="5"/>
        <v>549.97770460314189</v>
      </c>
      <c r="H45" s="6" t="str">
        <f t="shared" si="2"/>
        <v/>
      </c>
      <c r="I45" s="274" t="str">
        <f t="shared" si="3"/>
        <v>Please provide explanation for the fluctuation noted here</v>
      </c>
      <c r="M45" s="7"/>
    </row>
    <row r="46" spans="1:13" x14ac:dyDescent="0.35">
      <c r="A46" s="1" t="s">
        <v>739</v>
      </c>
      <c r="B46" s="274">
        <f>'Prior Year'!AH86</f>
        <v>0</v>
      </c>
      <c r="C46" s="274">
        <f>data!AH85</f>
        <v>123435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>Please provide explanation for the fluctuation noted here</v>
      </c>
      <c r="M46" s="7"/>
    </row>
    <row r="47" spans="1:13" x14ac:dyDescent="0.35">
      <c r="A47" s="1" t="s">
        <v>740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741</v>
      </c>
      <c r="B48" s="274">
        <f>'Prior Year'!AJ86</f>
        <v>93816</v>
      </c>
      <c r="C48" s="274">
        <f>data!AJ85</f>
        <v>102520</v>
      </c>
      <c r="D48" s="274">
        <f>'Prior Year'!AJ60</f>
        <v>405</v>
      </c>
      <c r="E48" s="1">
        <f>data!AJ59</f>
        <v>397</v>
      </c>
      <c r="F48" s="238">
        <f t="shared" si="0"/>
        <v>231.64444444444445</v>
      </c>
      <c r="G48" s="238">
        <f t="shared" si="5"/>
        <v>258.23677581863979</v>
      </c>
      <c r="H48" s="6" t="str">
        <f t="shared" si="2"/>
        <v/>
      </c>
      <c r="I48" s="274" t="str">
        <f t="shared" si="6"/>
        <v>Please provide explanation for the fluctuation noted here</v>
      </c>
      <c r="M48" s="7"/>
    </row>
    <row r="49" spans="1:13" x14ac:dyDescent="0.35">
      <c r="A49" s="1" t="s">
        <v>742</v>
      </c>
      <c r="B49" s="274">
        <f>'Prior Year'!AK86</f>
        <v>0</v>
      </c>
      <c r="C49" s="274">
        <f>data!AK85</f>
        <v>0</v>
      </c>
      <c r="D49" s="274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4" t="str">
        <f t="shared" si="6"/>
        <v>Please provide explanation for the fluctuation noted here</v>
      </c>
      <c r="M49" s="7"/>
    </row>
    <row r="50" spans="1:13" x14ac:dyDescent="0.35">
      <c r="A50" s="1" t="s">
        <v>743</v>
      </c>
      <c r="B50" s="274">
        <f>'Prior Year'!AL86</f>
        <v>0</v>
      </c>
      <c r="C50" s="274">
        <f>data!AL85</f>
        <v>0</v>
      </c>
      <c r="D50" s="274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4" t="str">
        <f t="shared" si="6"/>
        <v>Please provide explanation for the fluctuation noted here</v>
      </c>
      <c r="M50" s="7"/>
    </row>
    <row r="51" spans="1:13" x14ac:dyDescent="0.35">
      <c r="A51" s="1" t="s">
        <v>744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35">
      <c r="A52" s="1" t="s">
        <v>745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x14ac:dyDescent="0.35">
      <c r="A53" s="1" t="s">
        <v>746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4" t="str">
        <f t="shared" si="6"/>
        <v>Please provide explanation for the fluctuation noted here</v>
      </c>
      <c r="M53" s="7"/>
    </row>
    <row r="54" spans="1:13" x14ac:dyDescent="0.35">
      <c r="A54" s="1" t="s">
        <v>747</v>
      </c>
      <c r="B54" s="274">
        <f>'Prior Year'!AP86</f>
        <v>1156619</v>
      </c>
      <c r="C54" s="274">
        <f>data!AP85</f>
        <v>62514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4" t="str">
        <f t="shared" si="6"/>
        <v>Please provide explanation for the fluctuation noted here</v>
      </c>
      <c r="M54" s="7"/>
    </row>
    <row r="55" spans="1:13" x14ac:dyDescent="0.35">
      <c r="A55" s="1" t="s">
        <v>748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35">
      <c r="A56" s="1" t="s">
        <v>749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35">
      <c r="A57" s="1" t="s">
        <v>750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35">
      <c r="A58" s="1" t="s">
        <v>751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35">
      <c r="A59" s="1" t="s">
        <v>752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35">
      <c r="A60" s="1" t="s">
        <v>753</v>
      </c>
      <c r="B60" s="274">
        <f>'Prior Year'!AV86</f>
        <v>24612</v>
      </c>
      <c r="C60" s="274">
        <f>data!AV85</f>
        <v>320458</v>
      </c>
      <c r="D60" s="274" t="s">
        <v>724</v>
      </c>
      <c r="E60" s="4" t="s">
        <v>724</v>
      </c>
      <c r="F60" s="238"/>
      <c r="G60" s="238"/>
      <c r="H60" s="6"/>
      <c r="I60" s="274" t="str">
        <f t="shared" si="6"/>
        <v/>
      </c>
      <c r="M60" s="7"/>
    </row>
    <row r="61" spans="1:13" x14ac:dyDescent="0.35">
      <c r="A61" s="1" t="s">
        <v>754</v>
      </c>
      <c r="B61" s="274">
        <f>'Prior Year'!AW86</f>
        <v>0</v>
      </c>
      <c r="C61" s="274">
        <f>data!AW85</f>
        <v>0</v>
      </c>
      <c r="D61" s="274" t="s">
        <v>724</v>
      </c>
      <c r="E61" s="4" t="s">
        <v>724</v>
      </c>
      <c r="F61" s="238"/>
      <c r="G61" s="238"/>
      <c r="H61" s="6"/>
      <c r="I61" s="274" t="str">
        <f t="shared" si="6"/>
        <v/>
      </c>
      <c r="M61" s="7"/>
    </row>
    <row r="62" spans="1:13" x14ac:dyDescent="0.35">
      <c r="A62" s="1" t="s">
        <v>755</v>
      </c>
      <c r="B62" s="274">
        <f>'Prior Year'!AX86</f>
        <v>0</v>
      </c>
      <c r="C62" s="274">
        <f>data!AX85</f>
        <v>0</v>
      </c>
      <c r="D62" s="274" t="s">
        <v>724</v>
      </c>
      <c r="E62" s="4" t="s">
        <v>724</v>
      </c>
      <c r="F62" s="238"/>
      <c r="G62" s="238"/>
      <c r="H62" s="6"/>
      <c r="I62" s="274" t="str">
        <f t="shared" si="6"/>
        <v/>
      </c>
      <c r="M62" s="7"/>
    </row>
    <row r="63" spans="1:13" x14ac:dyDescent="0.35">
      <c r="A63" s="1" t="s">
        <v>756</v>
      </c>
      <c r="B63" s="274">
        <f>'Prior Year'!AY86</f>
        <v>1557062</v>
      </c>
      <c r="C63" s="274">
        <f>data!AY85</f>
        <v>1185702</v>
      </c>
      <c r="D63" s="274">
        <f>'Prior Year'!AY60</f>
        <v>22460</v>
      </c>
      <c r="E63" s="1">
        <f>data!AY59</f>
        <v>18015</v>
      </c>
      <c r="F63" s="238">
        <f>IF(B63=0,"",IF(D63=0,"",B63/D63))</f>
        <v>69.326001780943898</v>
      </c>
      <c r="G63" s="238">
        <f t="shared" si="5"/>
        <v>65.81748542880932</v>
      </c>
      <c r="H63" s="6" t="str">
        <f>IF(B63=0,"",IF(C63=0,"",IF(D63=0,"",IF(E63=0,"",IF(G63/F63-1&lt;-0.25,G63/F63-1,IF(G63/F63-1&gt;0.25,G63/F63-1,""))))))</f>
        <v/>
      </c>
      <c r="I63" s="274" t="str">
        <f t="shared" si="6"/>
        <v>Please provide explanation for the fluctuation noted here</v>
      </c>
      <c r="M63" s="7"/>
    </row>
    <row r="64" spans="1:13" x14ac:dyDescent="0.35">
      <c r="A64" s="1" t="s">
        <v>757</v>
      </c>
      <c r="B64" s="274">
        <f>'Prior Year'!AZ86</f>
        <v>-317597</v>
      </c>
      <c r="C64" s="274">
        <f>data!AZ85</f>
        <v>0</v>
      </c>
      <c r="D64" s="274">
        <f>'Prior Year'!AZ60</f>
        <v>50279</v>
      </c>
      <c r="E64" s="1">
        <f>data!AZ59</f>
        <v>55697</v>
      </c>
      <c r="F64" s="238">
        <f>IF(B64=0,"",IF(D64=0,"",B64/D64))</f>
        <v>-6.3166928538753755</v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35">
      <c r="A65" s="1" t="s">
        <v>758</v>
      </c>
      <c r="B65" s="274">
        <f>'Prior Year'!BA86</f>
        <v>282492</v>
      </c>
      <c r="C65" s="274">
        <f>data!BA85</f>
        <v>305983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35">
      <c r="A66" s="1" t="s">
        <v>759</v>
      </c>
      <c r="B66" s="274">
        <f>'Prior Year'!BB86</f>
        <v>631251</v>
      </c>
      <c r="C66" s="274">
        <f>data!BB85</f>
        <v>684359</v>
      </c>
      <c r="D66" s="274" t="s">
        <v>724</v>
      </c>
      <c r="E66" s="4" t="s">
        <v>724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35">
      <c r="A67" s="1" t="s">
        <v>760</v>
      </c>
      <c r="B67" s="274">
        <f>'Prior Year'!BC86</f>
        <v>0</v>
      </c>
      <c r="C67" s="274">
        <f>data!BC85</f>
        <v>0</v>
      </c>
      <c r="D67" s="274" t="s">
        <v>724</v>
      </c>
      <c r="E67" s="4" t="s">
        <v>724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35">
      <c r="A68" s="1" t="s">
        <v>761</v>
      </c>
      <c r="B68" s="274">
        <f>'Prior Year'!BD86</f>
        <v>618543</v>
      </c>
      <c r="C68" s="274">
        <f>data!BD85</f>
        <v>682939</v>
      </c>
      <c r="D68" s="274" t="s">
        <v>724</v>
      </c>
      <c r="E68" s="4" t="s">
        <v>724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35">
      <c r="A69" s="1" t="s">
        <v>762</v>
      </c>
      <c r="B69" s="274">
        <f>'Prior Year'!BE86</f>
        <v>1684684</v>
      </c>
      <c r="C69" s="274">
        <f>data!BE85</f>
        <v>1895014</v>
      </c>
      <c r="D69" s="274">
        <f>'Prior Year'!BE60</f>
        <v>127457</v>
      </c>
      <c r="E69" s="1">
        <f>data!BE59</f>
        <v>127457</v>
      </c>
      <c r="F69" s="238">
        <f>IF(B69=0,"",IF(D69=0,"",B69/D69))</f>
        <v>13.217665565641745</v>
      </c>
      <c r="G69" s="238">
        <f t="shared" si="5"/>
        <v>14.867869163717959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35">
      <c r="A70" s="1" t="s">
        <v>763</v>
      </c>
      <c r="B70" s="274">
        <f>'Prior Year'!BF86</f>
        <v>922574</v>
      </c>
      <c r="C70" s="274">
        <f>data!BF85</f>
        <v>990855</v>
      </c>
      <c r="D70" s="274" t="s">
        <v>724</v>
      </c>
      <c r="E70" s="4" t="s">
        <v>724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35">
      <c r="A71" s="1" t="s">
        <v>764</v>
      </c>
      <c r="B71" s="274">
        <f>'Prior Year'!BG86</f>
        <v>0</v>
      </c>
      <c r="C71" s="274">
        <f>data!BG85</f>
        <v>0</v>
      </c>
      <c r="D71" s="274" t="s">
        <v>724</v>
      </c>
      <c r="E71" s="4" t="s">
        <v>724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35">
      <c r="A72" s="1" t="s">
        <v>765</v>
      </c>
      <c r="B72" s="274">
        <f>'Prior Year'!BH86</f>
        <v>2052181</v>
      </c>
      <c r="C72" s="274">
        <f>data!BH85</f>
        <v>2624037</v>
      </c>
      <c r="D72" s="274" t="s">
        <v>724</v>
      </c>
      <c r="E72" s="4" t="s">
        <v>724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35">
      <c r="A73" s="1" t="s">
        <v>766</v>
      </c>
      <c r="B73" s="274">
        <f>'Prior Year'!BI86</f>
        <v>839837</v>
      </c>
      <c r="C73" s="274">
        <f>data!BI85</f>
        <v>966035</v>
      </c>
      <c r="D73" s="274" t="s">
        <v>724</v>
      </c>
      <c r="E73" s="4" t="s">
        <v>724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35">
      <c r="A74" s="1" t="s">
        <v>767</v>
      </c>
      <c r="B74" s="274">
        <f>'Prior Year'!BJ86</f>
        <v>0</v>
      </c>
      <c r="C74" s="274">
        <f>data!BJ85</f>
        <v>0</v>
      </c>
      <c r="D74" s="274" t="s">
        <v>724</v>
      </c>
      <c r="E74" s="4" t="s">
        <v>724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35">
      <c r="A75" s="1" t="s">
        <v>768</v>
      </c>
      <c r="B75" s="274">
        <f>'Prior Year'!BK86</f>
        <v>1507272</v>
      </c>
      <c r="C75" s="274">
        <f>data!BK85</f>
        <v>1555989</v>
      </c>
      <c r="D75" s="274" t="s">
        <v>724</v>
      </c>
      <c r="E75" s="4" t="s">
        <v>724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35">
      <c r="A76" s="1" t="s">
        <v>769</v>
      </c>
      <c r="B76" s="274">
        <f>'Prior Year'!BL86</f>
        <v>668454</v>
      </c>
      <c r="C76" s="274">
        <f>data!BL85</f>
        <v>820853</v>
      </c>
      <c r="D76" s="274" t="s">
        <v>724</v>
      </c>
      <c r="E76" s="4" t="s">
        <v>724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35">
      <c r="A77" s="1" t="s">
        <v>770</v>
      </c>
      <c r="B77" s="274">
        <f>'Prior Year'!BM86</f>
        <v>-1145580</v>
      </c>
      <c r="C77" s="274">
        <f>data!BM85</f>
        <v>426997</v>
      </c>
      <c r="D77" s="274" t="s">
        <v>724</v>
      </c>
      <c r="E77" s="4" t="s">
        <v>724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35">
      <c r="A78" s="1" t="s">
        <v>771</v>
      </c>
      <c r="B78" s="274">
        <f>'Prior Year'!BN86</f>
        <v>1281668</v>
      </c>
      <c r="C78" s="274">
        <f>data!BN85</f>
        <v>1988963</v>
      </c>
      <c r="D78" s="274" t="s">
        <v>724</v>
      </c>
      <c r="E78" s="4" t="s">
        <v>724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35">
      <c r="A79" s="1" t="s">
        <v>772</v>
      </c>
      <c r="B79" s="274">
        <f>'Prior Year'!BO86</f>
        <v>117836</v>
      </c>
      <c r="C79" s="274">
        <f>data!BO85</f>
        <v>422871</v>
      </c>
      <c r="D79" s="274" t="s">
        <v>724</v>
      </c>
      <c r="E79" s="4" t="s">
        <v>724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773</v>
      </c>
      <c r="B80" s="274">
        <f>'Prior Year'!BP86</f>
        <v>836560</v>
      </c>
      <c r="C80" s="274">
        <f>data!BP85</f>
        <v>986833</v>
      </c>
      <c r="D80" s="274" t="s">
        <v>724</v>
      </c>
      <c r="E80" s="4" t="s">
        <v>724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35">
      <c r="A81" s="1" t="s">
        <v>774</v>
      </c>
      <c r="B81" s="274">
        <f>'Prior Year'!BQ86</f>
        <v>0</v>
      </c>
      <c r="C81" s="274">
        <f>data!BQ85</f>
        <v>0</v>
      </c>
      <c r="D81" s="274" t="s">
        <v>724</v>
      </c>
      <c r="E81" s="4" t="s">
        <v>724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35">
      <c r="A82" s="1" t="s">
        <v>775</v>
      </c>
      <c r="B82" s="274">
        <f>'Prior Year'!BR86</f>
        <v>908204</v>
      </c>
      <c r="C82" s="274">
        <f>data!BR85</f>
        <v>1131156</v>
      </c>
      <c r="D82" s="274" t="s">
        <v>724</v>
      </c>
      <c r="E82" s="4" t="s">
        <v>724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35">
      <c r="A83" s="1" t="s">
        <v>776</v>
      </c>
      <c r="B83" s="274">
        <f>'Prior Year'!BS86</f>
        <v>84598</v>
      </c>
      <c r="C83" s="274">
        <f>data!BS85</f>
        <v>33011</v>
      </c>
      <c r="D83" s="274" t="s">
        <v>724</v>
      </c>
      <c r="E83" s="4" t="s">
        <v>724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35">
      <c r="A84" s="1" t="s">
        <v>777</v>
      </c>
      <c r="B84" s="274">
        <f>'Prior Year'!BT86</f>
        <v>0</v>
      </c>
      <c r="C84" s="274">
        <f>data!BT85</f>
        <v>0</v>
      </c>
      <c r="D84" s="274" t="s">
        <v>724</v>
      </c>
      <c r="E84" s="4" t="s">
        <v>724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35">
      <c r="A85" s="1" t="s">
        <v>778</v>
      </c>
      <c r="B85" s="274">
        <f>'Prior Year'!BU86</f>
        <v>0</v>
      </c>
      <c r="C85" s="274">
        <f>data!BU85</f>
        <v>0</v>
      </c>
      <c r="D85" s="274" t="s">
        <v>724</v>
      </c>
      <c r="E85" s="4" t="s">
        <v>724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35">
      <c r="A86" s="1" t="s">
        <v>779</v>
      </c>
      <c r="B86" s="274">
        <f>'Prior Year'!BV86</f>
        <v>642319</v>
      </c>
      <c r="C86" s="274">
        <f>data!BV85</f>
        <v>699465</v>
      </c>
      <c r="D86" s="274" t="s">
        <v>724</v>
      </c>
      <c r="E86" s="4" t="s">
        <v>724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35">
      <c r="A87" s="1" t="s">
        <v>780</v>
      </c>
      <c r="B87" s="274">
        <f>'Prior Year'!BW86</f>
        <v>1960326</v>
      </c>
      <c r="C87" s="274">
        <f>data!BW85</f>
        <v>754531</v>
      </c>
      <c r="D87" s="274" t="s">
        <v>724</v>
      </c>
      <c r="E87" s="4" t="s">
        <v>724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35">
      <c r="A88" s="1" t="s">
        <v>781</v>
      </c>
      <c r="B88" s="274">
        <f>'Prior Year'!BX86</f>
        <v>348572</v>
      </c>
      <c r="C88" s="274">
        <f>data!BX85</f>
        <v>501441</v>
      </c>
      <c r="D88" s="274" t="s">
        <v>724</v>
      </c>
      <c r="E88" s="4" t="s">
        <v>724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35">
      <c r="A89" s="1" t="s">
        <v>782</v>
      </c>
      <c r="B89" s="274">
        <f>'Prior Year'!BY86</f>
        <v>1117885</v>
      </c>
      <c r="C89" s="274">
        <f>data!BY85</f>
        <v>1299503</v>
      </c>
      <c r="D89" s="274" t="s">
        <v>724</v>
      </c>
      <c r="E89" s="4" t="s">
        <v>724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35">
      <c r="A90" s="1" t="s">
        <v>783</v>
      </c>
      <c r="B90" s="274">
        <f>'Prior Year'!BZ86</f>
        <v>0</v>
      </c>
      <c r="C90" s="274">
        <f>data!BZ85</f>
        <v>0</v>
      </c>
      <c r="D90" s="274" t="s">
        <v>724</v>
      </c>
      <c r="E90" s="4" t="s">
        <v>724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35">
      <c r="A91" s="1" t="s">
        <v>784</v>
      </c>
      <c r="B91" s="274">
        <f>'Prior Year'!CA86</f>
        <v>0</v>
      </c>
      <c r="C91" s="274">
        <f>data!CA85</f>
        <v>0</v>
      </c>
      <c r="D91" s="274" t="s">
        <v>724</v>
      </c>
      <c r="E91" s="4" t="s">
        <v>724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35">
      <c r="A92" s="1" t="s">
        <v>785</v>
      </c>
      <c r="B92" s="274">
        <f>'Prior Year'!CB86</f>
        <v>0</v>
      </c>
      <c r="C92" s="274">
        <f>data!CB85</f>
        <v>0</v>
      </c>
      <c r="D92" s="274" t="s">
        <v>724</v>
      </c>
      <c r="E92" s="4" t="s">
        <v>724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35">
      <c r="A93" s="1" t="s">
        <v>786</v>
      </c>
      <c r="B93" s="274">
        <f>'Prior Year'!CC86</f>
        <v>558180</v>
      </c>
      <c r="C93" s="274">
        <f>data!CC85</f>
        <v>937988</v>
      </c>
      <c r="D93" s="274" t="s">
        <v>724</v>
      </c>
      <c r="E93" s="4" t="s">
        <v>724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35">
      <c r="A94" s="1" t="s">
        <v>787</v>
      </c>
      <c r="B94" s="274">
        <f>'Prior Year'!CD86</f>
        <v>1451513</v>
      </c>
      <c r="C94" s="274">
        <f>data!CD85</f>
        <v>-7430425</v>
      </c>
      <c r="D94" s="274" t="s">
        <v>724</v>
      </c>
      <c r="E94" s="4" t="s">
        <v>724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Q35"/>
  <sheetViews>
    <sheetView workbookViewId="0">
      <selection activeCell="D29" sqref="D29:L29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3.5" style="12" customWidth="1"/>
    <col min="5" max="6" width="8.6640625" style="12" customWidth="1"/>
    <col min="7" max="16384" width="8.6640625" style="12"/>
  </cols>
  <sheetData>
    <row r="1" spans="1:17" x14ac:dyDescent="0.35">
      <c r="A1" s="329" t="s">
        <v>1347</v>
      </c>
    </row>
    <row r="3" spans="1:17" x14ac:dyDescent="0.35">
      <c r="A3" s="11" t="s">
        <v>788</v>
      </c>
    </row>
    <row r="4" spans="1:17" x14ac:dyDescent="0.35">
      <c r="A4" s="327" t="s">
        <v>1345</v>
      </c>
    </row>
    <row r="5" spans="1:17" x14ac:dyDescent="0.35">
      <c r="A5" s="328" t="s">
        <v>1343</v>
      </c>
    </row>
    <row r="6" spans="1:17" x14ac:dyDescent="0.35">
      <c r="A6" s="326"/>
    </row>
    <row r="7" spans="1:17" x14ac:dyDescent="0.35">
      <c r="A7" s="327" t="s">
        <v>1346</v>
      </c>
    </row>
    <row r="8" spans="1:17" x14ac:dyDescent="0.35">
      <c r="A8" s="328" t="s">
        <v>1344</v>
      </c>
    </row>
    <row r="11" spans="1:17" x14ac:dyDescent="0.35">
      <c r="A11" s="13" t="s">
        <v>789</v>
      </c>
      <c r="D11" s="275">
        <f>data!C380</f>
        <v>712834</v>
      </c>
    </row>
    <row r="12" spans="1:17" x14ac:dyDescent="0.35">
      <c r="A12" s="13" t="s">
        <v>790</v>
      </c>
      <c r="D12" s="275" t="str">
        <f>IF(OR(data!C380&gt;1000000,data!C380/(data!D360+data!D383)&gt;0.01),"Yes","No")</f>
        <v>No</v>
      </c>
    </row>
    <row r="14" spans="1:17" x14ac:dyDescent="0.35">
      <c r="A14" s="13" t="s">
        <v>791</v>
      </c>
      <c r="D14" s="14" t="s">
        <v>792</v>
      </c>
    </row>
    <row r="15" spans="1:17" x14ac:dyDescent="0.35">
      <c r="A15" s="12" t="s">
        <v>480</v>
      </c>
      <c r="D15" s="350" t="s">
        <v>1382</v>
      </c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</row>
    <row r="16" spans="1:17" x14ac:dyDescent="0.35">
      <c r="A16" s="12" t="s">
        <v>793</v>
      </c>
      <c r="D16" s="15"/>
    </row>
    <row r="17" spans="1:12" x14ac:dyDescent="0.35">
      <c r="A17" s="12" t="s">
        <v>793</v>
      </c>
      <c r="D17" s="15"/>
    </row>
    <row r="18" spans="1:12" x14ac:dyDescent="0.35">
      <c r="A18" s="12" t="s">
        <v>793</v>
      </c>
      <c r="D18" s="15"/>
    </row>
    <row r="19" spans="1:12" x14ac:dyDescent="0.35">
      <c r="A19" s="12" t="s">
        <v>793</v>
      </c>
      <c r="D19" s="15"/>
    </row>
    <row r="20" spans="1:12" x14ac:dyDescent="0.35">
      <c r="A20" s="12" t="s">
        <v>793</v>
      </c>
      <c r="D20" s="15"/>
    </row>
    <row r="21" spans="1:12" x14ac:dyDescent="0.35">
      <c r="A21" s="12" t="s">
        <v>793</v>
      </c>
      <c r="D21" s="15"/>
    </row>
    <row r="25" spans="1:12" x14ac:dyDescent="0.35">
      <c r="A25" s="13" t="s">
        <v>794</v>
      </c>
      <c r="D25" s="276">
        <f>data!C414</f>
        <v>648817</v>
      </c>
    </row>
    <row r="26" spans="1:12" x14ac:dyDescent="0.35">
      <c r="A26" s="13" t="s">
        <v>790</v>
      </c>
      <c r="D26" s="276" t="str">
        <f>IF(OR(data!C414&gt;1000000,data!C414/(data!D416)&gt;0.01),"Yes","No")</f>
        <v>No</v>
      </c>
    </row>
    <row r="28" spans="1:12" x14ac:dyDescent="0.35">
      <c r="A28" s="13" t="s">
        <v>791</v>
      </c>
      <c r="D28" s="14" t="s">
        <v>792</v>
      </c>
    </row>
    <row r="29" spans="1:12" x14ac:dyDescent="0.35">
      <c r="A29" s="12" t="s">
        <v>795</v>
      </c>
      <c r="D29" s="350" t="s">
        <v>1381</v>
      </c>
      <c r="E29" s="351"/>
      <c r="F29" s="351"/>
      <c r="G29" s="351"/>
      <c r="H29" s="351"/>
      <c r="I29" s="351"/>
      <c r="J29" s="351"/>
      <c r="K29" s="351"/>
      <c r="L29" s="351"/>
    </row>
    <row r="30" spans="1:12" x14ac:dyDescent="0.35">
      <c r="A30" s="12" t="s">
        <v>795</v>
      </c>
      <c r="D30" s="15"/>
    </row>
    <row r="31" spans="1:12" x14ac:dyDescent="0.35">
      <c r="A31" s="12" t="s">
        <v>795</v>
      </c>
      <c r="D31" s="15"/>
    </row>
    <row r="32" spans="1:12" x14ac:dyDescent="0.35">
      <c r="A32" s="12" t="s">
        <v>795</v>
      </c>
      <c r="D32" s="15"/>
    </row>
    <row r="33" spans="1:4" x14ac:dyDescent="0.35">
      <c r="A33" s="12" t="s">
        <v>795</v>
      </c>
      <c r="D33" s="15"/>
    </row>
    <row r="34" spans="1:4" x14ac:dyDescent="0.35">
      <c r="A34" s="12" t="s">
        <v>795</v>
      </c>
      <c r="D34" s="15"/>
    </row>
    <row r="35" spans="1:4" x14ac:dyDescent="0.35">
      <c r="A35" s="12" t="s">
        <v>795</v>
      </c>
      <c r="D35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13"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796</v>
      </c>
    </row>
    <row r="2" spans="1:7" ht="20.149999999999999" customHeight="1" x14ac:dyDescent="0.35">
      <c r="A2" s="76" t="s">
        <v>797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H-172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Public Hospital District #1-A of Whitman County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Whitman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798</v>
      </c>
      <c r="C7" s="81"/>
      <c r="D7" s="78" t="str">
        <f>"  "&amp;data!C103</f>
        <v xml:space="preserve">  99163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799</v>
      </c>
      <c r="C8" s="81"/>
      <c r="D8" s="78" t="str">
        <f>"  "&amp;data!C104</f>
        <v xml:space="preserve">  Matthew Forge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800</v>
      </c>
      <c r="C9" s="81"/>
      <c r="D9" s="78" t="str">
        <f>"  "&amp;data!C105</f>
        <v xml:space="preserve">  Steven D Febus 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801</v>
      </c>
      <c r="C10" s="81"/>
      <c r="D10" s="78" t="str">
        <f>"  "&amp;data!C107</f>
        <v xml:space="preserve">  509-332-2541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802</v>
      </c>
      <c r="C11" s="81"/>
      <c r="D11" s="78" t="str">
        <f>"  "&amp;data!C108</f>
        <v xml:space="preserve">  509-332-4242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803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804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805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806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807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808</v>
      </c>
      <c r="C23" s="78"/>
      <c r="D23" s="78"/>
      <c r="E23" s="78"/>
      <c r="F23" s="77">
        <f>data!C127</f>
        <v>1072</v>
      </c>
      <c r="G23" s="81">
        <f>data!D127</f>
        <v>3196</v>
      </c>
    </row>
    <row r="24" spans="1:7" ht="20.149999999999999" customHeight="1" x14ac:dyDescent="0.35">
      <c r="A24" s="77"/>
      <c r="B24" s="78" t="s">
        <v>809</v>
      </c>
      <c r="C24" s="78"/>
      <c r="D24" s="78"/>
      <c r="E24" s="78"/>
      <c r="F24" s="77">
        <f>data!C128</f>
        <v>3</v>
      </c>
      <c r="G24" s="81">
        <f>data!D128</f>
        <v>17</v>
      </c>
    </row>
    <row r="25" spans="1:7" ht="20.149999999999999" customHeight="1" x14ac:dyDescent="0.35">
      <c r="A25" s="77"/>
      <c r="B25" s="78" t="s">
        <v>810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359</v>
      </c>
      <c r="G26" s="81">
        <f>data!D130</f>
        <v>653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811</v>
      </c>
      <c r="C29" s="81"/>
      <c r="D29" s="93" t="s">
        <v>179</v>
      </c>
      <c r="E29" s="97" t="s">
        <v>811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2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812</v>
      </c>
      <c r="C31" s="81"/>
      <c r="D31" s="81">
        <f>data!C133</f>
        <v>0</v>
      </c>
      <c r="E31" s="78" t="s">
        <v>322</v>
      </c>
      <c r="F31" s="81"/>
      <c r="G31" s="81">
        <f>data!C140</f>
        <v>2</v>
      </c>
    </row>
    <row r="32" spans="1:7" ht="20.149999999999999" customHeight="1" x14ac:dyDescent="0.35">
      <c r="A32" s="77"/>
      <c r="B32" s="97" t="s">
        <v>813</v>
      </c>
      <c r="C32" s="81"/>
      <c r="D32" s="81">
        <f>data!C134</f>
        <v>13</v>
      </c>
      <c r="E32" s="78" t="s">
        <v>814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815</v>
      </c>
      <c r="C33" s="81"/>
      <c r="D33" s="81">
        <f>data!C135</f>
        <v>0</v>
      </c>
      <c r="E33" s="78" t="s">
        <v>816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817</v>
      </c>
      <c r="C34" s="81"/>
      <c r="D34" s="81">
        <f>data!C136</f>
        <v>8</v>
      </c>
      <c r="E34" s="78" t="s">
        <v>324</v>
      </c>
      <c r="F34" s="81"/>
      <c r="G34" s="81">
        <f>data!E143</f>
        <v>25</v>
      </c>
    </row>
    <row r="35" spans="1:7" ht="20.149999999999999" customHeight="1" x14ac:dyDescent="0.35">
      <c r="A35" s="77"/>
      <c r="B35" s="97" t="s">
        <v>818</v>
      </c>
      <c r="C35" s="81"/>
      <c r="D35" s="81">
        <f>data!C137</f>
        <v>0</v>
      </c>
      <c r="E35" s="78" t="s">
        <v>819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42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8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820</v>
      </c>
      <c r="C40" s="105" t="s">
        <v>284</v>
      </c>
      <c r="D40" s="86">
        <f>data!C147</f>
        <v>23803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821</v>
      </c>
      <c r="G1" s="75" t="s">
        <v>822</v>
      </c>
    </row>
    <row r="2" spans="1:7" ht="20.149999999999999" customHeight="1" x14ac:dyDescent="0.35">
      <c r="A2" s="1" t="str">
        <f>"Hospital: "&amp;data!C98</f>
        <v>Hospital: Public Hospital District #1-A of Whitman County</v>
      </c>
      <c r="G2" s="4" t="s">
        <v>823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824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825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826</v>
      </c>
      <c r="B6" s="93" t="s">
        <v>309</v>
      </c>
      <c r="C6" s="93" t="s">
        <v>827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425</v>
      </c>
      <c r="C7" s="141">
        <f>data!B155</f>
        <v>1530</v>
      </c>
      <c r="D7" s="141">
        <f>data!B156</f>
        <v>25810.5</v>
      </c>
      <c r="E7" s="141">
        <f>data!B157</f>
        <v>12682464</v>
      </c>
      <c r="F7" s="141">
        <f>data!B158</f>
        <v>49173640</v>
      </c>
      <c r="G7" s="141">
        <f>data!B157+data!B158</f>
        <v>61856104</v>
      </c>
    </row>
    <row r="8" spans="1:7" ht="20.149999999999999" customHeight="1" x14ac:dyDescent="0.35">
      <c r="A8" s="77" t="s">
        <v>331</v>
      </c>
      <c r="B8" s="141">
        <f>data!C154</f>
        <v>259</v>
      </c>
      <c r="C8" s="141">
        <f>data!C155</f>
        <v>664</v>
      </c>
      <c r="D8" s="141">
        <f>data!C156</f>
        <v>11107</v>
      </c>
      <c r="E8" s="141">
        <f>data!C157</f>
        <v>3533733</v>
      </c>
      <c r="F8" s="141">
        <f>data!C158</f>
        <v>19300249</v>
      </c>
      <c r="G8" s="141">
        <f>data!C157+data!C158</f>
        <v>22833982</v>
      </c>
    </row>
    <row r="9" spans="1:7" ht="20.149999999999999" customHeight="1" x14ac:dyDescent="0.35">
      <c r="A9" s="77" t="s">
        <v>828</v>
      </c>
      <c r="B9" s="141">
        <f>data!D154</f>
        <v>388</v>
      </c>
      <c r="C9" s="141">
        <f>data!D155</f>
        <v>1672</v>
      </c>
      <c r="D9" s="141">
        <f>data!D156</f>
        <v>49117</v>
      </c>
      <c r="E9" s="141">
        <f>data!D157</f>
        <v>9953521</v>
      </c>
      <c r="F9" s="141">
        <f>data!D158</f>
        <v>75123622</v>
      </c>
      <c r="G9" s="141">
        <f>data!D157+data!D158</f>
        <v>85077143</v>
      </c>
    </row>
    <row r="10" spans="1:7" ht="20.149999999999999" customHeight="1" x14ac:dyDescent="0.35">
      <c r="A10" s="92" t="s">
        <v>215</v>
      </c>
      <c r="B10" s="141">
        <f>data!E154</f>
        <v>1072</v>
      </c>
      <c r="C10" s="141">
        <f>data!E155</f>
        <v>3866</v>
      </c>
      <c r="D10" s="141">
        <f>data!E156</f>
        <v>86034.5</v>
      </c>
      <c r="E10" s="141">
        <f>data!E157</f>
        <v>26169718</v>
      </c>
      <c r="F10" s="141">
        <f>data!E158</f>
        <v>143597511</v>
      </c>
      <c r="G10" s="141">
        <f>E10+F10</f>
        <v>169767229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829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825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826</v>
      </c>
      <c r="B15" s="93" t="s">
        <v>309</v>
      </c>
      <c r="C15" s="93" t="s">
        <v>827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3</v>
      </c>
      <c r="C16" s="141">
        <f>data!B161</f>
        <v>17</v>
      </c>
      <c r="D16" s="141">
        <f>data!B162</f>
        <v>0</v>
      </c>
      <c r="E16" s="141">
        <f>data!B163</f>
        <v>23803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828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3</v>
      </c>
      <c r="C19" s="141">
        <f>data!E161</f>
        <v>17</v>
      </c>
      <c r="D19" s="141">
        <f>data!E162</f>
        <v>0</v>
      </c>
      <c r="E19" s="141">
        <f>data!E163</f>
        <v>23803</v>
      </c>
      <c r="F19" s="141">
        <f>data!E164</f>
        <v>0</v>
      </c>
      <c r="G19" s="141">
        <f>data!E163+data!E164</f>
        <v>23803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830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825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826</v>
      </c>
      <c r="B24" s="93" t="s">
        <v>309</v>
      </c>
      <c r="C24" s="93" t="s">
        <v>827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828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831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832</v>
      </c>
      <c r="C32" s="153">
        <f>data!B173</f>
        <v>7526138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833</v>
      </c>
      <c r="C33" s="149">
        <f>data!C173</f>
        <v>6650057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834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Public Hospital District #1-A of Whitman County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835</v>
      </c>
      <c r="C6" s="77">
        <f>data!C181</f>
        <v>2490634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282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175088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4755038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23078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983338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159048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922977.74</v>
      </c>
    </row>
    <row r="14" spans="1:3" ht="20.149999999999999" customHeight="1" x14ac:dyDescent="0.35">
      <c r="A14" s="158">
        <v>10</v>
      </c>
      <c r="B14" s="78" t="s">
        <v>836</v>
      </c>
      <c r="C14" s="77">
        <f>data!D189</f>
        <v>9509483.7400000002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837</v>
      </c>
      <c r="C18" s="77">
        <f>data!C191</f>
        <v>352500</v>
      </c>
    </row>
    <row r="19" spans="1:3" ht="20.149999999999999" customHeight="1" x14ac:dyDescent="0.35">
      <c r="A19" s="77">
        <v>13</v>
      </c>
      <c r="B19" s="78" t="s">
        <v>838</v>
      </c>
      <c r="C19" s="77">
        <f>data!C192</f>
        <v>486900</v>
      </c>
    </row>
    <row r="20" spans="1:3" ht="20.149999999999999" customHeight="1" x14ac:dyDescent="0.35">
      <c r="A20" s="77">
        <v>14</v>
      </c>
      <c r="B20" s="78" t="s">
        <v>839</v>
      </c>
      <c r="C20" s="77">
        <f>data!D193</f>
        <v>839400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840</v>
      </c>
      <c r="C24" s="162"/>
    </row>
    <row r="25" spans="1:3" ht="20.149999999999999" customHeight="1" x14ac:dyDescent="0.35">
      <c r="A25" s="77">
        <v>17</v>
      </c>
      <c r="B25" s="78" t="s">
        <v>841</v>
      </c>
      <c r="C25" s="77">
        <f>data!C195</f>
        <v>199925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214780</v>
      </c>
    </row>
    <row r="27" spans="1:3" ht="20.149999999999999" customHeight="1" x14ac:dyDescent="0.35">
      <c r="A27" s="77">
        <v>19</v>
      </c>
      <c r="B27" s="78" t="s">
        <v>842</v>
      </c>
      <c r="C27" s="77">
        <f>data!D197</f>
        <v>414705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843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14647</v>
      </c>
    </row>
    <row r="32" spans="1:3" ht="20.149999999999999" customHeight="1" x14ac:dyDescent="0.35">
      <c r="A32" s="77">
        <v>22</v>
      </c>
      <c r="B32" s="78" t="s">
        <v>844</v>
      </c>
      <c r="C32" s="77">
        <f>data!C200</f>
        <v>882377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845</v>
      </c>
      <c r="C34" s="77">
        <f>data!D202</f>
        <v>897024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846</v>
      </c>
      <c r="C38" s="77">
        <f>data!C204</f>
        <v>504504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847</v>
      </c>
      <c r="C40" s="77">
        <f>data!D206</f>
        <v>504504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848</v>
      </c>
    </row>
    <row r="3" spans="1:6" ht="20.149999999999999" customHeight="1" x14ac:dyDescent="0.35">
      <c r="A3" s="134" t="str">
        <f>"Hospital: "&amp;data!C98</f>
        <v>Hospital: Public Hospital District #1-A of Whitman County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849</v>
      </c>
      <c r="D5" s="165"/>
      <c r="E5" s="165"/>
      <c r="F5" s="165" t="s">
        <v>850</v>
      </c>
    </row>
    <row r="6" spans="1:6" ht="20.149999999999999" customHeight="1" x14ac:dyDescent="0.35">
      <c r="A6" s="166"/>
      <c r="B6" s="84"/>
      <c r="C6" s="167" t="s">
        <v>851</v>
      </c>
      <c r="D6" s="167" t="s">
        <v>363</v>
      </c>
      <c r="E6" s="167" t="s">
        <v>852</v>
      </c>
      <c r="F6" s="167" t="s">
        <v>851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1813305</v>
      </c>
      <c r="D7" s="81">
        <f>data!C225</f>
        <v>92342</v>
      </c>
      <c r="E7" s="81">
        <f>data!D225</f>
        <v>1102571</v>
      </c>
      <c r="F7" s="81">
        <f>data!E211</f>
        <v>1813305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3772788</v>
      </c>
      <c r="D8" s="81">
        <f>data!C226</f>
        <v>840911</v>
      </c>
      <c r="E8" s="81">
        <f>data!D226</f>
        <v>442553</v>
      </c>
      <c r="F8" s="81">
        <f>data!E212</f>
        <v>2670216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18420292.370000001</v>
      </c>
      <c r="D9" s="81">
        <f>data!C227</f>
        <v>513706</v>
      </c>
      <c r="E9" s="81">
        <f>data!D227</f>
        <v>6440468</v>
      </c>
      <c r="F9" s="81">
        <f>data!E213</f>
        <v>19122003.370000001</v>
      </c>
    </row>
    <row r="10" spans="1:6" ht="20.149999999999999" customHeight="1" x14ac:dyDescent="0.35">
      <c r="A10" s="77">
        <v>4</v>
      </c>
      <c r="B10" s="81" t="s">
        <v>853</v>
      </c>
      <c r="C10" s="81">
        <f>data!B214</f>
        <v>15776334.35</v>
      </c>
      <c r="D10" s="81">
        <f>data!C228</f>
        <v>25642</v>
      </c>
      <c r="E10" s="81">
        <f>data!D228</f>
        <v>865891</v>
      </c>
      <c r="F10" s="81">
        <f>data!E214</f>
        <v>10013466.35</v>
      </c>
    </row>
    <row r="11" spans="1:6" ht="20.149999999999999" customHeight="1" x14ac:dyDescent="0.35">
      <c r="A11" s="77">
        <v>5</v>
      </c>
      <c r="B11" s="81" t="s">
        <v>854</v>
      </c>
      <c r="C11" s="81">
        <f>data!B215</f>
        <v>1053251.2</v>
      </c>
      <c r="D11" s="81">
        <f>data!C229</f>
        <v>1608678</v>
      </c>
      <c r="E11" s="81">
        <f>data!D229</f>
        <v>2303073</v>
      </c>
      <c r="F11" s="81">
        <f>data!E215</f>
        <v>524150.19999999995</v>
      </c>
    </row>
    <row r="12" spans="1:6" ht="20.149999999999999" customHeight="1" x14ac:dyDescent="0.35">
      <c r="A12" s="77">
        <v>6</v>
      </c>
      <c r="B12" s="81" t="s">
        <v>855</v>
      </c>
      <c r="C12" s="81">
        <f>data!B216</f>
        <v>16548113.579999998</v>
      </c>
      <c r="D12" s="81">
        <f>data!C230</f>
        <v>0</v>
      </c>
      <c r="E12" s="81">
        <f>data!D230</f>
        <v>0</v>
      </c>
      <c r="F12" s="81">
        <f>data!E216</f>
        <v>18137009.579999998</v>
      </c>
    </row>
    <row r="13" spans="1:6" ht="20.149999999999999" customHeight="1" x14ac:dyDescent="0.35">
      <c r="A13" s="77">
        <v>7</v>
      </c>
      <c r="B13" s="81" t="s">
        <v>856</v>
      </c>
      <c r="C13" s="81">
        <f>data!B217</f>
        <v>0</v>
      </c>
      <c r="D13" s="81">
        <f>data!C231</f>
        <v>21860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104566</v>
      </c>
      <c r="D14" s="81">
        <f>data!C232</f>
        <v>0</v>
      </c>
      <c r="E14" s="81">
        <f>data!D232</f>
        <v>0</v>
      </c>
      <c r="F14" s="81">
        <f>data!E218</f>
        <v>110880</v>
      </c>
    </row>
    <row r="15" spans="1:6" ht="20.149999999999999" customHeight="1" x14ac:dyDescent="0.35">
      <c r="A15" s="77">
        <v>9</v>
      </c>
      <c r="B15" s="81" t="s">
        <v>857</v>
      </c>
      <c r="C15" s="81">
        <f>data!B219</f>
        <v>1334596</v>
      </c>
      <c r="D15" s="81">
        <f>data!C233</f>
        <v>3103139</v>
      </c>
      <c r="E15" s="81">
        <f>data!D233</f>
        <v>11154556</v>
      </c>
      <c r="F15" s="81">
        <f>data!E219</f>
        <v>5710016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58823246.5</v>
      </c>
      <c r="D16" s="81">
        <f>data!C234</f>
        <v>0</v>
      </c>
      <c r="E16" s="81">
        <f>data!D234</f>
        <v>0</v>
      </c>
      <c r="F16" s="81">
        <f>data!E220</f>
        <v>58101046.5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849</v>
      </c>
      <c r="D21" s="4" t="s">
        <v>215</v>
      </c>
      <c r="E21" s="167"/>
      <c r="F21" s="167" t="s">
        <v>850</v>
      </c>
    </row>
    <row r="22" spans="1:6" ht="20.149999999999999" customHeight="1" x14ac:dyDescent="0.35">
      <c r="A22" s="168"/>
      <c r="B22" s="160"/>
      <c r="C22" s="167" t="s">
        <v>851</v>
      </c>
      <c r="D22" s="167" t="s">
        <v>858</v>
      </c>
      <c r="E22" s="167" t="s">
        <v>852</v>
      </c>
      <c r="F22" s="167" t="s">
        <v>851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1988802.23</v>
      </c>
      <c r="D24" s="81">
        <f>data!C225</f>
        <v>92342</v>
      </c>
      <c r="E24" s="81">
        <f>data!D225</f>
        <v>1102571</v>
      </c>
      <c r="F24" s="81">
        <f>data!E225</f>
        <v>978573.23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5591314.040000001</v>
      </c>
      <c r="D25" s="81">
        <f>data!C226</f>
        <v>840911</v>
      </c>
      <c r="E25" s="81">
        <f>data!D226</f>
        <v>442553</v>
      </c>
      <c r="F25" s="81">
        <f>data!E226</f>
        <v>5989672.040000001</v>
      </c>
    </row>
    <row r="26" spans="1:6" ht="20.149999999999999" customHeight="1" x14ac:dyDescent="0.35">
      <c r="A26" s="77">
        <v>14</v>
      </c>
      <c r="B26" s="81" t="s">
        <v>853</v>
      </c>
      <c r="C26" s="81">
        <f>data!B227</f>
        <v>12800840.51</v>
      </c>
      <c r="D26" s="81">
        <f>data!C227</f>
        <v>513706</v>
      </c>
      <c r="E26" s="81">
        <f>data!D227</f>
        <v>6440468</v>
      </c>
      <c r="F26" s="81">
        <f>data!E227</f>
        <v>6874078.5099999998</v>
      </c>
    </row>
    <row r="27" spans="1:6" ht="20.149999999999999" customHeight="1" x14ac:dyDescent="0.35">
      <c r="A27" s="77">
        <v>15</v>
      </c>
      <c r="B27" s="81" t="s">
        <v>854</v>
      </c>
      <c r="C27" s="81">
        <f>data!B228</f>
        <v>936007.74</v>
      </c>
      <c r="D27" s="81">
        <f>data!C228</f>
        <v>25642</v>
      </c>
      <c r="E27" s="81">
        <f>data!D228</f>
        <v>865891</v>
      </c>
      <c r="F27" s="81">
        <f>data!E228</f>
        <v>95758.739999999991</v>
      </c>
    </row>
    <row r="28" spans="1:6" ht="20.149999999999999" customHeight="1" x14ac:dyDescent="0.35">
      <c r="A28" s="77">
        <v>16</v>
      </c>
      <c r="B28" s="81" t="s">
        <v>855</v>
      </c>
      <c r="C28" s="81">
        <f>data!B229</f>
        <v>11877107.390000001</v>
      </c>
      <c r="D28" s="81">
        <f>data!C229</f>
        <v>1608678</v>
      </c>
      <c r="E28" s="81">
        <f>data!D229</f>
        <v>2303073</v>
      </c>
      <c r="F28" s="81">
        <f>data!E229</f>
        <v>11182712.390000001</v>
      </c>
    </row>
    <row r="29" spans="1:6" ht="20.149999999999999" customHeight="1" x14ac:dyDescent="0.35">
      <c r="A29" s="77">
        <v>17</v>
      </c>
      <c r="B29" s="81" t="s">
        <v>856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8341</v>
      </c>
      <c r="D30" s="81">
        <f>data!C231</f>
        <v>21860</v>
      </c>
      <c r="E30" s="81">
        <f>data!D231</f>
        <v>0</v>
      </c>
      <c r="F30" s="81">
        <f>data!E231</f>
        <v>30201</v>
      </c>
    </row>
    <row r="31" spans="1:6" ht="20.149999999999999" customHeight="1" x14ac:dyDescent="0.35">
      <c r="A31" s="77">
        <v>19</v>
      </c>
      <c r="B31" s="81" t="s">
        <v>857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33202412.91</v>
      </c>
      <c r="D32" s="81">
        <f>data!C233</f>
        <v>3103139</v>
      </c>
      <c r="E32" s="81">
        <f>data!D233</f>
        <v>11154556</v>
      </c>
      <c r="F32" s="81">
        <f>data!E233</f>
        <v>25150995.910000004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859</v>
      </c>
      <c r="B1" s="76"/>
      <c r="C1" s="76"/>
      <c r="D1" s="75" t="s">
        <v>860</v>
      </c>
    </row>
    <row r="2" spans="1:4" ht="20.149999999999999" customHeight="1" x14ac:dyDescent="0.35">
      <c r="A2" s="134" t="str">
        <f>"Hospital: "&amp;data!C98</f>
        <v>Hospital: Public Hospital District #1-A of Whitman County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861</v>
      </c>
      <c r="C4" s="170" t="s">
        <v>862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1122030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31557160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12193142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872922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724024</v>
      </c>
    </row>
    <row r="11" spans="1:4" ht="20.149999999999999" customHeight="1" x14ac:dyDescent="0.35">
      <c r="A11" s="77">
        <v>7</v>
      </c>
      <c r="B11" s="172">
        <v>5850</v>
      </c>
      <c r="C11" s="81" t="s">
        <v>863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35112394</v>
      </c>
    </row>
    <row r="13" spans="1:4" ht="20.149999999999999" customHeight="1" x14ac:dyDescent="0.35">
      <c r="A13" s="77">
        <v>9</v>
      </c>
      <c r="B13" s="81"/>
      <c r="C13" s="81" t="s">
        <v>864</v>
      </c>
      <c r="D13" s="81">
        <f>data!D245</f>
        <v>80459642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865</v>
      </c>
      <c r="D16" s="77">
        <f>data!C247</f>
        <v>1624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234560</v>
      </c>
    </row>
    <row r="19" spans="1:4" ht="20.149999999999999" customHeight="1" x14ac:dyDescent="0.35">
      <c r="A19" s="175">
        <v>15</v>
      </c>
      <c r="B19" s="172">
        <v>5910</v>
      </c>
      <c r="C19" s="94" t="s">
        <v>866</v>
      </c>
      <c r="D19" s="81">
        <f>data!C250</f>
        <v>998219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867</v>
      </c>
      <c r="D22" s="81">
        <f>data!D252</f>
        <v>1232779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399907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868</v>
      </c>
      <c r="D26" s="81">
        <f>data!C255</f>
        <v>280634</v>
      </c>
    </row>
    <row r="27" spans="1:4" ht="20.149999999999999" customHeight="1" x14ac:dyDescent="0.35">
      <c r="A27" s="158">
        <v>23</v>
      </c>
      <c r="B27" s="177" t="s">
        <v>869</v>
      </c>
      <c r="C27" s="93"/>
      <c r="D27" s="81">
        <f>data!D256</f>
        <v>680541</v>
      </c>
    </row>
    <row r="28" spans="1:4" ht="20.149999999999999" customHeight="1" x14ac:dyDescent="0.35">
      <c r="A28" s="86">
        <v>24</v>
      </c>
      <c r="B28" s="152" t="s">
        <v>870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data!Print_Area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data!Print_Titles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2023-06-26T17:40:27Z</cp:lastPrinted>
  <dcterms:created xsi:type="dcterms:W3CDTF">1999-06-02T22:01:56Z</dcterms:created>
  <dcterms:modified xsi:type="dcterms:W3CDTF">2023-06-27T21:20:09Z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