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75A437E4-4966-40D1-9E9B-A434D07AF478}" xr6:coauthVersionLast="47" xr6:coauthVersionMax="47" xr10:uidLastSave="{00000000-0000-0000-0000-000000000000}"/>
  <workbookProtection workbookAlgorithmName="SHA-512" workbookHashValue="z4wUhJliWiKgCH4KkYAJn5SHXVwXzjzWp31pQglyihFkcwlAgB7JMTIrVVnSoKWunSWadxLAUv4T0Z8/PVab5g==" workbookSaltValue="JlWi8bCeY93dlE19uOptS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6" i="24" l="1"/>
  <c r="F202" i="24"/>
  <c r="F197" i="24"/>
  <c r="F193" i="24"/>
  <c r="F189" i="24"/>
  <c r="L156" i="24" l="1"/>
  <c r="P88" i="24"/>
  <c r="G158" i="24"/>
  <c r="G157" i="24"/>
  <c r="F158" i="24"/>
  <c r="F157" i="24"/>
  <c r="CG87" i="24"/>
  <c r="CF88" i="24"/>
  <c r="CF87" i="24"/>
  <c r="BZ94" i="24"/>
  <c r="CC66" i="24" l="1"/>
  <c r="F414" i="24"/>
  <c r="G414" i="24" s="1"/>
  <c r="G380" i="24"/>
  <c r="F380" i="24"/>
  <c r="G399" i="24"/>
  <c r="F399" i="24"/>
  <c r="G390" i="24"/>
  <c r="G391" i="24"/>
  <c r="G392" i="24"/>
  <c r="G393" i="24"/>
  <c r="G395" i="24"/>
  <c r="G396" i="24"/>
  <c r="G389" i="24"/>
  <c r="F390" i="24"/>
  <c r="F391" i="24"/>
  <c r="F392" i="24"/>
  <c r="F393" i="24"/>
  <c r="F395" i="24"/>
  <c r="F396" i="24"/>
  <c r="F389" i="24"/>
  <c r="G358" i="24"/>
  <c r="BB89" i="24" l="1"/>
  <c r="CF59" i="24" l="1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AE14" i="31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E30" i="31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E46" i="31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E157" i="24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377" i="32" l="1"/>
  <c r="CG88" i="24"/>
  <c r="G359" i="24"/>
  <c r="E10" i="4"/>
  <c r="F358" i="24"/>
  <c r="F10" i="4"/>
  <c r="F359" i="24"/>
  <c r="I368" i="32"/>
  <c r="F394" i="24"/>
  <c r="G394" i="24" s="1"/>
  <c r="AU48" i="24"/>
  <c r="AU62" i="24" s="1"/>
  <c r="H46" i="31" s="1"/>
  <c r="G48" i="24"/>
  <c r="G62" i="24" s="1"/>
  <c r="G12" i="32" s="1"/>
  <c r="W48" i="24"/>
  <c r="W62" i="24" s="1"/>
  <c r="BK48" i="24"/>
  <c r="BK62" i="24" s="1"/>
  <c r="G268" i="32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C44" i="32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E332" i="32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H39" i="31"/>
  <c r="H65" i="31"/>
  <c r="C300" i="32"/>
  <c r="E32" i="6"/>
  <c r="E15" i="6"/>
  <c r="H73" i="31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H66" i="31"/>
  <c r="D300" i="32"/>
  <c r="H35" i="31"/>
  <c r="H140" i="32"/>
  <c r="O14" i="31"/>
  <c r="H51" i="32"/>
  <c r="O38" i="31"/>
  <c r="D179" i="32"/>
  <c r="O78" i="31"/>
  <c r="I339" i="32"/>
  <c r="H4" i="31"/>
  <c r="E12" i="32"/>
  <c r="F44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AV52" i="24"/>
  <c r="AV67" i="24" s="1"/>
  <c r="D22" i="7"/>
  <c r="D258" i="24"/>
  <c r="H43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E236" i="32"/>
  <c r="X52" i="24"/>
  <c r="X67" i="24" s="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E76" i="32" l="1"/>
  <c r="C236" i="32"/>
  <c r="D76" i="32"/>
  <c r="G76" i="32"/>
  <c r="H71" i="31"/>
  <c r="H37" i="31"/>
  <c r="H62" i="31"/>
  <c r="H23" i="31"/>
  <c r="G332" i="32"/>
  <c r="D44" i="32"/>
  <c r="H45" i="31"/>
  <c r="H9" i="31"/>
  <c r="H74" i="31"/>
  <c r="H268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C31" i="15" s="1"/>
  <c r="G31" i="15" s="1"/>
  <c r="E85" i="24"/>
  <c r="C17" i="15" s="1"/>
  <c r="G17" i="15" s="1"/>
  <c r="E17" i="32"/>
  <c r="M61" i="3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H30" i="15"/>
  <c r="I30" i="15" s="1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E21" i="32" l="1"/>
  <c r="C684" i="24"/>
  <c r="E85" i="32"/>
  <c r="C670" i="24"/>
  <c r="H36" i="15"/>
  <c r="I36" i="15" s="1"/>
  <c r="I117" i="32"/>
  <c r="C695" i="24"/>
  <c r="C74" i="15"/>
  <c r="G74" i="15" s="1"/>
  <c r="H277" i="32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H50" i="15" s="1"/>
  <c r="I50" i="15" s="1"/>
  <c r="C647" i="24"/>
  <c r="C69" i="15"/>
  <c r="G69" i="15" s="1"/>
  <c r="I85" i="32"/>
  <c r="C91" i="15"/>
  <c r="G91" i="15" s="1"/>
  <c r="H69" i="15"/>
  <c r="I69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6" i="15" l="1"/>
  <c r="I76" i="15" s="1"/>
  <c r="H40" i="15"/>
  <c r="I40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1" i="25" l="1"/>
  <c r="M696" i="25"/>
  <c r="M674" i="25"/>
  <c r="M693" i="25"/>
  <c r="M686" i="25"/>
  <c r="M714" i="25"/>
  <c r="M684" i="25"/>
  <c r="M689" i="25"/>
  <c r="M706" i="25"/>
  <c r="M697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<sst xmlns="http://schemas.openxmlformats.org/spreadsheetml/2006/main" count="5621" uniqueCount="1380">
  <si>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</si>
  <si>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</si>
  <si>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</si>
  <si>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</si>
  <si>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</si>
  <si>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</si>
  <si>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</si>
  <si>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</si>
  <si>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</si>
  <si>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</si>
  <si>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</si>
  <si>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</si>
  <si>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</si>
  <si>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</si>
  <si>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</si>
  <si>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</si>
  <si>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</si>
  <si>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</si>
  <si>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</si>
  <si>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</si>
  <si>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</si>
  <si>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</si>
  <si>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</si>
  <si>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</si>
  <si>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</si>
  <si>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</si>
  <si>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</si>
  <si>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</si>
  <si>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</si>
  <si>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</si>
  <si>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</si>
  <si>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</si>
  <si>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</si>
  <si>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</si>
  <si>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</si>
  <si>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</si>
  <si>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</si>
  <si>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</si>
  <si>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</si>
  <si>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</si>
  <si>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</si>
  <si>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</si>
  <si>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</si>
  <si>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</si>
  <si>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</si>
  <si>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</si>
  <si>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</si>
  <si>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</si>
  <si>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</si>
  <si>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</si>
  <si>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</si>
  <si>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</si>
  <si>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</si>
  <si>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</si>
  <si>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</si>
  <si>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</si>
  <si>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</si>
  <si>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</si>
  <si>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</si>
  <si>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</si>
  <si>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</si>
  <si>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</si>
  <si>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</si>
  <si>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</si>
  <si>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</si>
  <si>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</si>
  <si>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</si>
  <si>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</si>
  <si>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</si>
  <si>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</si>
  <si>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</si>
  <si>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</si>
  <si>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</si>
  <si>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</si>
  <si>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</si>
  <si>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</si>
  <si>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</si>
  <si>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</si>
  <si>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</si>
  <si>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</si>
  <si>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</si>
  <si>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</si>
  <si>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</si>
  <si>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</si>
  <si>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</si>
  <si>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</si>
  <si>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</si>
  <si>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</si>
  <si>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</si>
  <si>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</si>
  <si>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</si>
  <si>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</si>
  <si>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</si>
  <si>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</si>
  <si>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</si>
  <si>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</si>
  <si>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</si>
  <si>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</si>
  <si>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</si>
  <si>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</si>
  <si>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</si>
  <si>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</si>
  <si>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</si>
  <si>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</si>
  <si>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</si>
  <si>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</si>
  <si>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</si>
  <si>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</si>
  <si>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</si>
  <si>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</si>
  <si>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</si>
  <si>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</si>
  <si>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</si>
  <si>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</si>
  <si>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</si>
  <si>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</si>
  <si>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</si>
  <si>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</si>
  <si>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</si>
  <si>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</si>
  <si>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</si>
  <si>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</si>
  <si>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</si>
  <si>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</si>
  <si>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</si>
  <si>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</si>
  <si>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</si>
  <si>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</si>
  <si>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</si>
  <si>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</si>
  <si>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</si>
  <si>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</si>
  <si>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</si>
  <si>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</si>
  <si>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</si>
  <si>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</si>
  <si>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</si>
  <si>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</si>
  <si>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</si>
  <si>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</si>
  <si>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</si>
  <si>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</si>
  <si>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</si>
  <si>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</si>
  <si>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</si>
  <si>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</si>
  <si>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</si>
  <si>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</si>
  <si>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</si>
  <si>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</si>
  <si>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</si>
  <si>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</si>
  <si>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</si>
  <si>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</si>
  <si>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</si>
  <si>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</si>
  <si>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</si>
  <si>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</si>
  <si>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</si>
  <si>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</si>
  <si>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</si>
  <si>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</si>
  <si>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</si>
  <si>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</si>
  <si>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</si>
  <si>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</si>
  <si>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</si>
  <si>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</si>
  <si>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</si>
  <si>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</si>
  <si>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</si>
  <si>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</si>
  <si>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</si>
  <si>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</si>
  <si>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</si>
  <si>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</si>
  <si>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</si>
  <si>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</si>
  <si>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</si>
  <si>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</si>
  <si>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</si>
  <si>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</si>
  <si>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</si>
  <si>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</si>
  <si>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</si>
  <si>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</si>
  <si>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</si>
  <si>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</si>
  <si>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</si>
  <si>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</si>
  <si>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</si>
  <si>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</si>
  <si>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</si>
  <si>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</si>
  <si>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</si>
  <si>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</si>
  <si>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</si>
  <si>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</si>
  <si>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</si>
  <si>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</si>
  <si>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</si>
  <si>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</si>
  <si>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</si>
  <si>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</si>
  <si>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</si>
  <si>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</si>
  <si>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</si>
  <si>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</si>
  <si>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</si>
  <si>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</si>
  <si>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</si>
  <si>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</si>
  <si>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</si>
  <si>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</si>
  <si>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</si>
  <si>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</si>
  <si>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</si>
  <si>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</si>
  <si>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</si>
  <si>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</si>
  <si>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</si>
  <si>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</si>
  <si>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</si>
  <si>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</si>
  <si>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</si>
  <si>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</si>
  <si>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</si>
  <si>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</si>
  <si>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</si>
  <si>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</si>
  <si>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</si>
  <si>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</si>
  <si>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</si>
  <si>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</si>
  <si>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</si>
  <si>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</si>
  <si>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</si>
  <si>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</si>
  <si>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</si>
  <si>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</si>
  <si>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</si>
  <si>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</si>
  <si>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</si>
  <si>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</si>
  <si>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</si>
  <si>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</si>
  <si>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</si>
  <si>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</si>
  <si>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</si>
  <si>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</si>
  <si>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</si>
  <si>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</si>
  <si>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</si>
  <si>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</si>
  <si>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</si>
  <si>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</si>
  <si>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</si>
  <si>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</si>
  <si>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</si>
  <si>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</si>
  <si>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</si>
  <si>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</si>
  <si>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</si>
  <si>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</si>
  <si>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</si>
  <si>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</si>
  <si>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</si>
  <si>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</si>
  <si>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</si>
  <si>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</si>
  <si>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</si>
  <si>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</si>
  <si>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</si>
  <si>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</si>
  <si>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</si>
  <si>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</si>
  <si>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</si>
  <si>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</si>
  <si>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</si>
  <si>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</si>
  <si>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</si>
  <si>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</si>
  <si>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</si>
  <si>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</si>
  <si>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</si>
  <si>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</si>
  <si>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</si>
  <si>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</si>
  <si>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</si>
  <si>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</si>
  <si>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</si>
  <si>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</si>
  <si>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</si>
  <si>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</si>
  <si>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</si>
  <si>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</si>
  <si>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</si>
  <si>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</si>
  <si>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</si>
  <si>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</si>
  <si>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</si>
  <si>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</si>
  <si>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</si>
  <si>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</si>
  <si>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</si>
  <si>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</si>
  <si>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</si>
  <si>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</si>
  <si>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</si>
  <si>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</si>
  <si>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</si>
  <si>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</si>
  <si>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</si>
  <si>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</si>
  <si>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</si>
  <si>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</si>
  <si>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</si>
  <si>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</si>
  <si>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</si>
  <si>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</si>
  <si>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</si>
  <si>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</si>
  <si>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</si>
  <si>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</si>
  <si>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</si>
  <si>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</si>
  <si>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</si>
  <si>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</si>
  <si>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</si>
  <si>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</si>
  <si>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</si>
  <si>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</si>
  <si>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</si>
  <si>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</si>
  <si>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</si>
  <si>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</si>
  <si>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</si>
  <si>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</si>
  <si>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</si>
  <si>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</si>
  <si>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</si>
  <si>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</si>
  <si>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</si>
  <si>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</si>
  <si>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</si>
  <si>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</si>
  <si>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</si>
  <si>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</si>
  <si>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</si>
  <si>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</si>
  <si>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</si>
  <si>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</si>
  <si>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</si>
  <si>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</si>
  <si>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</si>
  <si>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</si>
  <si>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</si>
  <si>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</si>
  <si>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</si>
  <si>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</si>
  <si>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</si>
  <si>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</si>
  <si>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</si>
  <si>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</si>
  <si>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</si>
  <si>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</si>
  <si>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</si>
  <si>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</si>
  <si>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</si>
  <si>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</si>
  <si>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</si>
  <si>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</si>
  <si>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</si>
  <si>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</si>
  <si>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</si>
  <si>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</si>
  <si>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</si>
  <si>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</si>
  <si>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</si>
  <si>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</si>
  <si>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</si>
  <si>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</si>
  <si>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</si>
  <si>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</si>
  <si>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</si>
  <si>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</si>
  <si>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</si>
  <si>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</si>
  <si>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</si>
  <si>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</si>
  <si>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</si>
  <si>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</si>
  <si>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</si>
  <si>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</si>
  <si>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</si>
  <si>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</si>
  <si>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</si>
  <si>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</si>
  <si>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</si>
  <si>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</si>
  <si>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</si>
  <si>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</si>
  <si>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</si>
  <si>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</si>
  <si>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</si>
  <si>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</si>
  <si>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</si>
  <si>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</si>
  <si>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</si>
  <si>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</si>
  <si>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</si>
  <si>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</si>
  <si>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</si>
  <si>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</si>
  <si>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</si>
  <si>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</si>
  <si>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</si>
  <si>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</si>
  <si>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</si>
  <si>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</si>
  <si>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</si>
  <si>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</si>
  <si>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</si>
  <si>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</si>
  <si>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</si>
  <si>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</si>
  <si>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</si>
  <si>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</si>
  <si>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</si>
  <si>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</si>
  <si>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</si>
  <si>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</si>
  <si>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</si>
  <si>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</si>
  <si>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</si>
  <si>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</si>
  <si>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</si>
  <si>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</si>
  <si>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</si>
  <si>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</si>
  <si>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</si>
  <si>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</si>
  <si>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</si>
  <si>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</si>
  <si>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</si>
  <si>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</si>
  <si>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</si>
  <si>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</si>
  <si>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</si>
  <si>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</si>
  <si>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</si>
  <si>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</si>
  <si>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</si>
  <si>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</si>
  <si>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</si>
  <si>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</si>
  <si>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</si>
  <si>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</si>
  <si>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</si>
  <si>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</si>
  <si>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</si>
  <si>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</si>
  <si>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</si>
  <si>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</si>
  <si>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</si>
  <si>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</si>
  <si>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</si>
  <si>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</si>
  <si>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</si>
  <si>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</si>
  <si>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</si>
  <si>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</si>
  <si>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</si>
  <si>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</si>
  <si>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</si>
  <si>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</si>
  <si>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</si>
  <si>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</si>
  <si>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</si>
  <si>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</si>
  <si>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</si>
  <si>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</si>
  <si>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</si>
  <si>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</si>
  <si>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</si>
  <si>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</si>
  <si>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</si>
  <si>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</si>
  <si>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</si>
  <si>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</si>
  <si>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</si>
  <si>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</si>
  <si>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</si>
  <si>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</si>
  <si>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</si>
  <si>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</si>
  <si>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</si>
  <si>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</si>
  <si>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</si>
  <si>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</si>
  <si>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</si>
  <si>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</si>
  <si>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</si>
  <si>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</si>
  <si>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</si>
  <si>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</si>
  <si>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</si>
  <si>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</si>
  <si>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</si>
  <si>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</si>
  <si>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</si>
  <si>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</si>
  <si>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</si>
  <si>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</si>
  <si>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</si>
  <si>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</si>
  <si>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</si>
  <si>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</si>
  <si>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</si>
  <si>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</si>
  <si>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</si>
  <si>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</si>
  <si>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</si>
  <si>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</si>
  <si>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</si>
  <si>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</si>
  <si>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</si>
  <si>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</si>
  <si>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</si>
  <si>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</si>
  <si>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</si>
  <si>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</si>
  <si>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</si>
  <si>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</si>
  <si>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</si>
  <si>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</si>
  <si>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</si>
  <si>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</si>
  <si>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</si>
  <si>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</si>
  <si>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</si>
  <si>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</si>
  <si>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</si>
  <si>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</si>
  <si>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</si>
  <si>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</si>
  <si>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</si>
  <si>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</si>
  <si>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</si>
  <si>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</si>
  <si>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</si>
  <si>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</si>
  <si>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</si>
  <si>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</si>
  <si>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</si>
  <si>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</si>
  <si>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</si>
  <si>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</si>
  <si>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</si>
  <si>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</si>
  <si>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</si>
  <si>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</si>
  <si>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</si>
  <si>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</si>
  <si>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</si>
  <si>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</si>
  <si>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</si>
  <si>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</si>
  <si>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</si>
  <si>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</si>
  <si>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</si>
  <si>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</si>
  <si>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</si>
  <si>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</si>
  <si>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</si>
  <si>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</si>
  <si>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</si>
  <si>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</si>
  <si>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</si>
  <si>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</si>
  <si>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</si>
  <si>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</si>
  <si>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</si>
  <si>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</si>
  <si>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</si>
  <si>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</si>
  <si>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</si>
  <si>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</si>
  <si>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</si>
  <si>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</si>
  <si>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</si>
  <si>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</si>
  <si>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</si>
  <si>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</si>
  <si>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</si>
  <si>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</si>
  <si>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</si>
  <si>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</si>
  <si>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</si>
  <si>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</si>
  <si>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</si>
  <si>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</si>
  <si>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</si>
  <si>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</si>
  <si>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</si>
  <si>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</si>
  <si>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</si>
  <si>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</si>
  <si>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</si>
  <si>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</si>
  <si>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</si>
  <si>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</si>
  <si>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</si>
  <si>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</si>
  <si>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</si>
  <si>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</si>
  <si>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</si>
  <si>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</si>
  <si>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</si>
  <si>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</si>
  <si>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</si>
  <si>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</si>
  <si>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</si>
  <si>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</si>
  <si>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</si>
  <si>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</si>
  <si>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</si>
  <si>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</si>
  <si>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</si>
  <si>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</si>
  <si>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</si>
  <si>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</si>
  <si>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</si>
  <si>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</si>
  <si>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</si>
  <si>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</si>
  <si>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</si>
  <si>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</si>
  <si>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</si>
  <si>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</si>
  <si>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</si>
  <si>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</si>
  <si>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</si>
  <si>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</si>
  <si>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</si>
  <si>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</si>
  <si>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</si>
  <si>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</si>
  <si>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</si>
  <si>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</si>
  <si>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</si>
  <si>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</si>
  <si>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</si>
  <si>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</si>
  <si>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</si>
  <si>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</si>
  <si>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</si>
  <si>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</si>
  <si>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</si>
  <si>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</si>
  <si>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</si>
  <si>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</si>
  <si>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</si>
  <si>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</si>
  <si>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</si>
  <si>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</si>
  <si>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</si>
  <si>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</si>
  <si>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</si>
  <si>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</si>
  <si>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</si>
  <si>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</si>
  <si>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</si>
  <si>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</si>
  <si>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</si>
  <si>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</si>
  <si>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</si>
  <si>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</si>
  <si>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</si>
  <si>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</si>
  <si>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</si>
  <si>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</si>
  <si>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</si>
  <si>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</si>
  <si>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</si>
  <si>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</si>
  <si>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</si>
  <si>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</si>
  <si>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</si>
  <si>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</si>
  <si>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</si>
  <si>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</si>
  <si>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</si>
  <si>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</si>
  <si>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</si>
  <si>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</si>
  <si>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</si>
  <si>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</si>
  <si>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</si>
  <si>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</si>
  <si>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</si>
  <si>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</si>
  <si>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</si>
  <si>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</si>
  <si>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</si>
  <si>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</si>
  <si>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</si>
  <si>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</si>
  <si>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</si>
  <si>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</si>
  <si>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</si>
  <si>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</si>
  <si>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</si>
  <si>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</si>
  <si>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</si>
  <si>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</si>
  <si>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</si>
  <si>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</si>
  <si>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</si>
  <si>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</si>
  <si>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</si>
  <si>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</si>
  <si>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</si>
  <si>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</si>
  <si>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</si>
  <si>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</si>
  <si>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</si>
  <si>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</si>
  <si>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</si>
  <si>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</si>
  <si>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</si>
  <si>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</si>
  <si>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</si>
  <si>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</si>
  <si>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</si>
  <si>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</si>
  <si>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</si>
  <si>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</si>
  <si>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</si>
  <si>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</si>
  <si>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</si>
  <si>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</si>
  <si>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</si>
  <si>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</si>
  <si>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</si>
  <si>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</si>
  <si>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</si>
  <si>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</si>
  <si>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</si>
  <si>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</si>
  <si>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</si>
  <si>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</si>
  <si>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</si>
  <si>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</si>
  <si>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</si>
  <si>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</si>
  <si>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</si>
  <si>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</si>
  <si>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</si>
  <si>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</si>
  <si>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</si>
  <si>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</si>
  <si>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</si>
  <si>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</si>
  <si>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</si>
  <si>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</si>
  <si>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</si>
  <si>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</si>
  <si>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</si>
  <si>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</si>
  <si>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</si>
  <si>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</si>
  <si>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</si>
  <si>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</si>
  <si>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</si>
  <si>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</si>
  <si>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</si>
  <si>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</si>
  <si>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</si>
  <si>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</si>
  <si>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</si>
  <si>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</si>
  <si>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</si>
  <si>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</si>
  <si>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</si>
  <si>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</si>
  <si>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</si>
  <si>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</si>
  <si>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</si>
  <si>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</si>
  <si>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</si>
  <si>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</si>
  <si>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</si>
  <si>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</si>
  <si>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</si>
  <si>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</si>
  <si>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</si>
  <si>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</si>
  <si>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</si>
  <si>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</si>
  <si>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</si>
  <si>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</si>
  <si>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</si>
  <si>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</si>
  <si>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</si>
  <si>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</si>
  <si>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</si>
  <si>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</si>
  <si>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</si>
  <si>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</si>
  <si>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</si>
  <si>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</si>
  <si>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</si>
  <si>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</si>
  <si>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</si>
  <si>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</si>
  <si>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</si>
  <si>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</si>
  <si>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</si>
  <si>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</si>
  <si>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</si>
  <si>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</si>
  <si>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</si>
  <si>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</si>
  <si>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</si>
  <si>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</si>
  <si>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</si>
  <si>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</si>
  <si>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</si>
  <si>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</si>
  <si>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</si>
  <si>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</si>
  <si>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</si>
  <si>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</si>
  <si>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</si>
  <si>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</si>
  <si>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</si>
  <si>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</si>
  <si>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</si>
  <si>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</si>
  <si>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</si>
  <si>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</si>
  <si>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</si>
  <si>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</si>
  <si>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</si>
  <si>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</si>
  <si>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</si>
  <si>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</si>
  <si>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</si>
  <si>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</si>
  <si>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</si>
  <si>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</si>
  <si>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</si>
  <si>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</si>
  <si>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</si>
  <si>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</si>
  <si>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</si>
  <si>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</si>
  <si>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</si>
  <si>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</si>
  <si>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</si>
  <si>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</si>
  <si>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</si>
  <si>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</si>
  <si>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</si>
  <si>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</si>
  <si>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</si>
  <si>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</si>
  <si>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</si>
  <si>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</si>
  <si>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</si>
  <si>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</si>
  <si>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</si>
  <si>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</si>
  <si>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</si>
  <si>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</si>
  <si>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</si>
  <si>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</si>
  <si>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</si>
  <si>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</si>
  <si>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</si>
  <si>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</si>
  <si>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</si>
  <si>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</si>
  <si>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</si>
  <si>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</si>
  <si>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</si>
  <si>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</si>
  <si>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</si>
  <si>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</si>
  <si>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</si>
  <si>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</si>
  <si>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</si>
  <si>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</si>
  <si>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</si>
  <si>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</si>
  <si>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</si>
  <si>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</si>
  <si>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</si>
  <si>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</si>
  <si>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</si>
  <si>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</si>
  <si>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</si>
  <si>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</si>
  <si>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</si>
  <si>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</si>
  <si>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</si>
  <si>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</si>
  <si>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</si>
  <si>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</si>
  <si>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</si>
  <si>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</si>
  <si>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</si>
  <si>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</si>
  <si>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</si>
  <si>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</si>
  <si>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</si>
  <si>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</si>
  <si>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</si>
  <si>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</si>
  <si>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</si>
  <si>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</si>
  <si>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</si>
  <si>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</si>
  <si>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</si>
  <si>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</si>
  <si>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</si>
  <si>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</si>
  <si>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</si>
  <si>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</si>
  <si>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</si>
  <si>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</si>
  <si>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</si>
  <si>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</si>
  <si>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</si>
  <si>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</si>
  <si>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</si>
  <si>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</si>
  <si>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</si>
  <si>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</si>
  <si>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</si>
  <si>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</si>
  <si>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</si>
  <si>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</si>
  <si>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</si>
  <si>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</si>
  <si>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</si>
  <si>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</si>
  <si>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</si>
  <si>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</si>
  <si>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</si>
  <si>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</si>
  <si>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</si>
  <si>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</si>
  <si>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</si>
  <si>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</si>
  <si>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</si>
  <si>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</si>
  <si>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</si>
  <si>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</si>
  <si>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</si>
  <si>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</si>
  <si>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</si>
  <si>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</si>
  <si>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</si>
  <si>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</si>
  <si>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</si>
  <si>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</si>
  <si>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</si>
  <si>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</si>
  <si>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</si>
  <si>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</si>
  <si>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</si>
  <si>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</si>
  <si>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</si>
  <si>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</si>
  <si>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</si>
  <si>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</si>
  <si>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</si>
  <si>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</si>
  <si>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</si>
  <si>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</si>
  <si>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</si>
  <si>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</si>
  <si>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</si>
  <si>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</si>
  <si>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</si>
  <si>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</si>
  <si>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</si>
  <si>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</si>
  <si>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</si>
  <si>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</si>
  <si>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</si>
  <si>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</si>
  <si>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</si>
  <si>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</si>
  <si>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</si>
  <si>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</si>
  <si>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</si>
  <si>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</si>
  <si>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</si>
  <si>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</si>
  <si>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</si>
  <si>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</si>
  <si>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</si>
  <si>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</si>
  <si>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</si>
  <si>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</si>
  <si>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</si>
  <si>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</si>
  <si>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</si>
  <si>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</si>
  <si>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</si>
  <si>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</si>
  <si>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</si>
  <si>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</si>
  <si>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</si>
  <si>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</si>
  <si>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</si>
  <si>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</si>
  <si>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</si>
  <si>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</si>
  <si>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</si>
  <si>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</si>
  <si>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</si>
  <si>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</si>
  <si>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</si>
  <si>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</si>
  <si>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</si>
  <si>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</si>
  <si>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</si>
  <si>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</si>
  <si>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</si>
  <si>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</si>
  <si>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</si>
  <si>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</si>
  <si>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</si>
  <si>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</si>
  <si>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</si>
  <si>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</si>
  <si>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</si>
  <si>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</si>
  <si>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</si>
  <si>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</si>
  <si>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</si>
  <si>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</si>
  <si>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</si>
  <si>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</si>
  <si>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</si>
  <si>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</si>
  <si>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</si>
  <si>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</si>
  <si>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</si>
  <si>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</si>
  <si>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</si>
  <si>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</si>
  <si>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</si>
  <si>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</si>
  <si>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</si>
  <si>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</si>
  <si>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</si>
  <si>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</si>
  <si>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</si>
  <si>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</si>
  <si>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</si>
  <si>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</si>
  <si>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</si>
  <si>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</si>
  <si>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</si>
  <si>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</si>
  <si>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</si>
  <si>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</si>
  <si>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</si>
  <si>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</si>
  <si>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</si>
  <si>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</si>
  <si>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</si>
  <si>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</si>
  <si>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</si>
  <si>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</si>
  <si>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</si>
  <si>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</si>
  <si>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</si>
  <si>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</si>
  <si>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</si>
  <si>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</si>
  <si>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</si>
  <si>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</si>
  <si>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</si>
  <si>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</si>
  <si>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</si>
  <si>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</si>
  <si>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</si>
  <si>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</si>
  <si>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</si>
  <si>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</si>
  <si>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</si>
  <si>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</si>
  <si>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</si>
  <si>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</si>
  <si>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</si>
  <si>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</si>
  <si>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</si>
  <si>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</si>
  <si>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</si>
  <si>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</si>
  <si>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</si>
  <si>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</si>
  <si>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</si>
  <si>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</si>
  <si>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</si>
  <si>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</si>
  <si>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</si>
  <si>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</si>
  <si>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</si>
  <si>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</si>
  <si>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</si>
  <si>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</si>
  <si>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</si>
  <si>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</si>
  <si>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</si>
  <si>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</si>
  <si>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</si>
  <si>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</si>
  <si>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</si>
  <si>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</si>
  <si>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</si>
  <si>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</si>
  <si>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</si>
  <si>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</si>
  <si>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</si>
  <si>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</si>
  <si>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</si>
  <si>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</si>
  <si>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</si>
  <si>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</si>
  <si>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</si>
  <si>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</si>
  <si>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</si>
  <si>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</si>
  <si>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</si>
  <si>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</si>
  <si>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</si>
  <si>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</si>
  <si>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</si>
  <si>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</si>
  <si>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</si>
  <si>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</si>
  <si>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</si>
  <si>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</si>
  <si>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</si>
  <si>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</si>
  <si>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</si>
  <si>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</si>
  <si>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</si>
  <si>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</si>
  <si>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</si>
  <si>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</si>
  <si>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</si>
  <si>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</si>
  <si>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</si>
  <si>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</si>
  <si>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</si>
  <si>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</si>
  <si>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</si>
  <si>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</si>
  <si>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</si>
  <si>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</si>
  <si>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</si>
  <si>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</si>
  <si>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</si>
  <si>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</si>
  <si>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</si>
  <si>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</si>
  <si>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</si>
  <si>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</si>
  <si>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</si>
  <si>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</si>
  <si>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</si>
  <si>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</si>
  <si>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</si>
  <si>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</si>
  <si>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</si>
  <si>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</si>
  <si>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</si>
  <si>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</si>
  <si>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</si>
  <si>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</si>
  <si>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</si>
  <si>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</si>
  <si>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</si>
  <si>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</si>
  <si>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</si>
  <si>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</si>
  <si>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</si>
  <si>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</si>
  <si>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</si>
  <si>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</si>
  <si>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</si>
  <si>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</si>
  <si>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</si>
  <si>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</si>
  <si>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</si>
  <si>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</si>
  <si>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</si>
  <si>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</si>
  <si>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</si>
  <si>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</si>
  <si>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</si>
  <si>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</si>
  <si>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</si>
  <si>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</si>
  <si>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</si>
  <si>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</si>
  <si>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</si>
  <si>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</si>
  <si>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</si>
  <si>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</si>
  <si>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</si>
  <si>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</si>
  <si>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</si>
  <si>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</si>
  <si>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</si>
  <si>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</si>
  <si>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</si>
  <si>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</si>
  <si>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</si>
  <si>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</si>
  <si>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</si>
  <si>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</si>
  <si>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</si>
  <si>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</si>
  <si>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</si>
  <si>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</si>
  <si>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</si>
  <si>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</si>
  <si>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</si>
  <si>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</si>
  <si>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</si>
  <si>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</si>
  <si>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</si>
  <si>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</si>
  <si>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</si>
  <si>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</si>
  <si>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</si>
  <si>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</si>
  <si>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</si>
  <si>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</si>
  <si>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</si>
  <si>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</si>
  <si>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</si>
  <si>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</si>
  <si>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</si>
  <si>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</si>
  <si>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</si>
  <si>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</si>
  <si>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</si>
  <si>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</si>
  <si>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</si>
  <si>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</si>
  <si>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</si>
  <si>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</si>
  <si>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</si>
  <si>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</si>
  <si>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</si>
  <si>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</si>
  <si>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</si>
  <si>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</si>
  <si>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</si>
  <si>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</si>
  <si>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</si>
  <si>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</si>
  <si>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</si>
  <si>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</si>
  <si>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</si>
  <si>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</si>
  <si>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</si>
  <si>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</si>
  <si>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</si>
  <si>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</si>
  <si>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</si>
  <si>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</si>
  <si>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</si>
  <si>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</si>
  <si>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</si>
  <si>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</si>
  <si>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</si>
  <si>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</si>
  <si>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</si>
  <si>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</si>
  <si>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</si>
  <si>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</si>
  <si>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</si>
  <si>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</si>
  <si>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</si>
  <si>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</si>
  <si>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</si>
  <si>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</si>
  <si>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</si>
  <si>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</si>
  <si>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</si>
  <si>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</si>
  <si>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</si>
  <si>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</si>
  <si>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</si>
  <si>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</si>
  <si>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</si>
  <si>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</si>
  <si>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</si>
  <si>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</si>
  <si>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</si>
  <si>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</si>
  <si>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</si>
  <si>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</si>
  <si>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</si>
  <si>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</si>
  <si>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</si>
  <si>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</si>
  <si>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</si>
  <si>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</si>
  <si>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</si>
  <si>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</si>
  <si>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</si>
  <si>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</si>
  <si>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</si>
  <si>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</si>
  <si>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</si>
  <si>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</si>
  <si>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</si>
  <si>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</si>
  <si>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</si>
  <si>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</si>
  <si>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</si>
  <si>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</si>
  <si>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</si>
  <si>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</si>
  <si>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</si>
  <si>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</si>
  <si>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</si>
  <si>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</si>
  <si>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</si>
  <si>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</si>
  <si>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</si>
  <si>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</si>
  <si>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</si>
  <si>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</si>
  <si>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</si>
  <si>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</si>
  <si>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</si>
  <si>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</si>
  <si>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</si>
  <si>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</si>
  <si>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</si>
  <si>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</si>
  <si>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</si>
  <si>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</si>
  <si>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</si>
  <si>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</si>
  <si>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</si>
  <si>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</si>
  <si>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</si>
  <si>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</si>
  <si>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</si>
  <si>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</si>
  <si>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175</t>
  </si>
  <si>
    <t>Mary Bridge Children's Hospital</t>
  </si>
  <si>
    <t>311 South L Street</t>
  </si>
  <si>
    <t>Tacoma</t>
  </si>
  <si>
    <t>WA</t>
  </si>
  <si>
    <t>Pierce</t>
  </si>
  <si>
    <t>Bill Robertson</t>
  </si>
  <si>
    <t>James Lee</t>
  </si>
  <si>
    <t>John Wiborg</t>
  </si>
  <si>
    <t>(253) 403-1000</t>
  </si>
  <si>
    <t>(253) 459-7859</t>
  </si>
  <si>
    <t>12/31/2022</t>
  </si>
  <si>
    <t>&lt;&lt; previous based on ED Visits</t>
  </si>
  <si>
    <t>PY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</si>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</sst>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43" fontId="11" fillId="0" borderId="0" xfId="4" applyNumberFormat="1" applyFont="1"/>
    <xf numFmtId="38" fontId="15" fillId="8" borderId="14" xfId="0" applyNumberFormat="1" applyFont="1" applyFill="1" applyBorder="1" applyProtection="1">
      <protection locked="0"/>
    </xf>
    <xf numFmtId="37" fontId="15" fillId="8" borderId="1" xfId="0" quotePrefix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2" transitionEvaluation="1" transitionEntry="1" codeName="Sheet1">
    <tabColor rgb="FF92D050"/>
    <pageSetUpPr autoPageBreaks="0" fitToPage="1"/>
  </sheetPr>
  <dimension ref="A1:CG716"/>
  <sheetViews>
    <sheetView tabSelected="1" topLeftCell="A22" zoomScale="85" zoomScaleNormal="85" workbookViewId="0">
      <selection activeCell="B108" sqref="B10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3" t="s">
        <v>18</v>
      </c>
      <c r="B36" s="324"/>
      <c r="C36" s="325"/>
      <c r="D36" s="324"/>
      <c r="E36" s="324"/>
      <c r="F36" s="324"/>
      <c r="G36" s="324"/>
    </row>
    <row r="37" spans="1:83" x14ac:dyDescent="0.35">
      <c r="A37" s="326" t="s">
        <v>1342</v>
      </c>
      <c r="B37" s="327"/>
      <c r="C37" s="325"/>
      <c r="D37" s="324"/>
      <c r="E37" s="324"/>
      <c r="F37" s="324"/>
      <c r="G37" s="324"/>
    </row>
    <row r="38" spans="1:83" x14ac:dyDescent="0.35">
      <c r="A38" s="330" t="s">
        <v>1361</v>
      </c>
      <c r="B38" s="327"/>
      <c r="C38" s="325"/>
      <c r="D38" s="324"/>
      <c r="E38" s="324"/>
      <c r="F38" s="324"/>
      <c r="G38" s="324"/>
    </row>
    <row r="39" spans="1:83" x14ac:dyDescent="0.35">
      <c r="A39" s="329" t="s">
        <v>1343</v>
      </c>
      <c r="B39" s="324"/>
      <c r="C39" s="325"/>
      <c r="D39" s="324"/>
      <c r="E39" s="324"/>
      <c r="F39" s="324"/>
      <c r="G39" s="324"/>
    </row>
    <row r="40" spans="1:83" x14ac:dyDescent="0.35">
      <c r="A40" s="330" t="s">
        <v>1362</v>
      </c>
      <c r="B40" s="324"/>
      <c r="C40" s="325"/>
      <c r="D40" s="324"/>
      <c r="E40" s="324"/>
      <c r="F40" s="324"/>
      <c r="G40" s="32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332">
        <v>6010</v>
      </c>
      <c r="D44" s="332">
        <v>6030</v>
      </c>
      <c r="E44" s="332">
        <v>6070</v>
      </c>
      <c r="F44" s="332">
        <v>6100</v>
      </c>
      <c r="G44" s="332">
        <v>6120</v>
      </c>
      <c r="H44" s="332">
        <v>6140</v>
      </c>
      <c r="I44" s="332">
        <v>6150</v>
      </c>
      <c r="J44" s="332">
        <v>6170</v>
      </c>
      <c r="K44" s="332">
        <v>6200</v>
      </c>
      <c r="L44" s="332">
        <v>6210</v>
      </c>
      <c r="M44" s="332">
        <v>6330</v>
      </c>
      <c r="N44" s="332">
        <v>6400</v>
      </c>
      <c r="O44" s="332">
        <v>7010</v>
      </c>
      <c r="P44" s="332">
        <v>7020</v>
      </c>
      <c r="Q44" s="332">
        <v>7030</v>
      </c>
      <c r="R44" s="332">
        <v>7040</v>
      </c>
      <c r="S44" s="332">
        <v>7050</v>
      </c>
      <c r="T44" s="332">
        <v>7060</v>
      </c>
      <c r="U44" s="332">
        <v>7070</v>
      </c>
      <c r="V44" s="332">
        <v>7110</v>
      </c>
      <c r="W44" s="332">
        <v>7120</v>
      </c>
      <c r="X44" s="332">
        <v>7130</v>
      </c>
      <c r="Y44" s="332">
        <v>7140</v>
      </c>
      <c r="Z44" s="332">
        <v>7150</v>
      </c>
      <c r="AA44" s="332">
        <v>7160</v>
      </c>
      <c r="AB44" s="332">
        <v>7170</v>
      </c>
      <c r="AC44" s="332">
        <v>7180</v>
      </c>
      <c r="AD44" s="332">
        <v>7190</v>
      </c>
      <c r="AE44" s="332">
        <v>7200</v>
      </c>
      <c r="AF44" s="332">
        <v>7220</v>
      </c>
      <c r="AG44" s="332">
        <v>7230</v>
      </c>
      <c r="AH44" s="332">
        <v>7240</v>
      </c>
      <c r="AI44" s="332">
        <v>7250</v>
      </c>
      <c r="AJ44" s="332">
        <v>7260</v>
      </c>
      <c r="AK44" s="332">
        <v>7310</v>
      </c>
      <c r="AL44" s="332">
        <v>7320</v>
      </c>
      <c r="AM44" s="332">
        <v>7330</v>
      </c>
      <c r="AN44" s="332">
        <v>7340</v>
      </c>
      <c r="AO44" s="332">
        <v>7350</v>
      </c>
      <c r="AP44" s="332">
        <v>7380</v>
      </c>
      <c r="AQ44" s="332">
        <v>7390</v>
      </c>
      <c r="AR44" s="332">
        <v>7400</v>
      </c>
      <c r="AS44" s="332">
        <v>7410</v>
      </c>
      <c r="AT44" s="332">
        <v>7420</v>
      </c>
      <c r="AU44" s="332">
        <v>7430</v>
      </c>
      <c r="AV44" s="332">
        <v>7490</v>
      </c>
      <c r="AW44" s="332">
        <v>8200</v>
      </c>
      <c r="AX44" s="332">
        <v>8310</v>
      </c>
      <c r="AY44" s="332">
        <v>8320</v>
      </c>
      <c r="AZ44" s="332">
        <v>8330</v>
      </c>
      <c r="BA44" s="332">
        <v>8350</v>
      </c>
      <c r="BB44" s="332">
        <v>8360</v>
      </c>
      <c r="BC44" s="332">
        <v>8370</v>
      </c>
      <c r="BD44" s="332">
        <v>8420</v>
      </c>
      <c r="BE44" s="332">
        <v>8430</v>
      </c>
      <c r="BF44" s="332">
        <v>8460</v>
      </c>
      <c r="BG44" s="332">
        <v>8470</v>
      </c>
      <c r="BH44" s="332">
        <v>8480</v>
      </c>
      <c r="BI44" s="332">
        <v>8490</v>
      </c>
      <c r="BJ44" s="332">
        <v>8510</v>
      </c>
      <c r="BK44" s="332">
        <v>8530</v>
      </c>
      <c r="BL44" s="332">
        <v>8560</v>
      </c>
      <c r="BM44" s="332">
        <v>8590</v>
      </c>
      <c r="BN44" s="332">
        <v>8610</v>
      </c>
      <c r="BO44" s="332">
        <v>8620</v>
      </c>
      <c r="BP44" s="332">
        <v>8630</v>
      </c>
      <c r="BQ44" s="332">
        <v>8640</v>
      </c>
      <c r="BR44" s="332">
        <v>8650</v>
      </c>
      <c r="BS44" s="332">
        <v>8660</v>
      </c>
      <c r="BT44" s="332">
        <v>8670</v>
      </c>
      <c r="BU44" s="332">
        <v>8680</v>
      </c>
      <c r="BV44" s="332">
        <v>8690</v>
      </c>
      <c r="BW44" s="332">
        <v>8700</v>
      </c>
      <c r="BX44" s="332">
        <v>8710</v>
      </c>
      <c r="BY44" s="332">
        <v>8720</v>
      </c>
      <c r="BZ44" s="332">
        <v>8730</v>
      </c>
      <c r="CA44" s="332">
        <v>8740</v>
      </c>
      <c r="CB44" s="332">
        <v>8770</v>
      </c>
      <c r="CC44" s="332">
        <v>8790</v>
      </c>
      <c r="CD44" s="22" t="s">
        <v>100</v>
      </c>
      <c r="CE44" s="332">
        <v>9999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>
        <v>958277.01</v>
      </c>
      <c r="D47" s="24">
        <v>0</v>
      </c>
      <c r="E47" s="24">
        <v>2376252.2200000002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1382146.01</v>
      </c>
      <c r="Q47" s="24">
        <v>0</v>
      </c>
      <c r="R47" s="24">
        <v>0</v>
      </c>
      <c r="S47" s="24">
        <v>0</v>
      </c>
      <c r="T47" s="24">
        <v>685061.71000000008</v>
      </c>
      <c r="U47" s="24">
        <v>0</v>
      </c>
      <c r="V47" s="24">
        <v>0</v>
      </c>
      <c r="W47" s="24">
        <v>0</v>
      </c>
      <c r="X47" s="24">
        <v>0</v>
      </c>
      <c r="Y47" s="24">
        <v>55291.41</v>
      </c>
      <c r="Z47" s="24">
        <v>0</v>
      </c>
      <c r="AA47" s="24">
        <v>0</v>
      </c>
      <c r="AB47" s="24">
        <v>921772.72</v>
      </c>
      <c r="AC47" s="24">
        <v>357948.32999999996</v>
      </c>
      <c r="AD47" s="24">
        <v>0</v>
      </c>
      <c r="AE47" s="24">
        <v>520818.01</v>
      </c>
      <c r="AF47" s="24">
        <v>0</v>
      </c>
      <c r="AG47" s="24">
        <v>2419512.84</v>
      </c>
      <c r="AH47" s="24">
        <v>0</v>
      </c>
      <c r="AI47" s="24">
        <v>0</v>
      </c>
      <c r="AJ47" s="24">
        <v>5261540.99</v>
      </c>
      <c r="AK47" s="24">
        <v>894899.23</v>
      </c>
      <c r="AL47" s="24">
        <v>536725.56999999995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5757108.1200000001</v>
      </c>
      <c r="AW47" s="24">
        <v>328146.88</v>
      </c>
      <c r="AX47" s="24">
        <v>0</v>
      </c>
      <c r="AY47" s="24">
        <v>32072.35</v>
      </c>
      <c r="AZ47" s="24">
        <v>0</v>
      </c>
      <c r="BA47" s="24">
        <v>0</v>
      </c>
      <c r="BB47" s="24">
        <v>418443.01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887647.87</v>
      </c>
      <c r="BM47" s="24">
        <v>0</v>
      </c>
      <c r="BN47" s="24">
        <v>527502.92999999993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148875.56</v>
      </c>
      <c r="BY47" s="24">
        <v>152164.97000000003</v>
      </c>
      <c r="BZ47" s="24">
        <v>635704.88000000012</v>
      </c>
      <c r="CA47" s="24">
        <v>0</v>
      </c>
      <c r="CB47" s="24">
        <v>61400.46</v>
      </c>
      <c r="CC47" s="24">
        <v>1463542.62</v>
      </c>
      <c r="CD47" s="20"/>
      <c r="CE47" s="32">
        <f>SUM(C47:CC47)</f>
        <v>26782855.700000003</v>
      </c>
    </row>
    <row r="48" spans="1:83" x14ac:dyDescent="0.35">
      <c r="A48" s="32" t="s">
        <v>217</v>
      </c>
      <c r="B48" s="311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4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4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4" x14ac:dyDescent="0.35">
      <c r="A51" s="26" t="s">
        <v>219</v>
      </c>
      <c r="B51" s="24"/>
      <c r="C51" s="24">
        <v>358907.11</v>
      </c>
      <c r="D51" s="24">
        <v>0</v>
      </c>
      <c r="E51" s="24">
        <v>584318.64000000013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880604.99999999988</v>
      </c>
      <c r="Q51" s="24">
        <v>0</v>
      </c>
      <c r="R51" s="24">
        <v>0</v>
      </c>
      <c r="S51" s="24">
        <v>0</v>
      </c>
      <c r="T51" s="24">
        <v>110393.03</v>
      </c>
      <c r="U51" s="24">
        <v>0</v>
      </c>
      <c r="V51" s="24">
        <v>0</v>
      </c>
      <c r="W51" s="24">
        <v>0</v>
      </c>
      <c r="X51" s="24">
        <v>1390.07</v>
      </c>
      <c r="Y51" s="24">
        <v>64401.45</v>
      </c>
      <c r="Z51" s="24">
        <v>0</v>
      </c>
      <c r="AA51" s="24">
        <v>0</v>
      </c>
      <c r="AB51" s="24">
        <v>55575.970000000008</v>
      </c>
      <c r="AC51" s="24">
        <v>34389.160000000003</v>
      </c>
      <c r="AD51" s="24">
        <v>0</v>
      </c>
      <c r="AE51" s="24">
        <v>255304.13999999998</v>
      </c>
      <c r="AF51" s="24">
        <v>0</v>
      </c>
      <c r="AG51" s="24">
        <v>415745.36</v>
      </c>
      <c r="AH51" s="24">
        <v>0</v>
      </c>
      <c r="AI51" s="24">
        <v>0</v>
      </c>
      <c r="AJ51" s="24">
        <v>3484914.1399999992</v>
      </c>
      <c r="AK51" s="24">
        <v>313700.42</v>
      </c>
      <c r="AL51" s="24">
        <v>48936.340000000004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593324.62999999989</v>
      </c>
      <c r="AW51" s="24">
        <v>0</v>
      </c>
      <c r="AX51" s="24">
        <v>0</v>
      </c>
      <c r="AY51" s="24">
        <v>299.12</v>
      </c>
      <c r="AZ51" s="24">
        <v>0</v>
      </c>
      <c r="BA51" s="24">
        <v>0</v>
      </c>
      <c r="BB51" s="24">
        <v>2809.7699999999995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668455.68000000005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1046.78</v>
      </c>
      <c r="BY51" s="24">
        <v>3303.08</v>
      </c>
      <c r="BZ51" s="24">
        <v>0</v>
      </c>
      <c r="CA51" s="24">
        <v>0</v>
      </c>
      <c r="CB51" s="24">
        <v>14904.55</v>
      </c>
      <c r="CC51" s="24">
        <v>336576.10999999929</v>
      </c>
      <c r="CD51" s="20"/>
      <c r="CE51" s="32">
        <f>SUM(C51:CD51)</f>
        <v>8229300.549999997</v>
      </c>
    </row>
    <row r="52" spans="1:84" x14ac:dyDescent="0.35">
      <c r="A52" s="39" t="s">
        <v>220</v>
      </c>
      <c r="B52" s="312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4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4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4" x14ac:dyDescent="0.35">
      <c r="A55" s="26" t="s">
        <v>221</v>
      </c>
      <c r="B55" s="20"/>
      <c r="C55" s="332">
        <v>6010</v>
      </c>
      <c r="D55" s="332">
        <v>6030</v>
      </c>
      <c r="E55" s="332">
        <v>6070</v>
      </c>
      <c r="F55" s="332">
        <v>6100</v>
      </c>
      <c r="G55" s="332">
        <v>6120</v>
      </c>
      <c r="H55" s="332">
        <v>6140</v>
      </c>
      <c r="I55" s="332">
        <v>6150</v>
      </c>
      <c r="J55" s="332">
        <v>6170</v>
      </c>
      <c r="K55" s="332">
        <v>6200</v>
      </c>
      <c r="L55" s="332">
        <v>6210</v>
      </c>
      <c r="M55" s="332">
        <v>6330</v>
      </c>
      <c r="N55" s="332">
        <v>6400</v>
      </c>
      <c r="O55" s="332">
        <v>7010</v>
      </c>
      <c r="P55" s="332">
        <v>7020</v>
      </c>
      <c r="Q55" s="332">
        <v>7030</v>
      </c>
      <c r="R55" s="332">
        <v>7040</v>
      </c>
      <c r="S55" s="332">
        <v>7050</v>
      </c>
      <c r="T55" s="332">
        <v>7060</v>
      </c>
      <c r="U55" s="332">
        <v>7070</v>
      </c>
      <c r="V55" s="332">
        <v>7110</v>
      </c>
      <c r="W55" s="332">
        <v>7120</v>
      </c>
      <c r="X55" s="332">
        <v>7130</v>
      </c>
      <c r="Y55" s="332">
        <v>7140</v>
      </c>
      <c r="Z55" s="332">
        <v>7150</v>
      </c>
      <c r="AA55" s="332">
        <v>7160</v>
      </c>
      <c r="AB55" s="332">
        <v>7170</v>
      </c>
      <c r="AC55" s="332">
        <v>7180</v>
      </c>
      <c r="AD55" s="332">
        <v>7190</v>
      </c>
      <c r="AE55" s="332">
        <v>7200</v>
      </c>
      <c r="AF55" s="332">
        <v>7220</v>
      </c>
      <c r="AG55" s="332">
        <v>7230</v>
      </c>
      <c r="AH55" s="332">
        <v>7240</v>
      </c>
      <c r="AI55" s="332">
        <v>7250</v>
      </c>
      <c r="AJ55" s="332">
        <v>7260</v>
      </c>
      <c r="AK55" s="332">
        <v>7310</v>
      </c>
      <c r="AL55" s="332">
        <v>7320</v>
      </c>
      <c r="AM55" s="332">
        <v>7330</v>
      </c>
      <c r="AN55" s="332">
        <v>7340</v>
      </c>
      <c r="AO55" s="332">
        <v>7350</v>
      </c>
      <c r="AP55" s="332">
        <v>7380</v>
      </c>
      <c r="AQ55" s="332">
        <v>7390</v>
      </c>
      <c r="AR55" s="332">
        <v>7400</v>
      </c>
      <c r="AS55" s="332">
        <v>7410</v>
      </c>
      <c r="AT55" s="332">
        <v>7420</v>
      </c>
      <c r="AU55" s="332">
        <v>7430</v>
      </c>
      <c r="AV55" s="332">
        <v>7490</v>
      </c>
      <c r="AW55" s="332">
        <v>8200</v>
      </c>
      <c r="AX55" s="332">
        <v>8310</v>
      </c>
      <c r="AY55" s="332">
        <v>8320</v>
      </c>
      <c r="AZ55" s="332">
        <v>8330</v>
      </c>
      <c r="BA55" s="332">
        <v>8350</v>
      </c>
      <c r="BB55" s="332">
        <v>8360</v>
      </c>
      <c r="BC55" s="332">
        <v>8370</v>
      </c>
      <c r="BD55" s="332">
        <v>8420</v>
      </c>
      <c r="BE55" s="332">
        <v>8430</v>
      </c>
      <c r="BF55" s="332">
        <v>8460</v>
      </c>
      <c r="BG55" s="332">
        <v>8470</v>
      </c>
      <c r="BH55" s="332">
        <v>8480</v>
      </c>
      <c r="BI55" s="332">
        <v>8490</v>
      </c>
      <c r="BJ55" s="332">
        <v>8510</v>
      </c>
      <c r="BK55" s="332">
        <v>8530</v>
      </c>
      <c r="BL55" s="332">
        <v>8560</v>
      </c>
      <c r="BM55" s="332">
        <v>8590</v>
      </c>
      <c r="BN55" s="332">
        <v>8610</v>
      </c>
      <c r="BO55" s="332">
        <v>8620</v>
      </c>
      <c r="BP55" s="332">
        <v>8630</v>
      </c>
      <c r="BQ55" s="332">
        <v>8640</v>
      </c>
      <c r="BR55" s="332">
        <v>8650</v>
      </c>
      <c r="BS55" s="332">
        <v>8660</v>
      </c>
      <c r="BT55" s="332">
        <v>8670</v>
      </c>
      <c r="BU55" s="332">
        <v>8680</v>
      </c>
      <c r="BV55" s="332">
        <v>8690</v>
      </c>
      <c r="BW55" s="332">
        <v>8700</v>
      </c>
      <c r="BX55" s="332">
        <v>8710</v>
      </c>
      <c r="BY55" s="332">
        <v>8720</v>
      </c>
      <c r="BZ55" s="332">
        <v>8730</v>
      </c>
      <c r="CA55" s="332">
        <v>8740</v>
      </c>
      <c r="CB55" s="332">
        <v>8770</v>
      </c>
      <c r="CC55" s="332">
        <v>8790</v>
      </c>
      <c r="CD55" s="22" t="s">
        <v>100</v>
      </c>
      <c r="CE55" s="332">
        <v>9999</v>
      </c>
    </row>
    <row r="56" spans="1:84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4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4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4" x14ac:dyDescent="0.35">
      <c r="A59" s="39" t="s">
        <v>246</v>
      </c>
      <c r="B59" s="32"/>
      <c r="C59" s="24">
        <v>2623</v>
      </c>
      <c r="D59" s="24">
        <v>0</v>
      </c>
      <c r="E59" s="24">
        <v>12801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1083660</v>
      </c>
      <c r="Q59" s="24">
        <v>0</v>
      </c>
      <c r="R59" s="24">
        <v>0</v>
      </c>
      <c r="S59" s="313"/>
      <c r="T59" s="313"/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313"/>
      <c r="AC59" s="24">
        <v>41854.67</v>
      </c>
      <c r="AD59" s="24">
        <v>0</v>
      </c>
      <c r="AE59" s="24">
        <v>36649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40900</v>
      </c>
      <c r="AL59" s="24">
        <v>57200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17362</v>
      </c>
      <c r="AW59" s="313"/>
      <c r="AX59" s="313"/>
      <c r="AY59" s="30">
        <v>47488</v>
      </c>
      <c r="AZ59" s="30"/>
      <c r="BA59" s="313"/>
      <c r="BB59" s="313"/>
      <c r="BC59" s="313"/>
      <c r="BD59" s="313"/>
      <c r="BE59" s="30">
        <v>177381.27499999997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  <c r="CF59" s="12">
        <f>SUM(C59:CE59)</f>
        <v>1517918.9449999998</v>
      </c>
    </row>
    <row r="60" spans="1:84" s="225" customFormat="1" x14ac:dyDescent="0.35">
      <c r="A60" s="240" t="s">
        <v>247</v>
      </c>
      <c r="B60" s="241"/>
      <c r="C60" s="24">
        <v>39.676752734290858</v>
      </c>
      <c r="D60" s="24">
        <v>0</v>
      </c>
      <c r="E60" s="24">
        <v>99.817406150709942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45.718663692367315</v>
      </c>
      <c r="Q60" s="24">
        <v>0</v>
      </c>
      <c r="R60" s="24">
        <v>0</v>
      </c>
      <c r="S60" s="24">
        <v>0</v>
      </c>
      <c r="T60" s="24">
        <v>26.38393972241316</v>
      </c>
      <c r="U60" s="24">
        <v>0</v>
      </c>
      <c r="V60" s="24">
        <v>0</v>
      </c>
      <c r="W60" s="24">
        <v>0</v>
      </c>
      <c r="X60" s="24">
        <v>0</v>
      </c>
      <c r="Y60" s="24">
        <v>2.1685904106618374</v>
      </c>
      <c r="Z60" s="24">
        <v>0</v>
      </c>
      <c r="AA60" s="24">
        <v>0</v>
      </c>
      <c r="AB60" s="24">
        <v>34.915180132203403</v>
      </c>
      <c r="AC60" s="24">
        <v>14.513584244587181</v>
      </c>
      <c r="AD60" s="24">
        <v>0</v>
      </c>
      <c r="AE60" s="24">
        <v>20.725317120448587</v>
      </c>
      <c r="AF60" s="24">
        <v>0</v>
      </c>
      <c r="AG60" s="24">
        <v>95.647611630733195</v>
      </c>
      <c r="AH60" s="24">
        <v>0</v>
      </c>
      <c r="AI60" s="24">
        <v>0</v>
      </c>
      <c r="AJ60" s="24">
        <v>184.7756629883869</v>
      </c>
      <c r="AK60" s="24">
        <v>33.397628077616758</v>
      </c>
      <c r="AL60" s="24">
        <v>21.15455136696513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189.79916024797274</v>
      </c>
      <c r="AW60" s="24">
        <v>13.907134929601764</v>
      </c>
      <c r="AX60" s="24">
        <v>0</v>
      </c>
      <c r="AY60" s="24">
        <v>1.5643849312925502</v>
      </c>
      <c r="AZ60" s="24">
        <v>0</v>
      </c>
      <c r="BA60" s="24">
        <v>0</v>
      </c>
      <c r="BB60" s="24">
        <v>16.554381504581595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42.008807528491943</v>
      </c>
      <c r="BM60" s="24">
        <v>0</v>
      </c>
      <c r="BN60" s="24">
        <v>16.647284929226402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0</v>
      </c>
      <c r="BW60" s="24">
        <v>0</v>
      </c>
      <c r="BX60" s="24">
        <v>5.3292726020096897</v>
      </c>
      <c r="BY60" s="24">
        <v>4.9811856157560026</v>
      </c>
      <c r="BZ60" s="24">
        <v>32.044460954514463</v>
      </c>
      <c r="CA60" s="24">
        <v>0</v>
      </c>
      <c r="CB60" s="24">
        <v>2.5849705475911002</v>
      </c>
      <c r="CC60" s="24">
        <v>58.448508896102936</v>
      </c>
      <c r="CD60" s="246" t="s">
        <v>233</v>
      </c>
      <c r="CE60" s="267">
        <f t="shared" ref="CE60:CE68" si="4">SUM(C60:CD60)</f>
        <v>1002.7644409585255</v>
      </c>
    </row>
    <row r="61" spans="1:84" x14ac:dyDescent="0.35">
      <c r="A61" s="39" t="s">
        <v>248</v>
      </c>
      <c r="B61" s="20"/>
      <c r="C61" s="24">
        <v>5233787.28</v>
      </c>
      <c r="D61" s="24">
        <v>0</v>
      </c>
      <c r="E61" s="24">
        <v>12054126.269999998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9855992.8899999987</v>
      </c>
      <c r="Q61" s="24">
        <v>0</v>
      </c>
      <c r="R61" s="24">
        <v>0</v>
      </c>
      <c r="S61" s="24">
        <v>0</v>
      </c>
      <c r="T61" s="24">
        <v>2980592.79</v>
      </c>
      <c r="U61" s="24">
        <v>0</v>
      </c>
      <c r="V61" s="24">
        <v>0</v>
      </c>
      <c r="W61" s="24">
        <v>0</v>
      </c>
      <c r="X61" s="24">
        <v>0</v>
      </c>
      <c r="Y61" s="24">
        <v>233311.67</v>
      </c>
      <c r="Z61" s="24">
        <v>0</v>
      </c>
      <c r="AA61" s="24">
        <v>0</v>
      </c>
      <c r="AB61" s="24">
        <v>4422839.5199999996</v>
      </c>
      <c r="AC61" s="24">
        <v>1766333.7500000002</v>
      </c>
      <c r="AD61" s="24">
        <v>0</v>
      </c>
      <c r="AE61" s="24">
        <v>2113371.3199999998</v>
      </c>
      <c r="AF61" s="24">
        <v>0</v>
      </c>
      <c r="AG61" s="24">
        <v>17988389.580000002</v>
      </c>
      <c r="AH61" s="24">
        <v>0</v>
      </c>
      <c r="AI61" s="24">
        <v>0</v>
      </c>
      <c r="AJ61" s="24">
        <v>31202104.100000001</v>
      </c>
      <c r="AK61" s="24">
        <v>4155261.25</v>
      </c>
      <c r="AL61" s="24">
        <v>2201503.6800000002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32358579.419999998</v>
      </c>
      <c r="AW61" s="24">
        <v>1155270.54</v>
      </c>
      <c r="AX61" s="24">
        <v>0</v>
      </c>
      <c r="AY61" s="24">
        <v>68831.189999999988</v>
      </c>
      <c r="AZ61" s="24">
        <v>0</v>
      </c>
      <c r="BA61" s="24">
        <v>0</v>
      </c>
      <c r="BB61" s="24">
        <v>1748611.66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2244759.4900000002</v>
      </c>
      <c r="BM61" s="24">
        <v>0</v>
      </c>
      <c r="BN61" s="24">
        <v>3181467.6799999997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720092.24000000011</v>
      </c>
      <c r="BY61" s="24">
        <v>867620.14000000013</v>
      </c>
      <c r="BZ61" s="24">
        <v>2674870.96</v>
      </c>
      <c r="CA61" s="24">
        <v>0</v>
      </c>
      <c r="CB61" s="24">
        <v>225527.3</v>
      </c>
      <c r="CC61" s="24">
        <v>9083245.4600000009</v>
      </c>
      <c r="CD61" s="29" t="s">
        <v>233</v>
      </c>
      <c r="CE61" s="32">
        <f t="shared" si="4"/>
        <v>148536490.18000004</v>
      </c>
    </row>
    <row r="62" spans="1:84" x14ac:dyDescent="0.35">
      <c r="A62" s="39" t="s">
        <v>9</v>
      </c>
      <c r="B62" s="20"/>
      <c r="C62" s="32">
        <f>ROUND(C47+C48,0)</f>
        <v>958277</v>
      </c>
      <c r="D62" s="32">
        <f t="shared" ref="D62:BO62" si="5">ROUND(D47+D48,0)</f>
        <v>0</v>
      </c>
      <c r="E62" s="32">
        <f t="shared" si="5"/>
        <v>2376252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1382146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685062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55291</v>
      </c>
      <c r="Z62" s="32">
        <f t="shared" si="5"/>
        <v>0</v>
      </c>
      <c r="AA62" s="32">
        <f t="shared" si="5"/>
        <v>0</v>
      </c>
      <c r="AB62" s="32">
        <f t="shared" si="5"/>
        <v>921773</v>
      </c>
      <c r="AC62" s="32">
        <f t="shared" si="5"/>
        <v>357948</v>
      </c>
      <c r="AD62" s="32">
        <f t="shared" si="5"/>
        <v>0</v>
      </c>
      <c r="AE62" s="32">
        <f t="shared" si="5"/>
        <v>520818</v>
      </c>
      <c r="AF62" s="32">
        <f t="shared" si="5"/>
        <v>0</v>
      </c>
      <c r="AG62" s="32">
        <f t="shared" si="5"/>
        <v>2419513</v>
      </c>
      <c r="AH62" s="32">
        <f t="shared" si="5"/>
        <v>0</v>
      </c>
      <c r="AI62" s="32">
        <f t="shared" si="5"/>
        <v>0</v>
      </c>
      <c r="AJ62" s="32">
        <f t="shared" si="5"/>
        <v>5261541</v>
      </c>
      <c r="AK62" s="32">
        <f t="shared" si="5"/>
        <v>894899</v>
      </c>
      <c r="AL62" s="32">
        <f t="shared" si="5"/>
        <v>536726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5757108</v>
      </c>
      <c r="AW62" s="32">
        <f t="shared" si="5"/>
        <v>328147</v>
      </c>
      <c r="AX62" s="32">
        <f t="shared" si="5"/>
        <v>0</v>
      </c>
      <c r="AY62" s="32">
        <f t="shared" si="5"/>
        <v>32072</v>
      </c>
      <c r="AZ62" s="32">
        <f t="shared" si="5"/>
        <v>0</v>
      </c>
      <c r="BA62" s="32">
        <f t="shared" si="5"/>
        <v>0</v>
      </c>
      <c r="BB62" s="32">
        <f t="shared" si="5"/>
        <v>418443</v>
      </c>
      <c r="BC62" s="32">
        <f t="shared" si="5"/>
        <v>0</v>
      </c>
      <c r="BD62" s="32">
        <f t="shared" si="5"/>
        <v>0</v>
      </c>
      <c r="BE62" s="32">
        <f t="shared" si="5"/>
        <v>0</v>
      </c>
      <c r="BF62" s="32">
        <f t="shared" si="5"/>
        <v>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887648</v>
      </c>
      <c r="BM62" s="32">
        <f t="shared" si="5"/>
        <v>0</v>
      </c>
      <c r="BN62" s="32">
        <f t="shared" si="5"/>
        <v>527503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148876</v>
      </c>
      <c r="BY62" s="32">
        <f t="shared" si="6"/>
        <v>152165</v>
      </c>
      <c r="BZ62" s="32">
        <f t="shared" si="6"/>
        <v>635705</v>
      </c>
      <c r="CA62" s="32">
        <f t="shared" si="6"/>
        <v>0</v>
      </c>
      <c r="CB62" s="32">
        <f t="shared" si="6"/>
        <v>61400</v>
      </c>
      <c r="CC62" s="32">
        <f t="shared" si="6"/>
        <v>1463543</v>
      </c>
      <c r="CD62" s="29" t="s">
        <v>233</v>
      </c>
      <c r="CE62" s="32">
        <f t="shared" si="4"/>
        <v>26782856</v>
      </c>
    </row>
    <row r="63" spans="1:84" x14ac:dyDescent="0.35">
      <c r="A63" s="39" t="s">
        <v>249</v>
      </c>
      <c r="B63" s="20"/>
      <c r="C63" s="24">
        <v>1363114.7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777738.75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10776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50759.3</v>
      </c>
      <c r="AH63" s="24">
        <v>0</v>
      </c>
      <c r="AI63" s="24">
        <v>0</v>
      </c>
      <c r="AJ63" s="24">
        <v>11057773.440000001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773582.68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242761.16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24">
        <v>65799.490000000005</v>
      </c>
      <c r="CD63" s="29" t="s">
        <v>233</v>
      </c>
      <c r="CE63" s="32">
        <f t="shared" si="4"/>
        <v>14342305.520000001</v>
      </c>
    </row>
    <row r="64" spans="1:84" x14ac:dyDescent="0.35">
      <c r="A64" s="39" t="s">
        <v>250</v>
      </c>
      <c r="B64" s="20"/>
      <c r="C64" s="24">
        <v>360361.04</v>
      </c>
      <c r="D64" s="24">
        <v>0</v>
      </c>
      <c r="E64" s="24">
        <v>714598.79999999993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503155.84</v>
      </c>
      <c r="Q64" s="24">
        <v>0</v>
      </c>
      <c r="R64" s="24">
        <v>0</v>
      </c>
      <c r="S64" s="24">
        <v>0</v>
      </c>
      <c r="T64" s="24">
        <v>2327356.16</v>
      </c>
      <c r="U64" s="24">
        <v>2500</v>
      </c>
      <c r="V64" s="24">
        <v>0</v>
      </c>
      <c r="W64" s="24">
        <v>0</v>
      </c>
      <c r="X64" s="24">
        <v>0</v>
      </c>
      <c r="Y64" s="24">
        <v>2603.98</v>
      </c>
      <c r="Z64" s="24">
        <v>0</v>
      </c>
      <c r="AA64" s="24">
        <v>0</v>
      </c>
      <c r="AB64" s="24">
        <v>21411782.019999996</v>
      </c>
      <c r="AC64" s="24">
        <v>287621.45</v>
      </c>
      <c r="AD64" s="24">
        <v>0</v>
      </c>
      <c r="AE64" s="24">
        <v>16072.77</v>
      </c>
      <c r="AF64" s="24">
        <v>0</v>
      </c>
      <c r="AG64" s="24">
        <v>1106459.8700000001</v>
      </c>
      <c r="AH64" s="24">
        <v>0</v>
      </c>
      <c r="AI64" s="24">
        <v>0</v>
      </c>
      <c r="AJ64" s="24">
        <v>1250411.53</v>
      </c>
      <c r="AK64" s="24">
        <v>48732.29</v>
      </c>
      <c r="AL64" s="24">
        <v>59859.280000000006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1720068.1500000001</v>
      </c>
      <c r="AW64" s="24">
        <v>0</v>
      </c>
      <c r="AX64" s="24">
        <v>0</v>
      </c>
      <c r="AY64" s="24">
        <v>109252.22</v>
      </c>
      <c r="AZ64" s="24">
        <v>0</v>
      </c>
      <c r="BA64" s="24">
        <v>0</v>
      </c>
      <c r="BB64" s="24">
        <v>22787.659999999993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19283.7</v>
      </c>
      <c r="BM64" s="24">
        <v>0</v>
      </c>
      <c r="BN64" s="24">
        <v>62698.95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203.97</v>
      </c>
      <c r="BZ64" s="24">
        <v>0</v>
      </c>
      <c r="CA64" s="24">
        <v>0</v>
      </c>
      <c r="CB64" s="24">
        <v>3946.42</v>
      </c>
      <c r="CC64" s="24">
        <v>188915.16</v>
      </c>
      <c r="CD64" s="29" t="s">
        <v>233</v>
      </c>
      <c r="CE64" s="32">
        <f t="shared" si="4"/>
        <v>30218671.259999994</v>
      </c>
    </row>
    <row r="65" spans="1:83" x14ac:dyDescent="0.35">
      <c r="A65" s="39" t="s">
        <v>251</v>
      </c>
      <c r="B65" s="20"/>
      <c r="C65" s="24">
        <v>61713.120000000003</v>
      </c>
      <c r="D65" s="24">
        <v>0</v>
      </c>
      <c r="E65" s="24">
        <v>132406.06999999998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96381.68</v>
      </c>
      <c r="Q65" s="24">
        <v>0</v>
      </c>
      <c r="R65" s="24">
        <v>0</v>
      </c>
      <c r="S65" s="24">
        <v>0</v>
      </c>
      <c r="T65" s="24">
        <v>30790.77</v>
      </c>
      <c r="U65" s="24">
        <v>0</v>
      </c>
      <c r="V65" s="24">
        <v>0</v>
      </c>
      <c r="W65" s="24">
        <v>0</v>
      </c>
      <c r="X65" s="24">
        <v>35.65</v>
      </c>
      <c r="Y65" s="24">
        <v>5060.5</v>
      </c>
      <c r="Z65" s="24">
        <v>0</v>
      </c>
      <c r="AA65" s="24">
        <v>0</v>
      </c>
      <c r="AB65" s="24">
        <v>17324.72</v>
      </c>
      <c r="AC65" s="24">
        <v>3035.8700000000003</v>
      </c>
      <c r="AD65" s="24">
        <v>0</v>
      </c>
      <c r="AE65" s="24">
        <v>55331.850000000006</v>
      </c>
      <c r="AF65" s="24">
        <v>0</v>
      </c>
      <c r="AG65" s="24">
        <v>69220.13</v>
      </c>
      <c r="AH65" s="24">
        <v>0</v>
      </c>
      <c r="AI65" s="24">
        <v>0</v>
      </c>
      <c r="AJ65" s="24">
        <v>293857.7</v>
      </c>
      <c r="AK65" s="24">
        <v>63917.06</v>
      </c>
      <c r="AL65" s="24">
        <v>28472.520000000004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139607.48000000001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7367.93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41820.39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1493.35</v>
      </c>
      <c r="BY65" s="24">
        <v>1084.2700000000002</v>
      </c>
      <c r="BZ65" s="24">
        <v>0</v>
      </c>
      <c r="CA65" s="24">
        <v>0</v>
      </c>
      <c r="CB65" s="24">
        <v>2286.7999999999997</v>
      </c>
      <c r="CC65" s="24">
        <v>49688.56</v>
      </c>
      <c r="CD65" s="29" t="s">
        <v>233</v>
      </c>
      <c r="CE65" s="32">
        <f t="shared" si="4"/>
        <v>1100896.4200000002</v>
      </c>
    </row>
    <row r="66" spans="1:83" x14ac:dyDescent="0.35">
      <c r="A66" s="39" t="s">
        <v>252</v>
      </c>
      <c r="B66" s="20"/>
      <c r="C66" s="24">
        <v>206183.1</v>
      </c>
      <c r="D66" s="24">
        <v>0</v>
      </c>
      <c r="E66" s="24">
        <v>997293.22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3666815.5</v>
      </c>
      <c r="Q66" s="24">
        <v>0</v>
      </c>
      <c r="R66" s="24">
        <v>0</v>
      </c>
      <c r="S66" s="24">
        <v>0</v>
      </c>
      <c r="T66" s="24">
        <v>173628.14</v>
      </c>
      <c r="U66" s="24">
        <v>2961984.69</v>
      </c>
      <c r="V66" s="24">
        <v>0</v>
      </c>
      <c r="W66" s="24">
        <v>0</v>
      </c>
      <c r="X66" s="24">
        <v>0</v>
      </c>
      <c r="Y66" s="24">
        <v>2964.91</v>
      </c>
      <c r="Z66" s="24">
        <v>0</v>
      </c>
      <c r="AA66" s="24">
        <v>0</v>
      </c>
      <c r="AB66" s="24">
        <v>186825</v>
      </c>
      <c r="AC66" s="24">
        <v>10610.82</v>
      </c>
      <c r="AD66" s="24">
        <v>0</v>
      </c>
      <c r="AE66" s="24">
        <v>547633.76</v>
      </c>
      <c r="AF66" s="24">
        <v>0</v>
      </c>
      <c r="AG66" s="24">
        <v>1485225.34</v>
      </c>
      <c r="AH66" s="24">
        <v>0</v>
      </c>
      <c r="AI66" s="24">
        <v>0</v>
      </c>
      <c r="AJ66" s="24">
        <v>9362471.6500000004</v>
      </c>
      <c r="AK66" s="24">
        <v>657539.86</v>
      </c>
      <c r="AL66" s="24">
        <v>548210.64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13484539.01</v>
      </c>
      <c r="AW66" s="24">
        <v>428646.09</v>
      </c>
      <c r="AX66" s="24">
        <v>0</v>
      </c>
      <c r="AY66" s="24">
        <v>11512.29</v>
      </c>
      <c r="AZ66" s="24">
        <v>0</v>
      </c>
      <c r="BA66" s="24">
        <v>0</v>
      </c>
      <c r="BB66" s="24">
        <v>1337.9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300</v>
      </c>
      <c r="BM66" s="24">
        <v>0</v>
      </c>
      <c r="BN66" s="24">
        <v>3898729.7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-0.01</v>
      </c>
      <c r="BY66" s="24">
        <v>711.44</v>
      </c>
      <c r="BZ66" s="24">
        <v>-2137626.89</v>
      </c>
      <c r="CA66" s="24">
        <v>0</v>
      </c>
      <c r="CB66" s="24">
        <v>11906.53</v>
      </c>
      <c r="CC66" s="24">
        <f>14592159.56+74998915</f>
        <v>89591074.560000002</v>
      </c>
      <c r="CD66" s="29" t="s">
        <v>233</v>
      </c>
      <c r="CE66" s="32">
        <f t="shared" si="4"/>
        <v>126098517.25</v>
      </c>
    </row>
    <row r="67" spans="1:83" x14ac:dyDescent="0.35">
      <c r="A67" s="39" t="s">
        <v>11</v>
      </c>
      <c r="B67" s="20"/>
      <c r="C67" s="32">
        <f t="shared" ref="C67:BN67" si="7">ROUND(C51+C52,0)</f>
        <v>358907</v>
      </c>
      <c r="D67" s="32">
        <f t="shared" si="7"/>
        <v>0</v>
      </c>
      <c r="E67" s="32">
        <f t="shared" si="7"/>
        <v>584319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880605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110393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1390</v>
      </c>
      <c r="Y67" s="32">
        <f t="shared" si="7"/>
        <v>64401</v>
      </c>
      <c r="Z67" s="32">
        <f t="shared" si="7"/>
        <v>0</v>
      </c>
      <c r="AA67" s="32">
        <f t="shared" si="7"/>
        <v>0</v>
      </c>
      <c r="AB67" s="32">
        <f t="shared" si="7"/>
        <v>55576</v>
      </c>
      <c r="AC67" s="32">
        <f t="shared" si="7"/>
        <v>34389</v>
      </c>
      <c r="AD67" s="32">
        <f t="shared" si="7"/>
        <v>0</v>
      </c>
      <c r="AE67" s="32">
        <f t="shared" si="7"/>
        <v>255304</v>
      </c>
      <c r="AF67" s="32">
        <f t="shared" si="7"/>
        <v>0</v>
      </c>
      <c r="AG67" s="32">
        <f t="shared" si="7"/>
        <v>415745</v>
      </c>
      <c r="AH67" s="32">
        <f t="shared" si="7"/>
        <v>0</v>
      </c>
      <c r="AI67" s="32">
        <f t="shared" si="7"/>
        <v>0</v>
      </c>
      <c r="AJ67" s="32">
        <f t="shared" si="7"/>
        <v>3484914</v>
      </c>
      <c r="AK67" s="32">
        <f t="shared" si="7"/>
        <v>313700</v>
      </c>
      <c r="AL67" s="32">
        <f t="shared" si="7"/>
        <v>48936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593325</v>
      </c>
      <c r="AW67" s="32">
        <f t="shared" si="7"/>
        <v>0</v>
      </c>
      <c r="AX67" s="32">
        <f t="shared" si="7"/>
        <v>0</v>
      </c>
      <c r="AY67" s="32">
        <f t="shared" si="7"/>
        <v>299</v>
      </c>
      <c r="AZ67" s="32">
        <f t="shared" si="7"/>
        <v>0</v>
      </c>
      <c r="BA67" s="32">
        <f t="shared" si="7"/>
        <v>0</v>
      </c>
      <c r="BB67" s="32">
        <f t="shared" si="7"/>
        <v>2810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668456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1047</v>
      </c>
      <c r="BY67" s="32">
        <f t="shared" si="8"/>
        <v>3303</v>
      </c>
      <c r="BZ67" s="32">
        <f t="shared" si="8"/>
        <v>0</v>
      </c>
      <c r="CA67" s="32">
        <f t="shared" si="8"/>
        <v>0</v>
      </c>
      <c r="CB67" s="32">
        <f t="shared" si="8"/>
        <v>14905</v>
      </c>
      <c r="CC67" s="32">
        <f t="shared" si="8"/>
        <v>336576</v>
      </c>
      <c r="CD67" s="29" t="s">
        <v>233</v>
      </c>
      <c r="CE67" s="32">
        <f t="shared" si="4"/>
        <v>8229300</v>
      </c>
    </row>
    <row r="68" spans="1:83" x14ac:dyDescent="0.35">
      <c r="A68" s="39" t="s">
        <v>253</v>
      </c>
      <c r="B68" s="32"/>
      <c r="C68" s="24">
        <v>3403.6800000000003</v>
      </c>
      <c r="D68" s="24">
        <v>0</v>
      </c>
      <c r="E68" s="24">
        <v>11162.25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9480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63011.439999999981</v>
      </c>
      <c r="AF68" s="24">
        <v>0</v>
      </c>
      <c r="AG68" s="24">
        <v>9480</v>
      </c>
      <c r="AH68" s="24">
        <v>0</v>
      </c>
      <c r="AI68" s="24">
        <v>0</v>
      </c>
      <c r="AJ68" s="24">
        <v>2567643.9499999997</v>
      </c>
      <c r="AK68" s="24">
        <v>63011.560000000005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2579193.7399999998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63498.960000000014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670643.62999999989</v>
      </c>
      <c r="CD68" s="29" t="s">
        <v>233</v>
      </c>
      <c r="CE68" s="32">
        <f t="shared" si="4"/>
        <v>6040529.209999999</v>
      </c>
    </row>
    <row r="69" spans="1:83" x14ac:dyDescent="0.35">
      <c r="A69" s="39" t="s">
        <v>254</v>
      </c>
      <c r="B69" s="20"/>
      <c r="C69" s="32">
        <f t="shared" ref="C69:BN69" si="9">SUM(C70:C83)</f>
        <v>88538.4</v>
      </c>
      <c r="D69" s="32">
        <f t="shared" si="9"/>
        <v>0</v>
      </c>
      <c r="E69" s="32">
        <f t="shared" si="9"/>
        <v>133975.32999999999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58413.050000000047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52052.530000000013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492.13000000000102</v>
      </c>
      <c r="Z69" s="32">
        <f t="shared" si="9"/>
        <v>0</v>
      </c>
      <c r="AA69" s="32">
        <f t="shared" si="9"/>
        <v>0</v>
      </c>
      <c r="AB69" s="32">
        <f t="shared" si="9"/>
        <v>7083.1399999999812</v>
      </c>
      <c r="AC69" s="32">
        <f t="shared" si="9"/>
        <v>7744.0900000000056</v>
      </c>
      <c r="AD69" s="32">
        <f t="shared" si="9"/>
        <v>0</v>
      </c>
      <c r="AE69" s="32">
        <f t="shared" si="9"/>
        <v>4662.2799999999988</v>
      </c>
      <c r="AF69" s="32">
        <f t="shared" si="9"/>
        <v>0</v>
      </c>
      <c r="AG69" s="32">
        <f t="shared" si="9"/>
        <v>277807.48999999993</v>
      </c>
      <c r="AH69" s="32">
        <f t="shared" si="9"/>
        <v>0</v>
      </c>
      <c r="AI69" s="32">
        <f t="shared" si="9"/>
        <v>0</v>
      </c>
      <c r="AJ69" s="32">
        <f t="shared" si="9"/>
        <v>558176.94999999972</v>
      </c>
      <c r="AK69" s="32">
        <f t="shared" si="9"/>
        <v>23310.22</v>
      </c>
      <c r="AL69" s="32">
        <f t="shared" si="9"/>
        <v>-1786.5899999999965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247520.81000000014</v>
      </c>
      <c r="AW69" s="32">
        <f t="shared" si="9"/>
        <v>14993.029999999999</v>
      </c>
      <c r="AX69" s="32">
        <f t="shared" si="9"/>
        <v>0</v>
      </c>
      <c r="AY69" s="32">
        <f t="shared" si="9"/>
        <v>-601.0600000000004</v>
      </c>
      <c r="AZ69" s="32">
        <f t="shared" si="9"/>
        <v>0</v>
      </c>
      <c r="BA69" s="32">
        <f t="shared" si="9"/>
        <v>0</v>
      </c>
      <c r="BB69" s="32">
        <f t="shared" si="9"/>
        <v>1281.3400000000001</v>
      </c>
      <c r="BC69" s="32">
        <f t="shared" si="9"/>
        <v>0</v>
      </c>
      <c r="BD69" s="32">
        <f t="shared" si="9"/>
        <v>0</v>
      </c>
      <c r="BE69" s="32">
        <f t="shared" si="9"/>
        <v>0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1207438.7700000003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51.930000000000746</v>
      </c>
      <c r="BY69" s="32">
        <f t="shared" si="10"/>
        <v>49.139999999999645</v>
      </c>
      <c r="BZ69" s="32">
        <f t="shared" si="10"/>
        <v>86404.170000000013</v>
      </c>
      <c r="CA69" s="32">
        <f t="shared" si="10"/>
        <v>0</v>
      </c>
      <c r="CB69" s="32">
        <f t="shared" si="10"/>
        <v>7420.8900000000031</v>
      </c>
      <c r="CC69" s="32">
        <f t="shared" si="10"/>
        <v>9508122.9899999984</v>
      </c>
      <c r="CD69" s="32">
        <f t="shared" si="10"/>
        <v>12102889.360000001</v>
      </c>
      <c r="CE69" s="32">
        <f>SUM(CE70:CE84)</f>
        <v>40497496.530000001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5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5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5" x14ac:dyDescent="0.35">
      <c r="A83" s="33" t="s">
        <v>268</v>
      </c>
      <c r="B83" s="20"/>
      <c r="C83" s="24">
        <v>88538.4</v>
      </c>
      <c r="D83" s="24">
        <v>0</v>
      </c>
      <c r="E83" s="24">
        <v>133975.32999999999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58413.050000000047</v>
      </c>
      <c r="Q83" s="24">
        <v>0</v>
      </c>
      <c r="R83" s="24">
        <v>0</v>
      </c>
      <c r="S83" s="24">
        <v>0</v>
      </c>
      <c r="T83" s="24">
        <v>52052.530000000013</v>
      </c>
      <c r="U83" s="24">
        <v>0</v>
      </c>
      <c r="V83" s="24">
        <v>0</v>
      </c>
      <c r="W83" s="24">
        <v>0</v>
      </c>
      <c r="X83" s="24">
        <v>0</v>
      </c>
      <c r="Y83" s="24">
        <v>492.13000000000102</v>
      </c>
      <c r="Z83" s="24">
        <v>0</v>
      </c>
      <c r="AA83" s="24">
        <v>0</v>
      </c>
      <c r="AB83" s="24">
        <v>7083.1399999999812</v>
      </c>
      <c r="AC83" s="24">
        <v>7744.0900000000056</v>
      </c>
      <c r="AD83" s="24">
        <v>0</v>
      </c>
      <c r="AE83" s="24">
        <v>4662.2799999999988</v>
      </c>
      <c r="AF83" s="24">
        <v>0</v>
      </c>
      <c r="AG83" s="24">
        <v>277807.48999999993</v>
      </c>
      <c r="AH83" s="24">
        <v>0</v>
      </c>
      <c r="AI83" s="24">
        <v>0</v>
      </c>
      <c r="AJ83" s="24">
        <v>558176.94999999972</v>
      </c>
      <c r="AK83" s="24">
        <v>23310.22</v>
      </c>
      <c r="AL83" s="24">
        <v>-1786.5899999999965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247520.81000000014</v>
      </c>
      <c r="AW83" s="24">
        <v>14993.029999999999</v>
      </c>
      <c r="AX83" s="24">
        <v>0</v>
      </c>
      <c r="AY83" s="24">
        <v>-601.0600000000004</v>
      </c>
      <c r="AZ83" s="24">
        <v>0</v>
      </c>
      <c r="BA83" s="24">
        <v>0</v>
      </c>
      <c r="BB83" s="24">
        <v>1281.3400000000001</v>
      </c>
      <c r="BC83" s="24">
        <v>0</v>
      </c>
      <c r="BD83" s="24">
        <v>0</v>
      </c>
      <c r="BE83" s="24">
        <v>0</v>
      </c>
      <c r="BF83" s="24">
        <v>0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1207438.7700000003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51.930000000000746</v>
      </c>
      <c r="BY83" s="24">
        <v>49.139999999999645</v>
      </c>
      <c r="BZ83" s="24">
        <v>86404.170000000013</v>
      </c>
      <c r="CA83" s="24">
        <v>0</v>
      </c>
      <c r="CB83" s="24">
        <v>7420.8900000000031</v>
      </c>
      <c r="CC83" s="24">
        <v>9508122.9899999984</v>
      </c>
      <c r="CD83" s="24">
        <v>12102889.360000001</v>
      </c>
      <c r="CE83" s="32">
        <f t="shared" si="11"/>
        <v>24386040.390000001</v>
      </c>
    </row>
    <row r="84" spans="1:85" x14ac:dyDescent="0.35">
      <c r="A84" s="39" t="s">
        <v>269</v>
      </c>
      <c r="B84" s="20"/>
      <c r="C84" s="24">
        <v>8987.4699999999993</v>
      </c>
      <c r="D84" s="24">
        <v>0</v>
      </c>
      <c r="E84" s="24">
        <v>20504.57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6646.94</v>
      </c>
      <c r="Q84" s="24">
        <v>0</v>
      </c>
      <c r="R84" s="24">
        <v>0</v>
      </c>
      <c r="S84" s="24">
        <v>0</v>
      </c>
      <c r="T84" s="24">
        <v>950</v>
      </c>
      <c r="U84" s="24">
        <v>2961984.6900000004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3641.9199999999996</v>
      </c>
      <c r="AC84" s="24">
        <v>0</v>
      </c>
      <c r="AD84" s="24">
        <v>0</v>
      </c>
      <c r="AE84" s="24">
        <v>0</v>
      </c>
      <c r="AF84" s="24">
        <v>0</v>
      </c>
      <c r="AG84" s="24">
        <v>519520.91000000003</v>
      </c>
      <c r="AH84" s="24">
        <v>0</v>
      </c>
      <c r="AI84" s="24">
        <v>0</v>
      </c>
      <c r="AJ84" s="24">
        <v>1193850.53</v>
      </c>
      <c r="AK84" s="24">
        <v>15343.66</v>
      </c>
      <c r="AL84" s="24">
        <v>34572.910000000003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3619654.3899999997</v>
      </c>
      <c r="AW84" s="24">
        <v>2171.27</v>
      </c>
      <c r="AX84" s="24">
        <v>0</v>
      </c>
      <c r="AY84" s="24">
        <v>229945.31000000003</v>
      </c>
      <c r="AZ84" s="24">
        <v>0</v>
      </c>
      <c r="BA84" s="24">
        <v>0</v>
      </c>
      <c r="BB84" s="24">
        <v>773382.30999999994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41120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364947.64999999997</v>
      </c>
      <c r="CC84" s="24">
        <v>6314231.6100000003</v>
      </c>
      <c r="CD84" s="24">
        <v>0</v>
      </c>
      <c r="CE84" s="32">
        <f t="shared" si="11"/>
        <v>16111456.140000001</v>
      </c>
    </row>
    <row r="85" spans="1:85" x14ac:dyDescent="0.35">
      <c r="A85" s="39" t="s">
        <v>270</v>
      </c>
      <c r="B85" s="32"/>
      <c r="C85" s="32">
        <f>SUM(C61:C69)-C84</f>
        <v>8625297.8499999996</v>
      </c>
      <c r="D85" s="32">
        <f t="shared" ref="D85:BO85" si="12">SUM(D61:D69)-D84</f>
        <v>0</v>
      </c>
      <c r="E85" s="32">
        <f t="shared" si="12"/>
        <v>16983628.369999997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17224081.769999996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6358925.3899999997</v>
      </c>
      <c r="U85" s="32">
        <f t="shared" si="12"/>
        <v>2499.9999999995343</v>
      </c>
      <c r="V85" s="32">
        <f t="shared" si="12"/>
        <v>10776</v>
      </c>
      <c r="W85" s="32">
        <f t="shared" si="12"/>
        <v>0</v>
      </c>
      <c r="X85" s="32">
        <f t="shared" si="12"/>
        <v>1425.65</v>
      </c>
      <c r="Y85" s="32">
        <f t="shared" si="12"/>
        <v>364125.19</v>
      </c>
      <c r="Z85" s="32">
        <f t="shared" si="12"/>
        <v>0</v>
      </c>
      <c r="AA85" s="32">
        <f t="shared" si="12"/>
        <v>0</v>
      </c>
      <c r="AB85" s="32">
        <f t="shared" si="12"/>
        <v>27019561.479999993</v>
      </c>
      <c r="AC85" s="32">
        <f t="shared" si="12"/>
        <v>2467682.98</v>
      </c>
      <c r="AD85" s="32">
        <f t="shared" si="12"/>
        <v>0</v>
      </c>
      <c r="AE85" s="32">
        <f t="shared" si="12"/>
        <v>3576205.42</v>
      </c>
      <c r="AF85" s="32">
        <f t="shared" si="12"/>
        <v>0</v>
      </c>
      <c r="AG85" s="32">
        <f t="shared" si="12"/>
        <v>23303078.800000001</v>
      </c>
      <c r="AH85" s="32">
        <f t="shared" si="12"/>
        <v>0</v>
      </c>
      <c r="AI85" s="32">
        <f t="shared" si="12"/>
        <v>0</v>
      </c>
      <c r="AJ85" s="32">
        <f t="shared" si="12"/>
        <v>63845043.790000014</v>
      </c>
      <c r="AK85" s="32">
        <f t="shared" si="12"/>
        <v>6205027.5799999991</v>
      </c>
      <c r="AL85" s="32">
        <f t="shared" si="12"/>
        <v>3387348.62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54033869.899999999</v>
      </c>
      <c r="AW85" s="32">
        <f t="shared" si="12"/>
        <v>1924885.3900000001</v>
      </c>
      <c r="AX85" s="32">
        <f t="shared" si="12"/>
        <v>0</v>
      </c>
      <c r="AY85" s="32">
        <f t="shared" si="12"/>
        <v>-8579.6700000000419</v>
      </c>
      <c r="AZ85" s="32">
        <f t="shared" si="12"/>
        <v>0</v>
      </c>
      <c r="BA85" s="32">
        <f t="shared" si="12"/>
        <v>0</v>
      </c>
      <c r="BB85" s="32">
        <f t="shared" si="12"/>
        <v>1429257.1800000002</v>
      </c>
      <c r="BC85" s="32">
        <f t="shared" si="12"/>
        <v>0</v>
      </c>
      <c r="BD85" s="32">
        <f t="shared" si="12"/>
        <v>0</v>
      </c>
      <c r="BE85" s="32">
        <f t="shared" si="12"/>
        <v>0</v>
      </c>
      <c r="BF85" s="32">
        <f t="shared" si="12"/>
        <v>0</v>
      </c>
      <c r="BG85" s="32">
        <f t="shared" si="12"/>
        <v>0</v>
      </c>
      <c r="BH85" s="32">
        <f t="shared" si="12"/>
        <v>0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3151991.1900000004</v>
      </c>
      <c r="BM85" s="32">
        <f t="shared" si="12"/>
        <v>0</v>
      </c>
      <c r="BN85" s="32">
        <f t="shared" si="12"/>
        <v>9853254.6100000013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0</v>
      </c>
      <c r="BW85" s="32">
        <f t="shared" si="13"/>
        <v>0</v>
      </c>
      <c r="BX85" s="32">
        <f t="shared" si="13"/>
        <v>871560.51000000013</v>
      </c>
      <c r="BY85" s="32">
        <f t="shared" si="13"/>
        <v>1025136.9600000001</v>
      </c>
      <c r="BZ85" s="32">
        <f t="shared" si="13"/>
        <v>1259353.2399999998</v>
      </c>
      <c r="CA85" s="32">
        <f t="shared" si="13"/>
        <v>0</v>
      </c>
      <c r="CB85" s="32">
        <f t="shared" si="13"/>
        <v>-37554.709999999963</v>
      </c>
      <c r="CC85" s="32">
        <f t="shared" si="13"/>
        <v>104643377.23999999</v>
      </c>
      <c r="CD85" s="32">
        <f t="shared" si="13"/>
        <v>12102889.360000001</v>
      </c>
      <c r="CE85" s="32">
        <f t="shared" si="11"/>
        <v>369624150.09000003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31405572.210000001</v>
      </c>
      <c r="D87" s="24">
        <v>0</v>
      </c>
      <c r="E87" s="24">
        <v>77865424.120000005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61041820.999999993</v>
      </c>
      <c r="Q87" s="24">
        <v>0</v>
      </c>
      <c r="R87" s="24">
        <v>0</v>
      </c>
      <c r="S87" s="24">
        <v>0</v>
      </c>
      <c r="T87" s="24">
        <v>5107506</v>
      </c>
      <c r="U87" s="24">
        <v>13535328.000000002</v>
      </c>
      <c r="V87" s="24">
        <v>264580</v>
      </c>
      <c r="W87" s="24">
        <v>4114969.45</v>
      </c>
      <c r="X87" s="24">
        <v>4486306.7</v>
      </c>
      <c r="Y87" s="24">
        <v>5004136.6500000004</v>
      </c>
      <c r="Z87" s="24">
        <v>1028374.5499999999</v>
      </c>
      <c r="AA87" s="24">
        <v>118246</v>
      </c>
      <c r="AB87" s="24">
        <v>32705404</v>
      </c>
      <c r="AC87" s="24">
        <v>14498509</v>
      </c>
      <c r="AD87" s="24">
        <v>0</v>
      </c>
      <c r="AE87" s="24">
        <v>655516</v>
      </c>
      <c r="AF87" s="24">
        <v>0</v>
      </c>
      <c r="AG87" s="24">
        <v>30916322.559999999</v>
      </c>
      <c r="AH87" s="24">
        <v>0</v>
      </c>
      <c r="AI87" s="24">
        <v>0</v>
      </c>
      <c r="AJ87" s="24">
        <v>4188632.4000000004</v>
      </c>
      <c r="AK87" s="24">
        <v>751073</v>
      </c>
      <c r="AL87" s="24">
        <v>228424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3703852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291619997.63999999</v>
      </c>
      <c r="CF87" s="12">
        <f>E157</f>
        <v>291619997.6400001</v>
      </c>
      <c r="CG87" s="12">
        <f>CF87-CE87</f>
        <v>0</v>
      </c>
    </row>
    <row r="88" spans="1:85" x14ac:dyDescent="0.35">
      <c r="A88" s="26" t="s">
        <v>273</v>
      </c>
      <c r="B88" s="20"/>
      <c r="C88" s="24">
        <v>240010</v>
      </c>
      <c r="D88" s="24">
        <v>0</v>
      </c>
      <c r="E88" s="24">
        <v>7304821.7199999997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336">
        <f>160337275.5+3822771</f>
        <v>164160046.5</v>
      </c>
      <c r="Q88" s="24">
        <v>0</v>
      </c>
      <c r="R88" s="24">
        <v>0</v>
      </c>
      <c r="S88" s="24">
        <v>0</v>
      </c>
      <c r="T88" s="24">
        <v>9444637.7300000004</v>
      </c>
      <c r="U88" s="24">
        <v>20719911</v>
      </c>
      <c r="V88" s="24">
        <v>534196</v>
      </c>
      <c r="W88" s="24">
        <v>14545512.199999999</v>
      </c>
      <c r="X88" s="24">
        <v>7992967.3500000006</v>
      </c>
      <c r="Y88" s="24">
        <v>29775150.649999999</v>
      </c>
      <c r="Z88" s="24">
        <v>1275578.8500000001</v>
      </c>
      <c r="AA88" s="24">
        <v>1277917</v>
      </c>
      <c r="AB88" s="24">
        <v>93310039.799999997</v>
      </c>
      <c r="AC88" s="24">
        <v>154059</v>
      </c>
      <c r="AD88" s="24">
        <v>0</v>
      </c>
      <c r="AE88" s="24">
        <v>5825405</v>
      </c>
      <c r="AF88" s="24">
        <v>0</v>
      </c>
      <c r="AG88" s="24">
        <v>167965983.31999999</v>
      </c>
      <c r="AH88" s="24">
        <v>0</v>
      </c>
      <c r="AI88" s="24">
        <v>0</v>
      </c>
      <c r="AJ88" s="24">
        <v>101943114.22</v>
      </c>
      <c r="AK88" s="24">
        <v>11541121</v>
      </c>
      <c r="AL88" s="24">
        <v>6378073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77199705.890000001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4">
        <v>142169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721730419.2299999</v>
      </c>
      <c r="CF88" s="12">
        <f>E158</f>
        <v>721730419.23000002</v>
      </c>
      <c r="CG88" s="12">
        <f>CF88-CE88</f>
        <v>0</v>
      </c>
    </row>
    <row r="89" spans="1:85" x14ac:dyDescent="0.35">
      <c r="A89" s="26" t="s">
        <v>274</v>
      </c>
      <c r="B89" s="20"/>
      <c r="C89" s="32">
        <f>C87+C88</f>
        <v>31645582.210000001</v>
      </c>
      <c r="D89" s="32">
        <f t="shared" ref="D89:AV89" si="15">D87+D88</f>
        <v>0</v>
      </c>
      <c r="E89" s="32">
        <f t="shared" si="15"/>
        <v>85170245.840000004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225201867.5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14552143.73</v>
      </c>
      <c r="U89" s="32">
        <f t="shared" si="15"/>
        <v>34255239</v>
      </c>
      <c r="V89" s="32">
        <f t="shared" si="15"/>
        <v>798776</v>
      </c>
      <c r="W89" s="32">
        <f t="shared" si="15"/>
        <v>18660481.649999999</v>
      </c>
      <c r="X89" s="32">
        <f t="shared" si="15"/>
        <v>12479274.050000001</v>
      </c>
      <c r="Y89" s="32">
        <f t="shared" si="15"/>
        <v>34779287.299999997</v>
      </c>
      <c r="Z89" s="32">
        <f t="shared" si="15"/>
        <v>2303953.4</v>
      </c>
      <c r="AA89" s="32">
        <f t="shared" si="15"/>
        <v>1396163</v>
      </c>
      <c r="AB89" s="32">
        <f t="shared" si="15"/>
        <v>126015443.8</v>
      </c>
      <c r="AC89" s="32">
        <f t="shared" si="15"/>
        <v>14652568</v>
      </c>
      <c r="AD89" s="32">
        <f t="shared" si="15"/>
        <v>0</v>
      </c>
      <c r="AE89" s="32">
        <f t="shared" si="15"/>
        <v>6480921</v>
      </c>
      <c r="AF89" s="32">
        <f t="shared" si="15"/>
        <v>0</v>
      </c>
      <c r="AG89" s="32">
        <f t="shared" si="15"/>
        <v>198882305.88</v>
      </c>
      <c r="AH89" s="32">
        <f t="shared" si="15"/>
        <v>0</v>
      </c>
      <c r="AI89" s="32">
        <f t="shared" si="15"/>
        <v>0</v>
      </c>
      <c r="AJ89" s="32">
        <f t="shared" si="15"/>
        <v>106131746.62</v>
      </c>
      <c r="AK89" s="32">
        <f t="shared" si="15"/>
        <v>12292194</v>
      </c>
      <c r="AL89" s="32">
        <f t="shared" si="15"/>
        <v>6606497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80903557.890000001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32">
        <f t="shared" ref="BB89" si="16">BB87+BB88</f>
        <v>142169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1013350416.87</v>
      </c>
    </row>
    <row r="90" spans="1:85" x14ac:dyDescent="0.35">
      <c r="A90" s="39" t="s">
        <v>275</v>
      </c>
      <c r="B90" s="32"/>
      <c r="C90" s="24">
        <v>16852.080000000005</v>
      </c>
      <c r="D90" s="24">
        <v>0</v>
      </c>
      <c r="E90" s="24">
        <v>36239.879999999983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6697.9449999999979</v>
      </c>
      <c r="Q90" s="24">
        <v>0</v>
      </c>
      <c r="R90" s="24">
        <v>0</v>
      </c>
      <c r="S90" s="24">
        <v>0</v>
      </c>
      <c r="T90" s="24">
        <v>1875.72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1856.45</v>
      </c>
      <c r="AC90" s="24">
        <v>531.75</v>
      </c>
      <c r="AD90" s="24">
        <v>0</v>
      </c>
      <c r="AE90" s="24">
        <v>0</v>
      </c>
      <c r="AF90" s="24">
        <v>0</v>
      </c>
      <c r="AG90" s="24">
        <v>17277.179999999993</v>
      </c>
      <c r="AH90" s="24">
        <v>0</v>
      </c>
      <c r="AI90" s="24">
        <v>0</v>
      </c>
      <c r="AJ90" s="24">
        <v>2470.7350000000006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780.97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218.76</v>
      </c>
      <c r="BC90" s="24">
        <v>0</v>
      </c>
      <c r="BD90" s="24">
        <v>0</v>
      </c>
      <c r="BE90" s="24">
        <v>0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3723.5700000000006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0</v>
      </c>
      <c r="BX90" s="24">
        <v>81.5</v>
      </c>
      <c r="BY90" s="24">
        <v>0</v>
      </c>
      <c r="BZ90" s="24">
        <v>0</v>
      </c>
      <c r="CA90" s="24">
        <v>0</v>
      </c>
      <c r="CB90" s="24">
        <v>0</v>
      </c>
      <c r="CC90" s="24">
        <v>88774.735000000001</v>
      </c>
      <c r="CD90" s="263" t="s">
        <v>233</v>
      </c>
      <c r="CE90" s="32">
        <f t="shared" si="14"/>
        <v>177381.27499999997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3657</v>
      </c>
      <c r="D91" s="24">
        <v>0</v>
      </c>
      <c r="E91" s="24">
        <v>38938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27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4802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64</v>
      </c>
      <c r="AW91" s="24">
        <v>0</v>
      </c>
      <c r="AX91" s="314" t="s">
        <v>233</v>
      </c>
      <c r="AY91" s="314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4"/>
        <v>47488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1735.5491336431821</v>
      </c>
      <c r="D92" s="24">
        <v>0</v>
      </c>
      <c r="E92" s="24">
        <v>17781.38466196146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4907.2106341532026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7608.7099008312598</v>
      </c>
      <c r="AH92" s="24">
        <v>0</v>
      </c>
      <c r="AI92" s="24">
        <v>0</v>
      </c>
      <c r="AJ92" s="24">
        <v>3327.1456694108947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14" t="s">
        <v>233</v>
      </c>
      <c r="AY92" s="314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4"/>
        <v>35359.999999999993</v>
      </c>
      <c r="CF92" s="20"/>
    </row>
    <row r="93" spans="1:85" x14ac:dyDescent="0.35">
      <c r="A93" s="26" t="s">
        <v>278</v>
      </c>
      <c r="B93" s="20"/>
      <c r="C93" s="24">
        <v>39171.72</v>
      </c>
      <c r="D93" s="24">
        <v>0</v>
      </c>
      <c r="E93" s="24">
        <v>184013.97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43814.77</v>
      </c>
      <c r="Q93" s="24">
        <v>0</v>
      </c>
      <c r="R93" s="24">
        <v>0</v>
      </c>
      <c r="S93" s="24">
        <v>0</v>
      </c>
      <c r="T93" s="24">
        <v>5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4427.6499999999996</v>
      </c>
      <c r="AC93" s="24">
        <v>0</v>
      </c>
      <c r="AD93" s="24">
        <v>0</v>
      </c>
      <c r="AE93" s="24">
        <v>1954.85</v>
      </c>
      <c r="AF93" s="24">
        <v>0</v>
      </c>
      <c r="AG93" s="24">
        <v>0</v>
      </c>
      <c r="AH93" s="24">
        <v>0</v>
      </c>
      <c r="AI93" s="24">
        <v>0</v>
      </c>
      <c r="AJ93" s="24">
        <v>37007.369999999995</v>
      </c>
      <c r="AK93" s="24">
        <v>1224.4000000000001</v>
      </c>
      <c r="AL93" s="24">
        <v>665.8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1951.1999999999998</v>
      </c>
      <c r="AW93" s="24">
        <v>0</v>
      </c>
      <c r="AX93" s="314" t="s">
        <v>233</v>
      </c>
      <c r="AY93" s="24">
        <v>325.45</v>
      </c>
      <c r="AZ93" s="29" t="s">
        <v>233</v>
      </c>
      <c r="BA93" s="29" t="s">
        <v>233</v>
      </c>
      <c r="BB93" s="24">
        <v>0</v>
      </c>
      <c r="BC93" s="24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1264.8</v>
      </c>
      <c r="CD93" s="29" t="s">
        <v>233</v>
      </c>
      <c r="CE93" s="32">
        <f t="shared" si="14"/>
        <v>315826.98000000004</v>
      </c>
      <c r="CF93" s="32">
        <f>BA59</f>
        <v>0</v>
      </c>
    </row>
    <row r="94" spans="1:85" x14ac:dyDescent="0.35">
      <c r="A94" s="26" t="s">
        <v>279</v>
      </c>
      <c r="B94" s="20"/>
      <c r="C94" s="24">
        <v>27.638478763337194</v>
      </c>
      <c r="D94" s="24">
        <v>0</v>
      </c>
      <c r="E94" s="24">
        <v>69.509031497327541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21.3767725998114</v>
      </c>
      <c r="Q94" s="24">
        <v>0</v>
      </c>
      <c r="R94" s="24">
        <v>0</v>
      </c>
      <c r="S94" s="24">
        <v>0</v>
      </c>
      <c r="T94" s="24">
        <v>12.51684862842235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9.589041094576844E-6</v>
      </c>
      <c r="AD94" s="24">
        <v>0</v>
      </c>
      <c r="AE94" s="24">
        <v>0</v>
      </c>
      <c r="AF94" s="24">
        <v>0</v>
      </c>
      <c r="AG94" s="24">
        <v>44.32546711721568</v>
      </c>
      <c r="AH94" s="24">
        <v>0</v>
      </c>
      <c r="AI94" s="24">
        <v>0</v>
      </c>
      <c r="AJ94" s="24">
        <v>29.378707530222094</v>
      </c>
      <c r="AK94" s="24">
        <v>1.9646171230185454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14.146678765185387</v>
      </c>
      <c r="AW94" s="24">
        <v>0.30980753420413593</v>
      </c>
      <c r="AX94" s="314" t="s">
        <v>233</v>
      </c>
      <c r="AY94" s="314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4">
        <v>3.4952054789732603E-3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" t="s">
        <v>233</v>
      </c>
      <c r="BV94" s="29" t="s">
        <v>233</v>
      </c>
      <c r="BW94" s="29" t="s">
        <v>233</v>
      </c>
      <c r="BX94" s="24">
        <v>2.3325342462558175E-2</v>
      </c>
      <c r="BY94" s="24">
        <v>3.3015068488628077E-2</v>
      </c>
      <c r="BZ94" s="336">
        <f>3.76143082140254+0.0662458904018841</f>
        <v>3.8276767118044241</v>
      </c>
      <c r="CA94" s="29" t="s">
        <v>233</v>
      </c>
      <c r="CB94" s="29" t="s">
        <v>233</v>
      </c>
      <c r="CC94" s="29" t="s">
        <v>233</v>
      </c>
      <c r="CD94" s="29" t="s">
        <v>233</v>
      </c>
      <c r="CE94" s="266">
        <f t="shared" si="14"/>
        <v>225.05393147602001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15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7">
        <v>98405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47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1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1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335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38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4284</v>
      </c>
      <c r="D127" s="50">
        <v>16051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22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0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60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0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82</v>
      </c>
    </row>
    <row r="144" spans="1:5" x14ac:dyDescent="0.35">
      <c r="A144" s="20" t="s">
        <v>325</v>
      </c>
      <c r="B144" s="46" t="s">
        <v>284</v>
      </c>
      <c r="C144" s="47">
        <v>82</v>
      </c>
      <c r="D144" s="20"/>
      <c r="E144" s="20"/>
    </row>
    <row r="145" spans="1:13" x14ac:dyDescent="0.35">
      <c r="A145" s="20" t="s">
        <v>326</v>
      </c>
      <c r="B145" s="46" t="s">
        <v>284</v>
      </c>
      <c r="C145" s="47"/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6" t="s">
        <v>284</v>
      </c>
      <c r="C147" s="47"/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8" t="s">
        <v>328</v>
      </c>
      <c r="B152" s="49"/>
      <c r="C152" s="49"/>
      <c r="D152" s="49"/>
      <c r="E152" s="49"/>
    </row>
    <row r="153" spans="1:13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3" x14ac:dyDescent="0.35">
      <c r="A154" s="20" t="s">
        <v>309</v>
      </c>
      <c r="B154" s="50">
        <v>0</v>
      </c>
      <c r="C154" s="50">
        <v>2447</v>
      </c>
      <c r="D154" s="50">
        <v>1837</v>
      </c>
      <c r="E154" s="32">
        <f>SUM(B154:D154)</f>
        <v>4284</v>
      </c>
    </row>
    <row r="155" spans="1:13" x14ac:dyDescent="0.35">
      <c r="A155" s="20" t="s">
        <v>227</v>
      </c>
      <c r="B155" s="50">
        <v>0</v>
      </c>
      <c r="C155" s="50">
        <v>10795</v>
      </c>
      <c r="D155" s="50">
        <v>5256</v>
      </c>
      <c r="E155" s="32">
        <f>SUM(B155:D155)</f>
        <v>16051</v>
      </c>
    </row>
    <row r="156" spans="1:13" x14ac:dyDescent="0.35">
      <c r="A156" s="20" t="s">
        <v>332</v>
      </c>
      <c r="B156" s="50">
        <v>154</v>
      </c>
      <c r="C156" s="50">
        <v>77739</v>
      </c>
      <c r="D156" s="50">
        <v>60972</v>
      </c>
      <c r="E156" s="32">
        <f>SUM(B156:D156)</f>
        <v>138865</v>
      </c>
      <c r="G156" s="20" t="s">
        <v>332</v>
      </c>
      <c r="H156" s="50">
        <v>9.9100710195271979</v>
      </c>
      <c r="I156" s="50">
        <v>40683.990524254783</v>
      </c>
      <c r="J156" s="50">
        <v>30398.099404725701</v>
      </c>
      <c r="K156" s="32">
        <v>71092.000000000015</v>
      </c>
      <c r="L156" s="12">
        <f>E156-K156</f>
        <v>67772.999999999985</v>
      </c>
      <c r="M156" s="12" t="s">
        <v>1376</v>
      </c>
    </row>
    <row r="157" spans="1:13" x14ac:dyDescent="0.35">
      <c r="A157" s="20" t="s">
        <v>272</v>
      </c>
      <c r="B157" s="50">
        <v>40651.196862189201</v>
      </c>
      <c r="C157" s="50">
        <v>166886080.29973787</v>
      </c>
      <c r="D157" s="50">
        <v>124693266.14340003</v>
      </c>
      <c r="E157" s="32">
        <f>SUM(B157:D157)</f>
        <v>291619997.6400001</v>
      </c>
      <c r="F157" s="18">
        <f>C358</f>
        <v>291619997.63999999</v>
      </c>
      <c r="G157" s="12">
        <f>F157-E157</f>
        <v>0</v>
      </c>
    </row>
    <row r="158" spans="1:13" x14ac:dyDescent="0.35">
      <c r="A158" s="20" t="s">
        <v>273</v>
      </c>
      <c r="B158" s="50">
        <v>100607.65925170819</v>
      </c>
      <c r="C158" s="50">
        <v>413026409.96201754</v>
      </c>
      <c r="D158" s="50">
        <v>308603401.60873085</v>
      </c>
      <c r="E158" s="32">
        <f>SUM(B158:D158)</f>
        <v>721730419.23000002</v>
      </c>
      <c r="F158" s="18">
        <f>C359</f>
        <v>721730419.23000002</v>
      </c>
      <c r="G158" s="12">
        <f t="shared" ref="G158" si="17">F158-E158</f>
        <v>0</v>
      </c>
    </row>
    <row r="159" spans="1:13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3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6" x14ac:dyDescent="0.35">
      <c r="A177" s="25"/>
      <c r="B177" s="25"/>
      <c r="C177" s="54"/>
      <c r="D177" s="55"/>
      <c r="E177" s="20"/>
    </row>
    <row r="178" spans="1:6" x14ac:dyDescent="0.35">
      <c r="A178" s="25"/>
      <c r="B178" s="25"/>
      <c r="C178" s="54"/>
      <c r="D178" s="55"/>
      <c r="E178" s="20"/>
    </row>
    <row r="179" spans="1:6" x14ac:dyDescent="0.35">
      <c r="A179" s="49" t="s">
        <v>339</v>
      </c>
      <c r="B179" s="38"/>
      <c r="C179" s="38"/>
      <c r="D179" s="38"/>
      <c r="E179" s="38"/>
    </row>
    <row r="180" spans="1:6" x14ac:dyDescent="0.35">
      <c r="A180" s="45" t="s">
        <v>340</v>
      </c>
      <c r="B180" s="45"/>
      <c r="C180" s="45"/>
      <c r="D180" s="45"/>
      <c r="E180" s="45"/>
    </row>
    <row r="181" spans="1:6" x14ac:dyDescent="0.35">
      <c r="A181" s="20" t="s">
        <v>341</v>
      </c>
      <c r="B181" s="46" t="s">
        <v>284</v>
      </c>
      <c r="C181" s="47">
        <v>8952027.3899999987</v>
      </c>
      <c r="D181" s="20"/>
      <c r="E181" s="20"/>
    </row>
    <row r="182" spans="1:6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6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6" x14ac:dyDescent="0.35">
      <c r="A184" s="20" t="s">
        <v>344</v>
      </c>
      <c r="B184" s="46" t="s">
        <v>284</v>
      </c>
      <c r="C184" s="47">
        <v>12627476.210000001</v>
      </c>
      <c r="D184" s="20"/>
      <c r="E184" s="20"/>
    </row>
    <row r="185" spans="1:6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6" x14ac:dyDescent="0.35">
      <c r="A186" s="20" t="s">
        <v>346</v>
      </c>
      <c r="B186" s="46" t="s">
        <v>284</v>
      </c>
      <c r="C186" s="47">
        <v>0</v>
      </c>
      <c r="D186" s="20"/>
      <c r="E186" s="20"/>
    </row>
    <row r="187" spans="1:6" x14ac:dyDescent="0.35">
      <c r="A187" s="20" t="s">
        <v>347</v>
      </c>
      <c r="B187" s="46" t="s">
        <v>284</v>
      </c>
      <c r="C187" s="47">
        <v>5172238.4999999991</v>
      </c>
      <c r="D187" s="20"/>
      <c r="E187" s="20"/>
    </row>
    <row r="188" spans="1:6" x14ac:dyDescent="0.35">
      <c r="A188" s="20" t="s">
        <v>347</v>
      </c>
      <c r="B188" s="46" t="s">
        <v>284</v>
      </c>
      <c r="C188" s="47">
        <v>30991.69</v>
      </c>
      <c r="D188" s="20"/>
      <c r="E188" s="20"/>
      <c r="F188" s="12" t="s">
        <v>1377</v>
      </c>
    </row>
    <row r="189" spans="1:6" x14ac:dyDescent="0.35">
      <c r="A189" s="20" t="s">
        <v>215</v>
      </c>
      <c r="B189" s="20"/>
      <c r="C189" s="27"/>
      <c r="D189" s="32">
        <f>SUM(C181:C188)</f>
        <v>26782733.790000003</v>
      </c>
      <c r="E189" s="20"/>
      <c r="F189" s="12">
        <f>'Prior Year'!D190</f>
        <v>24179932.020000003</v>
      </c>
    </row>
    <row r="190" spans="1:6" x14ac:dyDescent="0.35">
      <c r="A190" s="45" t="s">
        <v>348</v>
      </c>
      <c r="B190" s="45"/>
      <c r="C190" s="45"/>
      <c r="D190" s="45"/>
      <c r="E190" s="45"/>
    </row>
    <row r="191" spans="1:6" x14ac:dyDescent="0.35">
      <c r="A191" s="20" t="s">
        <v>349</v>
      </c>
      <c r="B191" s="46" t="s">
        <v>284</v>
      </c>
      <c r="C191" s="47">
        <v>6022194.25</v>
      </c>
      <c r="D191" s="20"/>
      <c r="E191" s="20"/>
    </row>
    <row r="192" spans="1:6" x14ac:dyDescent="0.35">
      <c r="A192" s="20" t="s">
        <v>350</v>
      </c>
      <c r="B192" s="46" t="s">
        <v>284</v>
      </c>
      <c r="C192" s="47">
        <v>18334.96</v>
      </c>
      <c r="D192" s="20"/>
      <c r="E192" s="20"/>
    </row>
    <row r="193" spans="1:6" x14ac:dyDescent="0.35">
      <c r="A193" s="20" t="s">
        <v>215</v>
      </c>
      <c r="B193" s="20"/>
      <c r="C193" s="27"/>
      <c r="D193" s="32">
        <f>SUM(C191:C192)</f>
        <v>6040529.21</v>
      </c>
      <c r="E193" s="20"/>
      <c r="F193" s="12">
        <f>'Prior Year'!D194</f>
        <v>5337596.24</v>
      </c>
    </row>
    <row r="194" spans="1:6" x14ac:dyDescent="0.35">
      <c r="A194" s="45" t="s">
        <v>351</v>
      </c>
      <c r="B194" s="45"/>
      <c r="C194" s="45"/>
      <c r="D194" s="45"/>
      <c r="E194" s="45"/>
    </row>
    <row r="195" spans="1:6" x14ac:dyDescent="0.35">
      <c r="A195" s="20" t="s">
        <v>352</v>
      </c>
      <c r="B195" s="46" t="s">
        <v>284</v>
      </c>
      <c r="C195" s="47">
        <v>5598566.9400000004</v>
      </c>
      <c r="D195" s="20"/>
      <c r="E195" s="20"/>
    </row>
    <row r="196" spans="1:6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6" x14ac:dyDescent="0.35">
      <c r="A197" s="20" t="s">
        <v>215</v>
      </c>
      <c r="B197" s="20"/>
      <c r="C197" s="27"/>
      <c r="D197" s="32">
        <f>SUM(C195:C196)</f>
        <v>5598566.9400000004</v>
      </c>
      <c r="E197" s="20"/>
      <c r="F197" s="12">
        <f>'Prior Year'!D198</f>
        <v>5512007.1399999997</v>
      </c>
    </row>
    <row r="198" spans="1:6" x14ac:dyDescent="0.35">
      <c r="A198" s="45" t="s">
        <v>354</v>
      </c>
      <c r="B198" s="45"/>
      <c r="C198" s="45"/>
      <c r="D198" s="45"/>
      <c r="E198" s="45"/>
    </row>
    <row r="199" spans="1:6" x14ac:dyDescent="0.35">
      <c r="A199" s="20" t="s">
        <v>355</v>
      </c>
      <c r="B199" s="46" t="s">
        <v>284</v>
      </c>
      <c r="C199" s="47">
        <v>255854.16999999998</v>
      </c>
      <c r="D199" s="20"/>
      <c r="E199" s="20"/>
    </row>
    <row r="200" spans="1:6" x14ac:dyDescent="0.35">
      <c r="A200" s="20" t="s">
        <v>356</v>
      </c>
      <c r="B200" s="46" t="s">
        <v>284</v>
      </c>
      <c r="C200" s="47">
        <v>3524184.33</v>
      </c>
      <c r="D200" s="20"/>
      <c r="E200" s="20"/>
    </row>
    <row r="201" spans="1:6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6" x14ac:dyDescent="0.35">
      <c r="A202" s="20" t="s">
        <v>215</v>
      </c>
      <c r="B202" s="20"/>
      <c r="C202" s="27"/>
      <c r="D202" s="32">
        <f>SUM(C199:C201)</f>
        <v>3780038.5</v>
      </c>
      <c r="E202" s="20"/>
      <c r="F202" s="12">
        <f>'Prior Year'!D203</f>
        <v>3532489.9699999997</v>
      </c>
    </row>
    <row r="203" spans="1:6" x14ac:dyDescent="0.35">
      <c r="A203" s="45" t="s">
        <v>357</v>
      </c>
      <c r="B203" s="45"/>
      <c r="C203" s="45"/>
      <c r="D203" s="45"/>
      <c r="E203" s="45"/>
    </row>
    <row r="204" spans="1:6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6" x14ac:dyDescent="0.35">
      <c r="A205" s="20" t="s">
        <v>359</v>
      </c>
      <c r="B205" s="46" t="s">
        <v>284</v>
      </c>
      <c r="C205" s="47">
        <v>2724283.92</v>
      </c>
      <c r="D205" s="20"/>
      <c r="E205" s="20"/>
    </row>
    <row r="206" spans="1:6" x14ac:dyDescent="0.35">
      <c r="A206" s="20" t="s">
        <v>215</v>
      </c>
      <c r="B206" s="20"/>
      <c r="C206" s="27"/>
      <c r="D206" s="32">
        <f>SUM(C204:C205)</f>
        <v>2724283.92</v>
      </c>
      <c r="E206" s="20"/>
      <c r="F206" s="12">
        <f>'Prior Year'!D207</f>
        <v>2861613.2399999998</v>
      </c>
    </row>
    <row r="207" spans="1:6" x14ac:dyDescent="0.35">
      <c r="A207" s="20"/>
      <c r="B207" s="20"/>
      <c r="C207" s="27"/>
      <c r="D207" s="20"/>
      <c r="E207" s="20"/>
    </row>
    <row r="208" spans="1:6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774202</v>
      </c>
      <c r="C211" s="47">
        <v>0</v>
      </c>
      <c r="D211" s="50">
        <v>0</v>
      </c>
      <c r="E211" s="32">
        <f t="shared" ref="E211:E219" si="18">SUM(B211:C211)-D211</f>
        <v>774202</v>
      </c>
    </row>
    <row r="212" spans="1:5" x14ac:dyDescent="0.35">
      <c r="A212" s="20" t="s">
        <v>367</v>
      </c>
      <c r="B212" s="50">
        <v>472407.19</v>
      </c>
      <c r="C212" s="47">
        <v>0</v>
      </c>
      <c r="D212" s="50">
        <v>0</v>
      </c>
      <c r="E212" s="32">
        <f t="shared" si="18"/>
        <v>472407.19</v>
      </c>
    </row>
    <row r="213" spans="1:5" x14ac:dyDescent="0.35">
      <c r="A213" s="20" t="s">
        <v>368</v>
      </c>
      <c r="B213" s="50">
        <v>140656008.25</v>
      </c>
      <c r="C213" s="47">
        <v>893701.58</v>
      </c>
      <c r="D213" s="50">
        <v>0</v>
      </c>
      <c r="E213" s="32">
        <f t="shared" si="18"/>
        <v>141549709.83000001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8"/>
        <v>0</v>
      </c>
    </row>
    <row r="215" spans="1:5" x14ac:dyDescent="0.35">
      <c r="A215" s="20" t="s">
        <v>370</v>
      </c>
      <c r="B215" s="50">
        <v>2442391.4599999995</v>
      </c>
      <c r="C215" s="47">
        <v>51479.93</v>
      </c>
      <c r="D215" s="50">
        <v>0</v>
      </c>
      <c r="E215" s="32">
        <f t="shared" si="18"/>
        <v>2493871.3899999997</v>
      </c>
    </row>
    <row r="216" spans="1:5" x14ac:dyDescent="0.35">
      <c r="A216" s="20" t="s">
        <v>371</v>
      </c>
      <c r="B216" s="50">
        <v>39019486.230000004</v>
      </c>
      <c r="C216" s="47">
        <v>2487022.1399999992</v>
      </c>
      <c r="D216" s="50">
        <v>3925359.5699999994</v>
      </c>
      <c r="E216" s="32">
        <f t="shared" si="18"/>
        <v>37581148.800000004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8"/>
        <v>0</v>
      </c>
    </row>
    <row r="218" spans="1:5" x14ac:dyDescent="0.35">
      <c r="A218" s="20" t="s">
        <v>373</v>
      </c>
      <c r="B218" s="50">
        <v>10987022.950000001</v>
      </c>
      <c r="C218" s="47">
        <v>4765030.09</v>
      </c>
      <c r="D218" s="50">
        <v>0</v>
      </c>
      <c r="E218" s="32">
        <f t="shared" si="18"/>
        <v>15752053.040000001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18"/>
        <v>0</v>
      </c>
    </row>
    <row r="220" spans="1:5" x14ac:dyDescent="0.35">
      <c r="A220" s="20" t="s">
        <v>215</v>
      </c>
      <c r="B220" s="32">
        <f>SUM(B211:B219)</f>
        <v>194351518.07999998</v>
      </c>
      <c r="C220" s="265">
        <f>SUM(C211:C219)</f>
        <v>8197233.7399999993</v>
      </c>
      <c r="D220" s="32">
        <f>SUM(D211:D219)</f>
        <v>3925359.5699999994</v>
      </c>
      <c r="E220" s="32">
        <f>SUM(E211:E219)</f>
        <v>198623392.25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415820.35</v>
      </c>
      <c r="C225" s="47">
        <v>9947.0600000000013</v>
      </c>
      <c r="D225" s="50">
        <v>0</v>
      </c>
      <c r="E225" s="32">
        <f t="shared" ref="E225:E232" si="19">SUM(B225:C225)-D225</f>
        <v>425767.41</v>
      </c>
    </row>
    <row r="226" spans="1:5" x14ac:dyDescent="0.35">
      <c r="A226" s="20" t="s">
        <v>368</v>
      </c>
      <c r="B226" s="50">
        <v>56264368.379999995</v>
      </c>
      <c r="C226" s="47">
        <v>1896775.1400000018</v>
      </c>
      <c r="D226" s="50">
        <v>0</v>
      </c>
      <c r="E226" s="32">
        <f t="shared" si="19"/>
        <v>58161143.519999996</v>
      </c>
    </row>
    <row r="227" spans="1:5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19"/>
        <v>0</v>
      </c>
    </row>
    <row r="228" spans="1:5" x14ac:dyDescent="0.35">
      <c r="A228" s="20" t="s">
        <v>370</v>
      </c>
      <c r="B228" s="50">
        <v>2270686.3699999996</v>
      </c>
      <c r="C228" s="47">
        <v>68404.679999999993</v>
      </c>
      <c r="D228" s="50">
        <v>0</v>
      </c>
      <c r="E228" s="32">
        <f t="shared" si="19"/>
        <v>2339091.0499999998</v>
      </c>
    </row>
    <row r="229" spans="1:5" x14ac:dyDescent="0.35">
      <c r="A229" s="20" t="s">
        <v>371</v>
      </c>
      <c r="B229" s="50">
        <v>29559529.749999996</v>
      </c>
      <c r="C229" s="47">
        <v>1875365.3900000013</v>
      </c>
      <c r="D229" s="50">
        <v>3571847.8</v>
      </c>
      <c r="E229" s="32">
        <f t="shared" si="19"/>
        <v>27863047.339999996</v>
      </c>
    </row>
    <row r="230" spans="1:5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19"/>
        <v>0</v>
      </c>
    </row>
    <row r="231" spans="1:5" x14ac:dyDescent="0.35">
      <c r="A231" s="20" t="s">
        <v>373</v>
      </c>
      <c r="B231" s="50">
        <v>4155546.59</v>
      </c>
      <c r="C231" s="47">
        <v>1987741.4399999992</v>
      </c>
      <c r="D231" s="50">
        <v>0</v>
      </c>
      <c r="E231" s="32">
        <f t="shared" si="19"/>
        <v>6143288.0299999993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9"/>
        <v>0</v>
      </c>
    </row>
    <row r="233" spans="1:5" x14ac:dyDescent="0.35">
      <c r="A233" s="20" t="s">
        <v>215</v>
      </c>
      <c r="B233" s="32">
        <f>SUM(B224:B232)</f>
        <v>92665951.439999998</v>
      </c>
      <c r="C233" s="265">
        <f>SUM(C224:C232)</f>
        <v>5838233.7100000028</v>
      </c>
      <c r="D233" s="32">
        <f>SUM(D224:D232)</f>
        <v>3571847.8</v>
      </c>
      <c r="E233" s="32">
        <f>SUM(E224:E232)</f>
        <v>94932337.349999994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37" t="s">
        <v>377</v>
      </c>
      <c r="C236" s="337"/>
      <c r="D236" s="38"/>
      <c r="E236" s="38"/>
    </row>
    <row r="237" spans="1:5" x14ac:dyDescent="0.35">
      <c r="A237" s="56" t="s">
        <v>377</v>
      </c>
      <c r="B237" s="38"/>
      <c r="C237" s="47">
        <v>8343628.9400000004</v>
      </c>
      <c r="D237" s="40">
        <f>C237</f>
        <v>8343628.9400000004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86072.614974230892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353355434.59874284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172382.45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66899284.155374393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196947017.10090846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617460190.91999996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2943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1558057.1368388627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3856036.0731611378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5414093.2100000009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5917113.2000000002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5917113.2000000002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637135026.2700001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658994902.62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56336216.790000007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7062299.2700000042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493174.79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1384763.8499999999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1226358.5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711373117.27999997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774201.99999999988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472407.19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141549709.83000001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2493871.39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37581148.799999997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15752053.039999999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198623392.24999997</v>
      </c>
      <c r="E291" s="20"/>
    </row>
    <row r="292" spans="1:5" x14ac:dyDescent="0.35">
      <c r="A292" s="20" t="s">
        <v>416</v>
      </c>
      <c r="B292" s="46" t="s">
        <v>284</v>
      </c>
      <c r="C292" s="47">
        <v>94932337.349999994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103691054.89999998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838484.62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838484.62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815902656.79999995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1454606.58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45981.599999999999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2586753.0200000005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4087341.2000000007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6">
        <v>811815315.60000002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815902656.80000007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815902656.79999995</v>
      </c>
      <c r="E352" s="20"/>
    </row>
    <row r="353" spans="1:7" x14ac:dyDescent="0.35">
      <c r="A353" s="20"/>
      <c r="B353" s="20"/>
      <c r="C353" s="27"/>
      <c r="D353" s="20"/>
      <c r="E353" s="20"/>
    </row>
    <row r="354" spans="1:7" x14ac:dyDescent="0.35">
      <c r="A354" s="20"/>
      <c r="B354" s="20"/>
      <c r="C354" s="27"/>
      <c r="D354" s="20"/>
      <c r="E354" s="20"/>
    </row>
    <row r="355" spans="1:7" x14ac:dyDescent="0.35">
      <c r="A355" s="20"/>
      <c r="B355" s="20"/>
      <c r="C355" s="27"/>
      <c r="D355" s="20"/>
      <c r="E355" s="20"/>
    </row>
    <row r="356" spans="1:7" x14ac:dyDescent="0.35">
      <c r="A356" s="38" t="s">
        <v>467</v>
      </c>
      <c r="B356" s="38"/>
      <c r="C356" s="38"/>
      <c r="D356" s="38"/>
      <c r="E356" s="38"/>
    </row>
    <row r="357" spans="1:7" x14ac:dyDescent="0.35">
      <c r="A357" s="45" t="s">
        <v>468</v>
      </c>
      <c r="B357" s="45"/>
      <c r="C357" s="45"/>
      <c r="D357" s="45"/>
      <c r="E357" s="45"/>
    </row>
    <row r="358" spans="1:7" x14ac:dyDescent="0.35">
      <c r="A358" s="20" t="s">
        <v>469</v>
      </c>
      <c r="B358" s="46" t="s">
        <v>284</v>
      </c>
      <c r="C358" s="234">
        <v>291619997.63999999</v>
      </c>
      <c r="D358" s="20"/>
      <c r="E358" s="20"/>
      <c r="F358" s="12">
        <f>E157</f>
        <v>291619997.6400001</v>
      </c>
      <c r="G358" s="12">
        <f>CE87-C358</f>
        <v>0</v>
      </c>
    </row>
    <row r="359" spans="1:7" x14ac:dyDescent="0.35">
      <c r="A359" s="20" t="s">
        <v>470</v>
      </c>
      <c r="B359" s="46" t="s">
        <v>284</v>
      </c>
      <c r="C359" s="234">
        <v>721730419.23000002</v>
      </c>
      <c r="D359" s="20"/>
      <c r="E359" s="20"/>
      <c r="F359" s="12">
        <f>E158</f>
        <v>721730419.23000002</v>
      </c>
      <c r="G359" s="12">
        <f>CE88-C359</f>
        <v>0</v>
      </c>
    </row>
    <row r="360" spans="1:7" x14ac:dyDescent="0.35">
      <c r="A360" s="20" t="s">
        <v>471</v>
      </c>
      <c r="B360" s="20"/>
      <c r="C360" s="27"/>
      <c r="D360" s="32">
        <f>SUM(C358:C359)</f>
        <v>1013350416.87</v>
      </c>
      <c r="E360" s="20"/>
    </row>
    <row r="361" spans="1:7" x14ac:dyDescent="0.35">
      <c r="A361" s="45" t="s">
        <v>472</v>
      </c>
      <c r="B361" s="45"/>
      <c r="C361" s="45"/>
      <c r="D361" s="45"/>
      <c r="E361" s="45"/>
    </row>
    <row r="362" spans="1:7" x14ac:dyDescent="0.35">
      <c r="A362" s="20" t="s">
        <v>377</v>
      </c>
      <c r="B362" s="45"/>
      <c r="C362" s="47">
        <v>8343628.9400000004</v>
      </c>
      <c r="D362" s="20"/>
      <c r="E362" s="45"/>
    </row>
    <row r="363" spans="1:7" x14ac:dyDescent="0.35">
      <c r="A363" s="20" t="s">
        <v>473</v>
      </c>
      <c r="B363" s="46" t="s">
        <v>284</v>
      </c>
      <c r="C363" s="47">
        <v>623377304.12</v>
      </c>
      <c r="D363" s="20"/>
      <c r="E363" s="20"/>
    </row>
    <row r="364" spans="1:7" x14ac:dyDescent="0.35">
      <c r="A364" s="20" t="s">
        <v>474</v>
      </c>
      <c r="B364" s="46" t="s">
        <v>284</v>
      </c>
      <c r="C364" s="47">
        <v>5414093.2100000009</v>
      </c>
      <c r="D364" s="20"/>
      <c r="E364" s="20"/>
    </row>
    <row r="365" spans="1:7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7" x14ac:dyDescent="0.35">
      <c r="A366" s="20" t="s">
        <v>394</v>
      </c>
      <c r="B366" s="20"/>
      <c r="C366" s="27"/>
      <c r="D366" s="32">
        <f>SUM(C362:C365)</f>
        <v>637135026.2700001</v>
      </c>
      <c r="E366" s="20"/>
    </row>
    <row r="367" spans="1:7" x14ac:dyDescent="0.35">
      <c r="A367" s="20" t="s">
        <v>476</v>
      </c>
      <c r="B367" s="20"/>
      <c r="C367" s="27"/>
      <c r="D367" s="32">
        <f>D360-D366</f>
        <v>376215390.5999999</v>
      </c>
      <c r="E367" s="20"/>
    </row>
    <row r="368" spans="1:7" x14ac:dyDescent="0.35">
      <c r="A368" s="58" t="s">
        <v>477</v>
      </c>
      <c r="B368" s="45"/>
      <c r="C368" s="45"/>
      <c r="D368" s="45"/>
      <c r="E368" s="45"/>
    </row>
    <row r="369" spans="1:7" x14ac:dyDescent="0.35">
      <c r="A369" s="32" t="s">
        <v>478</v>
      </c>
      <c r="B369" s="20"/>
      <c r="C369" s="20"/>
      <c r="D369" s="20"/>
      <c r="E369" s="20"/>
    </row>
    <row r="370" spans="1:7" x14ac:dyDescent="0.35">
      <c r="A370" s="59" t="s">
        <v>479</v>
      </c>
      <c r="B370" s="40" t="s">
        <v>284</v>
      </c>
      <c r="C370" s="272"/>
      <c r="D370" s="32"/>
      <c r="E370" s="32"/>
    </row>
    <row r="371" spans="1:7" x14ac:dyDescent="0.35">
      <c r="A371" s="59" t="s">
        <v>480</v>
      </c>
      <c r="B371" s="40" t="s">
        <v>284</v>
      </c>
      <c r="C371" s="272"/>
      <c r="D371" s="32"/>
      <c r="E371" s="32"/>
    </row>
    <row r="372" spans="1:7" x14ac:dyDescent="0.35">
      <c r="A372" s="59" t="s">
        <v>481</v>
      </c>
      <c r="B372" s="40" t="s">
        <v>284</v>
      </c>
      <c r="C372" s="272"/>
      <c r="D372" s="32"/>
      <c r="E372" s="32"/>
    </row>
    <row r="373" spans="1:7" x14ac:dyDescent="0.35">
      <c r="A373" s="59" t="s">
        <v>482</v>
      </c>
      <c r="B373" s="40" t="s">
        <v>284</v>
      </c>
      <c r="C373" s="272"/>
      <c r="D373" s="32"/>
      <c r="E373" s="32"/>
    </row>
    <row r="374" spans="1:7" x14ac:dyDescent="0.35">
      <c r="A374" s="59" t="s">
        <v>483</v>
      </c>
      <c r="B374" s="40" t="s">
        <v>284</v>
      </c>
      <c r="C374" s="272"/>
      <c r="D374" s="32"/>
      <c r="E374" s="32"/>
    </row>
    <row r="375" spans="1:7" x14ac:dyDescent="0.35">
      <c r="A375" s="59" t="s">
        <v>484</v>
      </c>
      <c r="B375" s="40" t="s">
        <v>284</v>
      </c>
      <c r="C375" s="272"/>
      <c r="D375" s="32"/>
      <c r="E375" s="32"/>
    </row>
    <row r="376" spans="1:7" x14ac:dyDescent="0.35">
      <c r="A376" s="59" t="s">
        <v>485</v>
      </c>
      <c r="B376" s="40" t="s">
        <v>284</v>
      </c>
      <c r="C376" s="272"/>
      <c r="D376" s="32"/>
      <c r="E376" s="32"/>
    </row>
    <row r="377" spans="1:7" x14ac:dyDescent="0.35">
      <c r="A377" s="59" t="s">
        <v>486</v>
      </c>
      <c r="B377" s="40" t="s">
        <v>284</v>
      </c>
      <c r="C377" s="272"/>
      <c r="D377" s="32"/>
      <c r="E377" s="32"/>
    </row>
    <row r="378" spans="1:7" x14ac:dyDescent="0.35">
      <c r="A378" s="59" t="s">
        <v>487</v>
      </c>
      <c r="B378" s="40" t="s">
        <v>284</v>
      </c>
      <c r="C378" s="272"/>
      <c r="D378" s="32"/>
      <c r="E378" s="32"/>
    </row>
    <row r="379" spans="1:7" x14ac:dyDescent="0.35">
      <c r="A379" s="59" t="s">
        <v>488</v>
      </c>
      <c r="B379" s="40" t="s">
        <v>284</v>
      </c>
      <c r="C379" s="272"/>
      <c r="D379" s="32"/>
      <c r="E379" s="32"/>
    </row>
    <row r="380" spans="1:7" x14ac:dyDescent="0.35">
      <c r="A380" s="59" t="s">
        <v>489</v>
      </c>
      <c r="B380" s="40" t="s">
        <v>284</v>
      </c>
      <c r="C380" s="236">
        <v>16111456.140000001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333">
        <f>CE84</f>
        <v>16111456.140000001</v>
      </c>
      <c r="G380" s="12">
        <f>F380-C380</f>
        <v>0</v>
      </c>
    </row>
    <row r="381" spans="1:7" x14ac:dyDescent="0.35">
      <c r="A381" s="61" t="s">
        <v>490</v>
      </c>
      <c r="B381" s="46"/>
      <c r="C381" s="46"/>
      <c r="D381" s="32">
        <f>SUM(C370:C380)</f>
        <v>16111456.140000001</v>
      </c>
      <c r="E381" s="32"/>
      <c r="F381" s="60"/>
    </row>
    <row r="382" spans="1:7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7" x14ac:dyDescent="0.35">
      <c r="A383" s="20" t="s">
        <v>492</v>
      </c>
      <c r="B383" s="20"/>
      <c r="C383" s="27"/>
      <c r="D383" s="32">
        <f>D381+C382</f>
        <v>16111456.140000001</v>
      </c>
      <c r="E383" s="20"/>
    </row>
    <row r="384" spans="1:7" x14ac:dyDescent="0.35">
      <c r="A384" s="20" t="s">
        <v>493</v>
      </c>
      <c r="B384" s="20"/>
      <c r="C384" s="27"/>
      <c r="D384" s="32">
        <f>D367+D383</f>
        <v>392326846.73999989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5" t="s">
        <v>494</v>
      </c>
      <c r="B388" s="45"/>
      <c r="C388" s="45"/>
      <c r="D388" s="45"/>
      <c r="E388" s="45"/>
    </row>
    <row r="389" spans="1:7" x14ac:dyDescent="0.35">
      <c r="A389" s="20" t="s">
        <v>495</v>
      </c>
      <c r="B389" s="46" t="s">
        <v>284</v>
      </c>
      <c r="C389" s="47">
        <v>148536490.18000004</v>
      </c>
      <c r="D389" s="20"/>
      <c r="E389" s="20"/>
      <c r="F389" s="12">
        <f>CE61</f>
        <v>148536490.18000004</v>
      </c>
      <c r="G389" s="12">
        <f>C389-F389</f>
        <v>0</v>
      </c>
    </row>
    <row r="390" spans="1:7" x14ac:dyDescent="0.35">
      <c r="A390" s="20" t="s">
        <v>9</v>
      </c>
      <c r="B390" s="46" t="s">
        <v>284</v>
      </c>
      <c r="C390" s="47">
        <v>26782855.700000003</v>
      </c>
      <c r="D390" s="20"/>
      <c r="E390" s="20"/>
      <c r="F390" s="12">
        <f t="shared" ref="F390:F396" si="20">CE62</f>
        <v>26782856</v>
      </c>
      <c r="G390" s="12">
        <f t="shared" ref="G390:G396" si="21">C390-F390</f>
        <v>-0.29999999701976776</v>
      </c>
    </row>
    <row r="391" spans="1:7" x14ac:dyDescent="0.35">
      <c r="A391" s="20" t="s">
        <v>249</v>
      </c>
      <c r="B391" s="46" t="s">
        <v>284</v>
      </c>
      <c r="C391" s="47">
        <v>14342305.520000001</v>
      </c>
      <c r="D391" s="20"/>
      <c r="E391" s="20"/>
      <c r="F391" s="12">
        <f t="shared" si="20"/>
        <v>14342305.520000001</v>
      </c>
      <c r="G391" s="12">
        <f t="shared" si="21"/>
        <v>0</v>
      </c>
    </row>
    <row r="392" spans="1:7" x14ac:dyDescent="0.35">
      <c r="A392" s="20" t="s">
        <v>496</v>
      </c>
      <c r="B392" s="46" t="s">
        <v>284</v>
      </c>
      <c r="C392" s="47">
        <v>30218671.259999994</v>
      </c>
      <c r="D392" s="20"/>
      <c r="E392" s="20"/>
      <c r="F392" s="12">
        <f t="shared" si="20"/>
        <v>30218671.259999994</v>
      </c>
      <c r="G392" s="12">
        <f t="shared" si="21"/>
        <v>0</v>
      </c>
    </row>
    <row r="393" spans="1:7" x14ac:dyDescent="0.35">
      <c r="A393" s="20" t="s">
        <v>497</v>
      </c>
      <c r="B393" s="46" t="s">
        <v>284</v>
      </c>
      <c r="C393" s="47">
        <v>1100896.4200000002</v>
      </c>
      <c r="D393" s="20"/>
      <c r="E393" s="20"/>
      <c r="F393" s="12">
        <f t="shared" si="20"/>
        <v>1100896.4200000002</v>
      </c>
      <c r="G393" s="12">
        <f t="shared" si="21"/>
        <v>0</v>
      </c>
    </row>
    <row r="394" spans="1:7" x14ac:dyDescent="0.35">
      <c r="A394" s="20" t="s">
        <v>498</v>
      </c>
      <c r="B394" s="46" t="s">
        <v>284</v>
      </c>
      <c r="C394" s="47">
        <v>126098517.09</v>
      </c>
      <c r="D394" s="20"/>
      <c r="E394" s="20"/>
      <c r="F394" s="12">
        <f t="shared" si="20"/>
        <v>126098517.25</v>
      </c>
      <c r="G394" s="12">
        <f t="shared" si="21"/>
        <v>-0.15999999642372131</v>
      </c>
    </row>
    <row r="395" spans="1:7" x14ac:dyDescent="0.35">
      <c r="A395" s="20" t="s">
        <v>11</v>
      </c>
      <c r="B395" s="46" t="s">
        <v>284</v>
      </c>
      <c r="C395" s="47">
        <v>8229300.5499999989</v>
      </c>
      <c r="D395" s="20"/>
      <c r="E395" s="20"/>
      <c r="F395" s="12">
        <f t="shared" si="20"/>
        <v>8229300</v>
      </c>
      <c r="G395" s="12">
        <f t="shared" si="21"/>
        <v>0.54999999888241291</v>
      </c>
    </row>
    <row r="396" spans="1:7" x14ac:dyDescent="0.35">
      <c r="A396" s="20" t="s">
        <v>499</v>
      </c>
      <c r="B396" s="46" t="s">
        <v>284</v>
      </c>
      <c r="C396" s="47">
        <v>6040529.209999999</v>
      </c>
      <c r="D396" s="20"/>
      <c r="E396" s="20"/>
      <c r="F396" s="12">
        <f t="shared" si="20"/>
        <v>6040529.209999999</v>
      </c>
      <c r="G396" s="12">
        <f t="shared" si="21"/>
        <v>0</v>
      </c>
    </row>
    <row r="397" spans="1:7" x14ac:dyDescent="0.35">
      <c r="A397" s="20" t="s">
        <v>500</v>
      </c>
      <c r="B397" s="46" t="s">
        <v>284</v>
      </c>
      <c r="C397" s="47">
        <v>5598566.9400000004</v>
      </c>
      <c r="D397" s="20"/>
      <c r="E397" s="20"/>
    </row>
    <row r="398" spans="1:7" x14ac:dyDescent="0.35">
      <c r="A398" s="20" t="s">
        <v>501</v>
      </c>
      <c r="B398" s="46" t="s">
        <v>284</v>
      </c>
      <c r="C398" s="47">
        <v>3780038.5000000005</v>
      </c>
      <c r="D398" s="20"/>
      <c r="E398" s="20"/>
    </row>
    <row r="399" spans="1:7" x14ac:dyDescent="0.35">
      <c r="A399" s="20" t="s">
        <v>502</v>
      </c>
      <c r="B399" s="46" t="s">
        <v>284</v>
      </c>
      <c r="C399" s="47">
        <v>2724283.92</v>
      </c>
      <c r="D399" s="20"/>
      <c r="E399" s="20"/>
      <c r="F399" s="12">
        <f>CD85</f>
        <v>12102889.360000001</v>
      </c>
      <c r="G399" s="12">
        <f>SUM(C397:C399)-F399</f>
        <v>0</v>
      </c>
    </row>
    <row r="400" spans="1:7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12283151.029999999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333">
        <f>CE83-CD83</f>
        <v>12283151.029999999</v>
      </c>
      <c r="G414" s="334">
        <f>F414-C414</f>
        <v>0</v>
      </c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12283151.029999999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385735606.32000005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6591240.4199998379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6591240.4199998379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6591240.4199998379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177381.27499999997</v>
      </c>
      <c r="E612" s="257">
        <f>SUM(C624:D647)+SUM(C668:D713)</f>
        <v>248853827.5752978</v>
      </c>
      <c r="F612" s="257">
        <f>CE64-(AX64+BD64+BE64+BG64+BJ64+BN64+BP64+BQ64+CB64+CC64+CD64)</f>
        <v>29963110.729999993</v>
      </c>
      <c r="G612" s="255">
        <f>CE91-(AX91+AY91+BD91+BE91+BG91+BJ91+BN91+BP91+BQ91+CB91+CC91+CD91)</f>
        <v>47488</v>
      </c>
      <c r="H612" s="260">
        <f>CE60-(AX60+AY60+AZ60+BD60+BE60+BG60+BJ60+BN60+BO60+BP60+BQ60+BR60+CB60+CC60+CD60)</f>
        <v>923.5192916543125</v>
      </c>
      <c r="I612" s="255">
        <f>CE92-(AX92+AY92+AZ92+BD92+BE92+BF92+BG92+BJ92+BN92+BO92+BP92+BQ92+BR92+CB92+CC92+CD92)</f>
        <v>35359.999999999993</v>
      </c>
      <c r="J612" s="255">
        <f>CE93-(AX93+AY93+AZ93+BA93+BD93+BE93+BF93+BG93+BJ93+BN93+BO93+BP93+BQ93+BR93+CB93+CC93+CD93)</f>
        <v>314236.73000000004</v>
      </c>
      <c r="K612" s="255">
        <f>CE89-(AW89+AX89+AY89+AZ89+BA89+BB89+BC89+BD89+BE89+BF89+BG89+BH89+BI89+BJ89+BK89+BL89+BM89+BN89+BO89+BP89+BQ89+BR89+BS89+BT89+BU89+BV89+BW89+BX89+CB89+CC89+CD89)</f>
        <v>1013208247.87</v>
      </c>
      <c r="L612" s="261">
        <f>CE94-(AW94+AX94+AY94+AZ94+BA94+BB94+BC94+BD94+BE94+BF94+BG94+BH94+BI94+BJ94+BK94+BL94+BM94+BN94+BO94+BP94+BQ94+BR94+BS94+BT94+BU94+BV94+BW94+BX94+BY94+BZ94+CA94+CB94+CC94+CD94)</f>
        <v>220.85661161358129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0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12102889.360000001</v>
      </c>
      <c r="D615" s="255">
        <f>SUM(C614:C615)</f>
        <v>12102889.360000001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0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9853254.6100000013</v>
      </c>
      <c r="D619" s="255">
        <f>(D615/D612)*BN90</f>
        <v>254062.64406553184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104643377.23999999</v>
      </c>
      <c r="D620" s="255">
        <f>(D615/D612)*CC90</f>
        <v>6057182.7306367029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-37554.709999999963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120770322.51470223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0</v>
      </c>
      <c r="D624" s="255">
        <f>(D615/D612)*BD90</f>
        <v>0</v>
      </c>
      <c r="E624" s="257">
        <f>(E623/E612)*SUM(C624:D624)</f>
        <v>0</v>
      </c>
      <c r="F624" s="257">
        <f>SUM(C624:E624)</f>
        <v>0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-8579.6700000000419</v>
      </c>
      <c r="D625" s="255">
        <f>(D615/D612)*AY90</f>
        <v>0</v>
      </c>
      <c r="E625" s="257">
        <f>(E623/E612)*SUM(C625:D625)</f>
        <v>-4163.7676344608271</v>
      </c>
      <c r="F625" s="257">
        <f>(F624/F612)*AY64</f>
        <v>0</v>
      </c>
      <c r="G625" s="255">
        <f>SUM(C625:F625)</f>
        <v>-12743.437634460868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0</v>
      </c>
      <c r="D626" s="255">
        <f>(D615/D612)*BR90</f>
        <v>0</v>
      </c>
      <c r="E626" s="257">
        <f>(E623/E612)*SUM(C626:D626)</f>
        <v>0</v>
      </c>
      <c r="F626" s="257">
        <f>(F624/F612)*BR64</f>
        <v>0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0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0</v>
      </c>
      <c r="D629" s="255">
        <f>(D615/D612)*BF90</f>
        <v>0</v>
      </c>
      <c r="E629" s="257">
        <f>(E623/E612)*SUM(C629:D629)</f>
        <v>0</v>
      </c>
      <c r="F629" s="257">
        <f>(F624/F612)*BF64</f>
        <v>0</v>
      </c>
      <c r="G629" s="255">
        <f>(G625/G612)*BF91</f>
        <v>0</v>
      </c>
      <c r="H629" s="257">
        <f>(H628/H612)*BF60</f>
        <v>0</v>
      </c>
      <c r="I629" s="255">
        <f>SUM(C629:H629)</f>
        <v>0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0</v>
      </c>
      <c r="D630" s="255">
        <f>(D615/D612)*BA90</f>
        <v>0</v>
      </c>
      <c r="E630" s="257">
        <f>(E623/E612)*SUM(C630:D630)</f>
        <v>0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>
        <f>(I629/I612)*BA92</f>
        <v>0</v>
      </c>
      <c r="J630" s="255">
        <f>SUM(C630:I630)</f>
        <v>0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1924885.3900000001</v>
      </c>
      <c r="D631" s="255">
        <f>(D615/D612)*AW90</f>
        <v>0</v>
      </c>
      <c r="E631" s="257">
        <f>(E623/E612)*SUM(C631:D631)</f>
        <v>934158.94631477306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1429257.1800000002</v>
      </c>
      <c r="D632" s="255">
        <f>(D615/D612)*BB90</f>
        <v>14926.198249469122</v>
      </c>
      <c r="E632" s="257">
        <f>(E623/E612)*SUM(C632:D632)</f>
        <v>700871.24663086224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0</v>
      </c>
      <c r="D635" s="255">
        <f>(D615/D612)*BK90</f>
        <v>0</v>
      </c>
      <c r="E635" s="257">
        <f>(E623/E612)*SUM(C635:D635)</f>
        <v>0</v>
      </c>
      <c r="F635" s="257">
        <f>(F624/F612)*BK64</f>
        <v>0</v>
      </c>
      <c r="G635" s="255">
        <f>(G625/G612)*BK91</f>
        <v>0</v>
      </c>
      <c r="H635" s="257">
        <f>(H628/H612)*BK60</f>
        <v>0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0</v>
      </c>
      <c r="D636" s="255">
        <f>(D615/D612)*BH90</f>
        <v>0</v>
      </c>
      <c r="E636" s="257">
        <f>(E623/E612)*SUM(C636:D636)</f>
        <v>0</v>
      </c>
      <c r="F636" s="257">
        <f>(F624/F612)*BH64</f>
        <v>0</v>
      </c>
      <c r="G636" s="255">
        <f>(G625/G612)*BH91</f>
        <v>0</v>
      </c>
      <c r="H636" s="257">
        <f>(H628/H612)*BH60</f>
        <v>0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3151991.1900000004</v>
      </c>
      <c r="D637" s="255">
        <f>(D615/D612)*BL90</f>
        <v>0</v>
      </c>
      <c r="E637" s="257">
        <f>(E623/E612)*SUM(C637:D637)</f>
        <v>1529681.0834248411</v>
      </c>
      <c r="F637" s="257">
        <f>(F624/F612)*BL64</f>
        <v>0</v>
      </c>
      <c r="G637" s="255">
        <f>(G625/G612)*BL91</f>
        <v>0</v>
      </c>
      <c r="H637" s="257">
        <f>(H628/H612)*BL60</f>
        <v>0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0</v>
      </c>
      <c r="D642" s="255">
        <f>(D615/D612)*BV90</f>
        <v>0</v>
      </c>
      <c r="E642" s="257">
        <f>(E623/E612)*SUM(C642:D642)</f>
        <v>0</v>
      </c>
      <c r="F642" s="257">
        <f>(F624/F612)*BV64</f>
        <v>0</v>
      </c>
      <c r="G642" s="255">
        <f>(G625/G612)*BV91</f>
        <v>0</v>
      </c>
      <c r="H642" s="257">
        <f>(H628/H612)*BV60</f>
        <v>0</v>
      </c>
      <c r="I642" s="255">
        <f>(I629/I612)*BV92</f>
        <v>0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871560.51000000013</v>
      </c>
      <c r="D644" s="255">
        <f>(D615/D612)*BX90</f>
        <v>5560.8207959943929</v>
      </c>
      <c r="E644" s="257">
        <f>(E623/E612)*SUM(C644:D644)</f>
        <v>425672.48025431664</v>
      </c>
      <c r="F644" s="257">
        <f>(F624/F612)*BX64</f>
        <v>0</v>
      </c>
      <c r="G644" s="255">
        <f>(G625/G612)*BX91</f>
        <v>0</v>
      </c>
      <c r="H644" s="257">
        <f>(H628/H612)*BX60</f>
        <v>0</v>
      </c>
      <c r="I644" s="255">
        <f>(I629/I612)*BX92</f>
        <v>0</v>
      </c>
      <c r="J644" s="255">
        <f>(J630/J612)*BX93</f>
        <v>0</v>
      </c>
      <c r="K644" s="257">
        <f>SUM(C631:J644)</f>
        <v>10988565.045670256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1025136.9600000001</v>
      </c>
      <c r="D645" s="255">
        <f>(D615/D612)*BY90</f>
        <v>0</v>
      </c>
      <c r="E645" s="257">
        <f>(E623/E612)*SUM(C645:D645)</f>
        <v>497505.39297403552</v>
      </c>
      <c r="F645" s="257">
        <f>(F624/F612)*BY64</f>
        <v>0</v>
      </c>
      <c r="G645" s="255">
        <f>(G625/G612)*BY91</f>
        <v>0</v>
      </c>
      <c r="H645" s="257">
        <f>(H628/H612)*BY60</f>
        <v>0</v>
      </c>
      <c r="I645" s="255">
        <f>(I629/I612)*BY92</f>
        <v>0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1259353.2399999998</v>
      </c>
      <c r="D646" s="255">
        <f>(D615/D612)*BZ90</f>
        <v>0</v>
      </c>
      <c r="E646" s="257">
        <f>(E623/E612)*SUM(C646:D646)</f>
        <v>611172.02189190872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3393167.6148659438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136215571.30000001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8625297.8499999996</v>
      </c>
      <c r="D668" s="255">
        <f>(D615/D612)*C90</f>
        <v>1149833.091040015</v>
      </c>
      <c r="E668" s="257">
        <f>(E623/E612)*SUM(C668:D668)</f>
        <v>4743932.3231451586</v>
      </c>
      <c r="F668" s="257">
        <f>(F624/F612)*C64</f>
        <v>0</v>
      </c>
      <c r="G668" s="255">
        <f>(G625/G612)*C91</f>
        <v>-981.35847854665178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343206.38353834971</v>
      </c>
      <c r="L668" s="255">
        <f>(L647/L612)*C94</f>
        <v>424628.40654279466</v>
      </c>
      <c r="M668" s="231">
        <f t="shared" ref="M668:M713" si="22">ROUND(SUM(D668:L668),0)</f>
        <v>6660619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22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16983628.369999997</v>
      </c>
      <c r="D670" s="255">
        <f>(D615/D612)*E90</f>
        <v>2472680.7159305667</v>
      </c>
      <c r="E670" s="257">
        <f>(E623/E612)*SUM(C670:D670)</f>
        <v>9442268.7653561737</v>
      </c>
      <c r="F670" s="257">
        <f>(F624/F612)*E64</f>
        <v>0</v>
      </c>
      <c r="G670" s="255">
        <f>(G625/G612)*E91</f>
        <v>-10449.039222764432</v>
      </c>
      <c r="H670" s="257">
        <f>(H628/H612)*E60</f>
        <v>0</v>
      </c>
      <c r="I670" s="255">
        <f>(I629/I612)*E92</f>
        <v>0</v>
      </c>
      <c r="J670" s="255">
        <f>(J630/J612)*E93</f>
        <v>0</v>
      </c>
      <c r="K670" s="255">
        <f>(K644/K612)*E89</f>
        <v>923698.34960981028</v>
      </c>
      <c r="L670" s="255">
        <f>(L647/L612)*E94</f>
        <v>1067913.6698433573</v>
      </c>
      <c r="M670" s="231">
        <f t="shared" si="22"/>
        <v>13896112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22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22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22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22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22"/>
        <v>0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22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0</v>
      </c>
      <c r="L677" s="255">
        <f>(L647/L612)*L94</f>
        <v>0</v>
      </c>
      <c r="M677" s="231">
        <f t="shared" si="22"/>
        <v>0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22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22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22"/>
        <v>0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17224081.769999996</v>
      </c>
      <c r="D681" s="255">
        <f>(D615/D612)*P90</f>
        <v>457007.01652057242</v>
      </c>
      <c r="E681" s="257">
        <f>(E623/E612)*SUM(C681:D681)</f>
        <v>8580743.2257117406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>
        <f>(I629/I612)*P92</f>
        <v>0</v>
      </c>
      <c r="J681" s="255">
        <f>(J630/J612)*P93</f>
        <v>0</v>
      </c>
      <c r="K681" s="255">
        <f>(K644/K612)*P89</f>
        <v>2442385.7332709697</v>
      </c>
      <c r="L681" s="255">
        <f>(L647/L612)*P94</f>
        <v>328425.63311142125</v>
      </c>
      <c r="M681" s="231">
        <f t="shared" si="22"/>
        <v>11808562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0</v>
      </c>
      <c r="L682" s="255">
        <f>(L647/L612)*Q94</f>
        <v>0</v>
      </c>
      <c r="M682" s="231">
        <f t="shared" si="22"/>
        <v>0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-7.2454686685150662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22"/>
        <v>-7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0</v>
      </c>
      <c r="D684" s="255">
        <f>(D615/D612)*S90</f>
        <v>0</v>
      </c>
      <c r="E684" s="257">
        <f>(E623/E612)*SUM(C684:D684)</f>
        <v>0</v>
      </c>
      <c r="F684" s="257">
        <f>(F624/F612)*S64</f>
        <v>0</v>
      </c>
      <c r="G684" s="255">
        <f>(G625/G612)*S91</f>
        <v>0</v>
      </c>
      <c r="H684" s="257">
        <f>(H628/H612)*S60</f>
        <v>0</v>
      </c>
      <c r="I684" s="255">
        <f>(I629/I612)*S92</f>
        <v>0</v>
      </c>
      <c r="J684" s="255">
        <f>(J630/J612)*S93</f>
        <v>0</v>
      </c>
      <c r="K684" s="255">
        <f>(K644/K612)*S89</f>
        <v>0</v>
      </c>
      <c r="L684" s="255">
        <f>(L647/L612)*S94</f>
        <v>0</v>
      </c>
      <c r="M684" s="231">
        <f t="shared" si="22"/>
        <v>0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6358925.3899999997</v>
      </c>
      <c r="D685" s="255">
        <f>(D615/D612)*T90</f>
        <v>127982.12004248593</v>
      </c>
      <c r="E685" s="257">
        <f>(E623/E612)*SUM(C685:D685)</f>
        <v>3148136.8791638426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157822.61767727393</v>
      </c>
      <c r="L685" s="255">
        <f>(L647/L612)*T94</f>
        <v>192304.70437739062</v>
      </c>
      <c r="M685" s="231">
        <f t="shared" si="22"/>
        <v>3626246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2499.9999999995343</v>
      </c>
      <c r="D686" s="255">
        <f>(D615/D612)*U90</f>
        <v>0</v>
      </c>
      <c r="E686" s="257">
        <f>(E623/E612)*SUM(C686:D686)</f>
        <v>1213.2656717740983</v>
      </c>
      <c r="F686" s="257">
        <f>(F624/F612)*U64</f>
        <v>0</v>
      </c>
      <c r="G686" s="255">
        <f>(G625/G612)*U91</f>
        <v>0</v>
      </c>
      <c r="H686" s="257">
        <f>(H628/H612)*U60</f>
        <v>0</v>
      </c>
      <c r="I686" s="255">
        <f>(I629/I612)*U92</f>
        <v>0</v>
      </c>
      <c r="J686" s="255">
        <f>(J630/J612)*U93</f>
        <v>0</v>
      </c>
      <c r="K686" s="255">
        <f>(K644/K612)*U89</f>
        <v>371508.9397444154</v>
      </c>
      <c r="L686" s="255">
        <f>(L647/L612)*U94</f>
        <v>0</v>
      </c>
      <c r="M686" s="231">
        <f t="shared" si="22"/>
        <v>372722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10776</v>
      </c>
      <c r="D687" s="255">
        <f>(D615/D612)*V90</f>
        <v>0</v>
      </c>
      <c r="E687" s="257">
        <f>(E623/E612)*SUM(C687:D687)</f>
        <v>5229.6603516160476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8662.9792556194152</v>
      </c>
      <c r="L687" s="255">
        <f>(L647/L612)*V94</f>
        <v>0</v>
      </c>
      <c r="M687" s="231">
        <f t="shared" si="22"/>
        <v>13893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202378.8464273047</v>
      </c>
      <c r="L688" s="255">
        <f>(L647/L612)*W94</f>
        <v>0</v>
      </c>
      <c r="M688" s="231">
        <f t="shared" si="22"/>
        <v>202379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1425.65</v>
      </c>
      <c r="D689" s="255">
        <f>(D615/D612)*X90</f>
        <v>0</v>
      </c>
      <c r="E689" s="257">
        <f>(E623/E612)*SUM(C689:D689)</f>
        <v>691.87688198602632</v>
      </c>
      <c r="F689" s="257">
        <f>(F624/F612)*X64</f>
        <v>0</v>
      </c>
      <c r="G689" s="255">
        <f>(G625/G612)*X91</f>
        <v>0</v>
      </c>
      <c r="H689" s="257">
        <f>(H628/H612)*X60</f>
        <v>0</v>
      </c>
      <c r="I689" s="255">
        <f>(I629/I612)*X92</f>
        <v>0</v>
      </c>
      <c r="J689" s="255">
        <f>(J630/J612)*X93</f>
        <v>0</v>
      </c>
      <c r="K689" s="255">
        <f>(K644/K612)*X89</f>
        <v>135341.68805815358</v>
      </c>
      <c r="L689" s="255">
        <f>(L647/L612)*X94</f>
        <v>0</v>
      </c>
      <c r="M689" s="231">
        <f t="shared" si="22"/>
        <v>136034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364125.19</v>
      </c>
      <c r="D690" s="255">
        <f>(D615/D612)*Y90</f>
        <v>0</v>
      </c>
      <c r="E690" s="257">
        <f>(E623/E612)*SUM(C690:D690)</f>
        <v>176712.23730212142</v>
      </c>
      <c r="F690" s="257">
        <f>(F624/F612)*Y64</f>
        <v>0</v>
      </c>
      <c r="G690" s="255">
        <f>(G625/G612)*Y91</f>
        <v>0</v>
      </c>
      <c r="H690" s="257">
        <f>(H628/H612)*Y60</f>
        <v>0</v>
      </c>
      <c r="I690" s="255">
        <f>(I629/I612)*Y92</f>
        <v>0</v>
      </c>
      <c r="J690" s="255">
        <f>(J630/J612)*Y93</f>
        <v>0</v>
      </c>
      <c r="K690" s="255">
        <f>(K644/K612)*Y89</f>
        <v>377192.40989354684</v>
      </c>
      <c r="L690" s="255">
        <f>(L647/L612)*Y94</f>
        <v>0</v>
      </c>
      <c r="M690" s="231">
        <f t="shared" si="22"/>
        <v>553905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24987.105909684091</v>
      </c>
      <c r="L691" s="255">
        <f>(L647/L612)*Z94</f>
        <v>0</v>
      </c>
      <c r="M691" s="231">
        <f t="shared" si="22"/>
        <v>24987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15141.830884332241</v>
      </c>
      <c r="L692" s="255">
        <f>(L647/L612)*AA94</f>
        <v>0</v>
      </c>
      <c r="M692" s="231">
        <f t="shared" si="22"/>
        <v>15142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27019561.479999993</v>
      </c>
      <c r="D693" s="255">
        <f>(D615/D612)*AB90</f>
        <v>126667.31002115081</v>
      </c>
      <c r="E693" s="257">
        <f>(E623/E612)*SUM(C693:D693)</f>
        <v>13174235.003625803</v>
      </c>
      <c r="F693" s="257">
        <f>(F624/F612)*AB64</f>
        <v>0</v>
      </c>
      <c r="G693" s="255">
        <f>(G625/G612)*AB91</f>
        <v>0</v>
      </c>
      <c r="H693" s="257">
        <f>(H628/H612)*AB60</f>
        <v>0</v>
      </c>
      <c r="I693" s="255">
        <f>(I629/I612)*AB92</f>
        <v>0</v>
      </c>
      <c r="J693" s="255">
        <f>(J630/J612)*AB93</f>
        <v>0</v>
      </c>
      <c r="K693" s="255">
        <f>(K644/K612)*AB89</f>
        <v>1366677.4859623653</v>
      </c>
      <c r="L693" s="255">
        <f>(L647/L612)*AB94</f>
        <v>0</v>
      </c>
      <c r="M693" s="231">
        <f t="shared" si="22"/>
        <v>14667580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2467682.98</v>
      </c>
      <c r="D694" s="255">
        <f>(D615/D612)*AC90</f>
        <v>36281.797033987954</v>
      </c>
      <c r="E694" s="257">
        <f>(E623/E612)*SUM(C694:D694)</f>
        <v>1215189.802922955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>
        <f>(I629/I612)*AC92</f>
        <v>0</v>
      </c>
      <c r="J694" s="255">
        <f>(J630/J612)*AC93</f>
        <v>0</v>
      </c>
      <c r="K694" s="255">
        <f>(K644/K612)*AC89</f>
        <v>158911.7507606048</v>
      </c>
      <c r="L694" s="255">
        <f>(L647/L612)*AC94</f>
        <v>0.14732284201056714</v>
      </c>
      <c r="M694" s="231">
        <f t="shared" si="22"/>
        <v>1410383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22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3576205.42</v>
      </c>
      <c r="D696" s="255">
        <f>(D615/D612)*AE90</f>
        <v>0</v>
      </c>
      <c r="E696" s="257">
        <f>(E623/E612)*SUM(C696:D696)</f>
        <v>1735554.908519712</v>
      </c>
      <c r="F696" s="257">
        <f>(F624/F612)*AE64</f>
        <v>0</v>
      </c>
      <c r="G696" s="255">
        <f>(G625/G612)*AE91</f>
        <v>0</v>
      </c>
      <c r="H696" s="257">
        <f>(H628/H612)*AE60</f>
        <v>0</v>
      </c>
      <c r="I696" s="255">
        <f>(I629/I612)*AE92</f>
        <v>0</v>
      </c>
      <c r="J696" s="255">
        <f>(J630/J612)*AE93</f>
        <v>0</v>
      </c>
      <c r="K696" s="255">
        <f>(K644/K612)*AE89</f>
        <v>70287.645322729077</v>
      </c>
      <c r="L696" s="255">
        <f>(L647/L612)*AE94</f>
        <v>0</v>
      </c>
      <c r="M696" s="231">
        <f t="shared" si="22"/>
        <v>1805843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22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23303078.800000001</v>
      </c>
      <c r="D698" s="255">
        <f>(D615/D612)*AG90</f>
        <v>1178838.0593882008</v>
      </c>
      <c r="E698" s="257">
        <f>(E623/E612)*SUM(C698:D698)</f>
        <v>11881227.721891515</v>
      </c>
      <c r="F698" s="257">
        <f>(F624/F612)*AG64</f>
        <v>0</v>
      </c>
      <c r="G698" s="255">
        <f>(G625/G612)*AG91</f>
        <v>-1288.6200202299758</v>
      </c>
      <c r="H698" s="257">
        <f>(H628/H612)*AG60</f>
        <v>0</v>
      </c>
      <c r="I698" s="255">
        <f>(I629/I612)*AG92</f>
        <v>0</v>
      </c>
      <c r="J698" s="255">
        <f>(J630/J612)*AG93</f>
        <v>0</v>
      </c>
      <c r="K698" s="255">
        <f>(K644/K612)*AG89</f>
        <v>2156941.7335375566</v>
      </c>
      <c r="L698" s="255">
        <f>(L647/L612)*AG94</f>
        <v>681001.75239079259</v>
      </c>
      <c r="M698" s="231">
        <f t="shared" si="22"/>
        <v>15896721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22"/>
        <v>0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22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63845043.790000014</v>
      </c>
      <c r="D701" s="255">
        <f>(D615/D612)*AJ90</f>
        <v>168580.54686369584</v>
      </c>
      <c r="E701" s="257">
        <f>(E623/E612)*SUM(C701:D701)</f>
        <v>31066213.173509676</v>
      </c>
      <c r="F701" s="257">
        <f>(F624/F612)*AJ64</f>
        <v>0</v>
      </c>
      <c r="G701" s="255">
        <f>(G625/G612)*AJ91</f>
        <v>0</v>
      </c>
      <c r="H701" s="257">
        <f>(H628/H612)*AJ60</f>
        <v>0</v>
      </c>
      <c r="I701" s="255">
        <f>(I629/I612)*AJ92</f>
        <v>0</v>
      </c>
      <c r="J701" s="255">
        <f>(J630/J612)*AJ93</f>
        <v>0</v>
      </c>
      <c r="K701" s="255">
        <f>(K644/K612)*AJ89</f>
        <v>1151032.4788572968</v>
      </c>
      <c r="L701" s="255">
        <f>(L647/L612)*AJ94</f>
        <v>451364.70323371439</v>
      </c>
      <c r="M701" s="231">
        <f t="shared" si="22"/>
        <v>32837191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6205027.5799999991</v>
      </c>
      <c r="D702" s="255">
        <f>(D615/D612)*AK90</f>
        <v>0</v>
      </c>
      <c r="E702" s="257">
        <f>(E623/E612)*SUM(C702:D702)</f>
        <v>3011338.7820907636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133312.74553573146</v>
      </c>
      <c r="L702" s="255">
        <f>(L647/L612)*AK94</f>
        <v>30183.724855388009</v>
      </c>
      <c r="M702" s="231">
        <f t="shared" si="22"/>
        <v>3174835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3387348.62</v>
      </c>
      <c r="D703" s="255">
        <f>(D615/D612)*AL90</f>
        <v>0</v>
      </c>
      <c r="E703" s="257">
        <f>(E623/E612)*SUM(C703:D703)</f>
        <v>1643901.5195912523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71649.55690119871</v>
      </c>
      <c r="L703" s="255">
        <f>(L647/L612)*AL94</f>
        <v>0</v>
      </c>
      <c r="M703" s="231">
        <f t="shared" si="22"/>
        <v>1715551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22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22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22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22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22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22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22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22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22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54033869.899999999</v>
      </c>
      <c r="D713" s="255">
        <f>(D615/D612)*AV90</f>
        <v>53286.309411628725</v>
      </c>
      <c r="E713" s="257">
        <f>(E623/E612)*SUM(C713:D713)</f>
        <v>26248835.965109847</v>
      </c>
      <c r="F713" s="257">
        <f>(F624/F612)*AV64</f>
        <v>0</v>
      </c>
      <c r="G713" s="255">
        <f>(G625/G612)*AV91</f>
        <v>-17.174444251294972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877424.76452331373</v>
      </c>
      <c r="L713" s="255">
        <f>(L647/L612)*AV94</f>
        <v>217344.87318824267</v>
      </c>
      <c r="M713" s="231">
        <f t="shared" si="22"/>
        <v>27396875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369624150.09000003</v>
      </c>
      <c r="D715" s="231">
        <f>SUM(D616:D647)+SUM(D668:D713)</f>
        <v>12102889.360000003</v>
      </c>
      <c r="E715" s="231">
        <f>SUM(E624:E647)+SUM(E668:E713)</f>
        <v>120770322.51470223</v>
      </c>
      <c r="F715" s="231">
        <f>SUM(F625:F648)+SUM(F668:F713)</f>
        <v>0</v>
      </c>
      <c r="G715" s="231">
        <f>SUM(G626:G647)+SUM(G668:G713)</f>
        <v>-12743.43763446087</v>
      </c>
      <c r="H715" s="231">
        <f>SUM(H629:H647)+SUM(H668:H713)</f>
        <v>0</v>
      </c>
      <c r="I715" s="231">
        <f>SUM(I630:I647)+SUM(I668:I713)</f>
        <v>0</v>
      </c>
      <c r="J715" s="231">
        <f>SUM(J631:J647)+SUM(J668:J713)</f>
        <v>0</v>
      </c>
      <c r="K715" s="231">
        <f>SUM(K668:K713)</f>
        <v>10988565.045670258</v>
      </c>
      <c r="L715" s="231">
        <f>SUM(L668:L713)</f>
        <v>3393167.6148659433</v>
      </c>
      <c r="M715" s="231">
        <f>SUM(M668:M713)</f>
        <v>136215573</v>
      </c>
      <c r="N715" s="249" t="s">
        <v>669</v>
      </c>
    </row>
    <row r="716" spans="1:14" s="231" customFormat="1" ht="12.65" customHeight="1" x14ac:dyDescent="0.3">
      <c r="C716" s="252">
        <f>CE85</f>
        <v>369624150.09000003</v>
      </c>
      <c r="D716" s="231">
        <f>D615</f>
        <v>12102889.360000001</v>
      </c>
      <c r="E716" s="231">
        <f>E623</f>
        <v>120770322.51470223</v>
      </c>
      <c r="F716" s="231">
        <f>F624</f>
        <v>0</v>
      </c>
      <c r="G716" s="231">
        <f>G625</f>
        <v>-12743.437634460868</v>
      </c>
      <c r="H716" s="231">
        <f>H628</f>
        <v>0</v>
      </c>
      <c r="I716" s="231">
        <f>I629</f>
        <v>0</v>
      </c>
      <c r="J716" s="231">
        <f>J630</f>
        <v>0</v>
      </c>
      <c r="K716" s="231">
        <f>K644</f>
        <v>10988565.045670256</v>
      </c>
      <c r="L716" s="231">
        <f>L647</f>
        <v>3393167.6148659438</v>
      </c>
      <c r="M716" s="231">
        <f>C648</f>
        <v>136215571.30000001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F403FC5-328C-4C5A-AA93-6B949E24EED9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Mary Bridge Children's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658994902.62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56336216.790000007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7062299.2700000042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493174.79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1384763.8499999999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1226358.5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711373117.27999997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774201.99999999988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472407.19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141549709.83000001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2493871.39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37581148.799999997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15752053.039999999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94932337.349999994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103691054.89999998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838484.62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838484.62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815902656.79999995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Mary Bridge Children's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1454606.58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45981.599999999999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2586753.0200000005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4087341.2000000007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811815315.60000002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811815315.60000002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815902656.79999995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Mary Bridge Children's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291619997.63999999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721730419.23000002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1013350416.87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8343628.9400000004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623377304.12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5414093.2100000009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637135026.2700001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376215390.5999999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16111456.140000001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16111456.140000001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392326846.73999989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148536490.18000004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26782855.700000003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14342305.520000001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30218671.259999994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1100896.4200000002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126098517.09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8229300.5499999989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6040529.209999999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5598566.9400000004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3780038.5000000005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2724283.92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12283151.029999999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385735606.32000005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6591240.4199998379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6591240.4199998379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6591240.4199998379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Mary Bridge Children's Hospital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2623</v>
      </c>
      <c r="D9" s="286">
        <f>data!D59</f>
        <v>0</v>
      </c>
      <c r="E9" s="286">
        <f>data!E59</f>
        <v>12801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39.676752734290858</v>
      </c>
      <c r="D10" s="293">
        <f>data!D60</f>
        <v>0</v>
      </c>
      <c r="E10" s="293">
        <f>data!E60</f>
        <v>99.817406150709942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5233787.28</v>
      </c>
      <c r="D11" s="286">
        <f>data!D61</f>
        <v>0</v>
      </c>
      <c r="E11" s="286">
        <f>data!E61</f>
        <v>12054126.269999998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958277</v>
      </c>
      <c r="D12" s="286">
        <f>data!D62</f>
        <v>0</v>
      </c>
      <c r="E12" s="286">
        <f>data!E62</f>
        <v>2376252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1363114.7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360361.04</v>
      </c>
      <c r="D14" s="286">
        <f>data!D64</f>
        <v>0</v>
      </c>
      <c r="E14" s="286">
        <f>data!E64</f>
        <v>714598.79999999993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61713.120000000003</v>
      </c>
      <c r="D15" s="286">
        <f>data!D65</f>
        <v>0</v>
      </c>
      <c r="E15" s="286">
        <f>data!E65</f>
        <v>132406.06999999998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206183.1</v>
      </c>
      <c r="D16" s="286">
        <f>data!D66</f>
        <v>0</v>
      </c>
      <c r="E16" s="286">
        <f>data!E66</f>
        <v>997293.22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358907</v>
      </c>
      <c r="D17" s="286">
        <f>data!D67</f>
        <v>0</v>
      </c>
      <c r="E17" s="286">
        <f>data!E67</f>
        <v>584319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3403.6800000000003</v>
      </c>
      <c r="D18" s="286">
        <f>data!D68</f>
        <v>0</v>
      </c>
      <c r="E18" s="286">
        <f>data!E68</f>
        <v>11162.25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88538.4</v>
      </c>
      <c r="D19" s="286">
        <f>data!D69</f>
        <v>0</v>
      </c>
      <c r="E19" s="286">
        <f>data!E69</f>
        <v>133975.32999999999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-8987.4699999999993</v>
      </c>
      <c r="D20" s="286">
        <f>-data!D84</f>
        <v>0</v>
      </c>
      <c r="E20" s="286">
        <f>-data!E84</f>
        <v>-20504.57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8625297.8499999996</v>
      </c>
      <c r="D21" s="286">
        <f>data!D85</f>
        <v>0</v>
      </c>
      <c r="E21" s="286">
        <f>data!E85</f>
        <v>16983628.369999997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>
        <f>+data!M668</f>
        <v>6660619</v>
      </c>
      <c r="D23" s="294">
        <f>+data!M669</f>
        <v>0</v>
      </c>
      <c r="E23" s="294">
        <f>+data!M670</f>
        <v>13896112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31405572.210000001</v>
      </c>
      <c r="D24" s="286">
        <f>data!D87</f>
        <v>0</v>
      </c>
      <c r="E24" s="286">
        <f>data!E87</f>
        <v>77865424.120000005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240010</v>
      </c>
      <c r="D25" s="286">
        <f>data!D88</f>
        <v>0</v>
      </c>
      <c r="E25" s="286">
        <f>data!E88</f>
        <v>7304821.7199999997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31645582.210000001</v>
      </c>
      <c r="D26" s="286">
        <f>data!D89</f>
        <v>0</v>
      </c>
      <c r="E26" s="286">
        <f>data!E89</f>
        <v>85170245.840000004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16852.080000000005</v>
      </c>
      <c r="D28" s="286">
        <f>data!D90</f>
        <v>0</v>
      </c>
      <c r="E28" s="286">
        <f>data!E90</f>
        <v>36239.879999999983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3657</v>
      </c>
      <c r="D29" s="286">
        <f>data!D91</f>
        <v>0</v>
      </c>
      <c r="E29" s="286">
        <f>data!E91</f>
        <v>38938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1735.5491336431821</v>
      </c>
      <c r="D30" s="286">
        <f>data!D92</f>
        <v>0</v>
      </c>
      <c r="E30" s="286">
        <f>data!E92</f>
        <v>17781.38466196146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39171.72</v>
      </c>
      <c r="D31" s="286">
        <f>data!D93</f>
        <v>0</v>
      </c>
      <c r="E31" s="286">
        <f>data!E93</f>
        <v>184013.97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27.638478763337194</v>
      </c>
      <c r="D32" s="293">
        <f>data!D94</f>
        <v>0</v>
      </c>
      <c r="E32" s="293">
        <f>data!E94</f>
        <v>69.509031497327541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Mary Bridge Children's Hospital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1083660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45.718663692367315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9855992.8899999987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1382146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777738.75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503155.84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96381.68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3666815.5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880605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9480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58413.050000000047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-6646.94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17224081.769999996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>
        <f>+data!M675</f>
        <v>0</v>
      </c>
      <c r="D55" s="294">
        <f>+data!M676</f>
        <v>0</v>
      </c>
      <c r="E55" s="294">
        <f>+data!M677</f>
        <v>0</v>
      </c>
      <c r="F55" s="294">
        <f>+data!M678</f>
        <v>0</v>
      </c>
      <c r="G55" s="294">
        <f>+data!M679</f>
        <v>0</v>
      </c>
      <c r="H55" s="294">
        <f>+data!M680</f>
        <v>0</v>
      </c>
      <c r="I55" s="294">
        <f>+data!M681</f>
        <v>11808562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61041820.999999993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164160046.5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225201867.5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6697.9449999999979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4907.2106341532026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43814.77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21.3767725998114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Mary Bridge Children's Hospital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</v>
      </c>
      <c r="F74" s="293">
        <f>data!T60</f>
        <v>26.38393972241316</v>
      </c>
      <c r="G74" s="293">
        <f>data!U60</f>
        <v>0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0</v>
      </c>
      <c r="F75" s="286">
        <f>data!T61</f>
        <v>2980592.79</v>
      </c>
      <c r="G75" s="286">
        <f>data!U61</f>
        <v>0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0</v>
      </c>
      <c r="F76" s="286">
        <f>data!T62</f>
        <v>685062</v>
      </c>
      <c r="G76" s="286">
        <f>data!U62</f>
        <v>0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10776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0</v>
      </c>
      <c r="F78" s="286">
        <f>data!T64</f>
        <v>2327356.16</v>
      </c>
      <c r="G78" s="286">
        <f>data!U64</f>
        <v>2500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30790.77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173628.14</v>
      </c>
      <c r="G80" s="286">
        <f>data!U66</f>
        <v>2961984.69</v>
      </c>
      <c r="H80" s="286">
        <f>data!V66</f>
        <v>0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110393</v>
      </c>
      <c r="G81" s="286">
        <f>data!U67</f>
        <v>0</v>
      </c>
      <c r="H81" s="286">
        <f>data!V67</f>
        <v>0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0</v>
      </c>
      <c r="D83" s="286">
        <f>data!R69</f>
        <v>0</v>
      </c>
      <c r="E83" s="286">
        <f>data!S69</f>
        <v>0</v>
      </c>
      <c r="F83" s="286">
        <f>data!T69</f>
        <v>52052.530000000013</v>
      </c>
      <c r="G83" s="286">
        <f>data!U69</f>
        <v>0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950</v>
      </c>
      <c r="G84" s="286">
        <f>data!U84</f>
        <v>2961984.6900000004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0</v>
      </c>
      <c r="D85" s="286">
        <f>data!R85</f>
        <v>0</v>
      </c>
      <c r="E85" s="286">
        <f>data!S85</f>
        <v>0</v>
      </c>
      <c r="F85" s="286">
        <f>data!T85</f>
        <v>6358925.3899999997</v>
      </c>
      <c r="G85" s="286">
        <f>data!U85</f>
        <v>2499.9999999995343</v>
      </c>
      <c r="H85" s="286">
        <f>data!V85</f>
        <v>10776</v>
      </c>
      <c r="I85" s="286">
        <f>data!W85</f>
        <v>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>
        <f>+data!M682</f>
        <v>0</v>
      </c>
      <c r="D87" s="294">
        <f>+data!M683</f>
        <v>-7</v>
      </c>
      <c r="E87" s="294">
        <f>+data!M684</f>
        <v>0</v>
      </c>
      <c r="F87" s="294">
        <f>+data!M685</f>
        <v>3626246</v>
      </c>
      <c r="G87" s="294">
        <f>+data!M686</f>
        <v>372722</v>
      </c>
      <c r="H87" s="294">
        <f>+data!M687</f>
        <v>13893</v>
      </c>
      <c r="I87" s="294">
        <f>+data!M688</f>
        <v>202379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0</v>
      </c>
      <c r="D88" s="286">
        <f>data!R87</f>
        <v>0</v>
      </c>
      <c r="E88" s="286">
        <f>data!S87</f>
        <v>0</v>
      </c>
      <c r="F88" s="286">
        <f>data!T87</f>
        <v>5107506</v>
      </c>
      <c r="G88" s="286">
        <f>data!U87</f>
        <v>13535328.000000002</v>
      </c>
      <c r="H88" s="286">
        <f>data!V87</f>
        <v>264580</v>
      </c>
      <c r="I88" s="286">
        <f>data!W87</f>
        <v>4114969.45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0</v>
      </c>
      <c r="D89" s="286">
        <f>data!R88</f>
        <v>0</v>
      </c>
      <c r="E89" s="286">
        <f>data!S88</f>
        <v>0</v>
      </c>
      <c r="F89" s="286">
        <f>data!T88</f>
        <v>9444637.7300000004</v>
      </c>
      <c r="G89" s="286">
        <f>data!U88</f>
        <v>20719911</v>
      </c>
      <c r="H89" s="286">
        <f>data!V88</f>
        <v>534196</v>
      </c>
      <c r="I89" s="286">
        <f>data!W88</f>
        <v>14545512.199999999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0</v>
      </c>
      <c r="D90" s="286">
        <f>data!R89</f>
        <v>0</v>
      </c>
      <c r="E90" s="286">
        <f>data!S89</f>
        <v>0</v>
      </c>
      <c r="F90" s="286">
        <f>data!T89</f>
        <v>14552143.73</v>
      </c>
      <c r="G90" s="286">
        <f>data!U89</f>
        <v>34255239</v>
      </c>
      <c r="H90" s="286">
        <f>data!V89</f>
        <v>798776</v>
      </c>
      <c r="I90" s="286">
        <f>data!W89</f>
        <v>18660481.649999999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1875.72</v>
      </c>
      <c r="G92" s="286">
        <f>data!U90</f>
        <v>0</v>
      </c>
      <c r="H92" s="286">
        <f>data!V90</f>
        <v>0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27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5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12.51684862842235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Mary Bridge Children's Hospital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41854.67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</v>
      </c>
      <c r="D106" s="293">
        <f>data!Y60</f>
        <v>2.1685904106618374</v>
      </c>
      <c r="E106" s="293">
        <f>data!Z60</f>
        <v>0</v>
      </c>
      <c r="F106" s="293">
        <f>data!AA60</f>
        <v>0</v>
      </c>
      <c r="G106" s="293">
        <f>data!AB60</f>
        <v>34.915180132203403</v>
      </c>
      <c r="H106" s="293">
        <f>data!AC60</f>
        <v>14.513584244587181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0</v>
      </c>
      <c r="D107" s="286">
        <f>data!Y61</f>
        <v>233311.67</v>
      </c>
      <c r="E107" s="286">
        <f>data!Z61</f>
        <v>0</v>
      </c>
      <c r="F107" s="286">
        <f>data!AA61</f>
        <v>0</v>
      </c>
      <c r="G107" s="286">
        <f>data!AB61</f>
        <v>4422839.5199999996</v>
      </c>
      <c r="H107" s="286">
        <f>data!AC61</f>
        <v>1766333.7500000002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0</v>
      </c>
      <c r="D108" s="286">
        <f>data!Y62</f>
        <v>55291</v>
      </c>
      <c r="E108" s="286">
        <f>data!Z62</f>
        <v>0</v>
      </c>
      <c r="F108" s="286">
        <f>data!AA62</f>
        <v>0</v>
      </c>
      <c r="G108" s="286">
        <f>data!AB62</f>
        <v>921773</v>
      </c>
      <c r="H108" s="286">
        <f>data!AC62</f>
        <v>357948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0</v>
      </c>
      <c r="D110" s="286">
        <f>data!Y64</f>
        <v>2603.98</v>
      </c>
      <c r="E110" s="286">
        <f>data!Z64</f>
        <v>0</v>
      </c>
      <c r="F110" s="286">
        <f>data!AA64</f>
        <v>0</v>
      </c>
      <c r="G110" s="286">
        <f>data!AB64</f>
        <v>21411782.019999996</v>
      </c>
      <c r="H110" s="286">
        <f>data!AC64</f>
        <v>287621.45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35.65</v>
      </c>
      <c r="D111" s="286">
        <f>data!Y65</f>
        <v>5060.5</v>
      </c>
      <c r="E111" s="286">
        <f>data!Z65</f>
        <v>0</v>
      </c>
      <c r="F111" s="286">
        <f>data!AA65</f>
        <v>0</v>
      </c>
      <c r="G111" s="286">
        <f>data!AB65</f>
        <v>17324.72</v>
      </c>
      <c r="H111" s="286">
        <f>data!AC65</f>
        <v>3035.8700000000003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0</v>
      </c>
      <c r="D112" s="286">
        <f>data!Y66</f>
        <v>2964.91</v>
      </c>
      <c r="E112" s="286">
        <f>data!Z66</f>
        <v>0</v>
      </c>
      <c r="F112" s="286">
        <f>data!AA66</f>
        <v>0</v>
      </c>
      <c r="G112" s="286">
        <f>data!AB66</f>
        <v>186825</v>
      </c>
      <c r="H112" s="286">
        <f>data!AC66</f>
        <v>10610.82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1390</v>
      </c>
      <c r="D113" s="286">
        <f>data!Y67</f>
        <v>64401</v>
      </c>
      <c r="E113" s="286">
        <f>data!Z67</f>
        <v>0</v>
      </c>
      <c r="F113" s="286">
        <f>data!AA67</f>
        <v>0</v>
      </c>
      <c r="G113" s="286">
        <f>data!AB67</f>
        <v>55576</v>
      </c>
      <c r="H113" s="286">
        <f>data!AC67</f>
        <v>34389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0</v>
      </c>
      <c r="D115" s="286">
        <f>data!Y69</f>
        <v>492.13000000000102</v>
      </c>
      <c r="E115" s="286">
        <f>data!Z69</f>
        <v>0</v>
      </c>
      <c r="F115" s="286">
        <f>data!AA69</f>
        <v>0</v>
      </c>
      <c r="G115" s="286">
        <f>data!AB69</f>
        <v>7083.1399999999812</v>
      </c>
      <c r="H115" s="286">
        <f>data!AC69</f>
        <v>7744.0900000000056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-3641.9199999999996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1425.65</v>
      </c>
      <c r="D117" s="286">
        <f>data!Y85</f>
        <v>364125.19</v>
      </c>
      <c r="E117" s="286">
        <f>data!Z85</f>
        <v>0</v>
      </c>
      <c r="F117" s="286">
        <f>data!AA85</f>
        <v>0</v>
      </c>
      <c r="G117" s="286">
        <f>data!AB85</f>
        <v>27019561.479999993</v>
      </c>
      <c r="H117" s="286">
        <f>data!AC85</f>
        <v>2467682.98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>
        <f>+data!M689</f>
        <v>136034</v>
      </c>
      <c r="D119" s="294">
        <f>+data!M690</f>
        <v>553905</v>
      </c>
      <c r="E119" s="294">
        <f>+data!M691</f>
        <v>24987</v>
      </c>
      <c r="F119" s="294">
        <f>+data!M692</f>
        <v>15142</v>
      </c>
      <c r="G119" s="294">
        <f>+data!M693</f>
        <v>14667580</v>
      </c>
      <c r="H119" s="294">
        <f>+data!M694</f>
        <v>1410383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4486306.7</v>
      </c>
      <c r="D120" s="286">
        <f>data!Y87</f>
        <v>5004136.6500000004</v>
      </c>
      <c r="E120" s="286">
        <f>data!Z87</f>
        <v>1028374.5499999999</v>
      </c>
      <c r="F120" s="286">
        <f>data!AA87</f>
        <v>118246</v>
      </c>
      <c r="G120" s="286">
        <f>data!AB87</f>
        <v>32705404</v>
      </c>
      <c r="H120" s="286">
        <f>data!AC87</f>
        <v>14498509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7992967.3500000006</v>
      </c>
      <c r="D121" s="286">
        <f>data!Y88</f>
        <v>29775150.649999999</v>
      </c>
      <c r="E121" s="286">
        <f>data!Z88</f>
        <v>1275578.8500000001</v>
      </c>
      <c r="F121" s="286">
        <f>data!AA88</f>
        <v>1277917</v>
      </c>
      <c r="G121" s="286">
        <f>data!AB88</f>
        <v>93310039.799999997</v>
      </c>
      <c r="H121" s="286">
        <f>data!AC88</f>
        <v>154059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12479274.050000001</v>
      </c>
      <c r="D122" s="286">
        <f>data!Y89</f>
        <v>34779287.299999997</v>
      </c>
      <c r="E122" s="286">
        <f>data!Z89</f>
        <v>2303953.4</v>
      </c>
      <c r="F122" s="286">
        <f>data!AA89</f>
        <v>1396163</v>
      </c>
      <c r="G122" s="286">
        <f>data!AB89</f>
        <v>126015443.8</v>
      </c>
      <c r="H122" s="286">
        <f>data!AC89</f>
        <v>14652568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0</v>
      </c>
      <c r="D124" s="286">
        <f>data!Y90</f>
        <v>0</v>
      </c>
      <c r="E124" s="286">
        <f>data!Z90</f>
        <v>0</v>
      </c>
      <c r="F124" s="286">
        <f>data!AA90</f>
        <v>0</v>
      </c>
      <c r="G124" s="286">
        <f>data!AB90</f>
        <v>1856.45</v>
      </c>
      <c r="H124" s="286">
        <f>data!AC90</f>
        <v>531.75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4427.6499999999996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9.589041094576844E-6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Mary Bridge Children's Hospital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36649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40900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20.725317120448587</v>
      </c>
      <c r="D138" s="293">
        <f>data!AF60</f>
        <v>0</v>
      </c>
      <c r="E138" s="293">
        <f>data!AG60</f>
        <v>95.647611630733195</v>
      </c>
      <c r="F138" s="293">
        <f>data!AH60</f>
        <v>0</v>
      </c>
      <c r="G138" s="293">
        <f>data!AI60</f>
        <v>0</v>
      </c>
      <c r="H138" s="293">
        <f>data!AJ60</f>
        <v>184.7756629883869</v>
      </c>
      <c r="I138" s="293">
        <f>data!AK60</f>
        <v>33.397628077616758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2113371.3199999998</v>
      </c>
      <c r="D139" s="286">
        <f>data!AF61</f>
        <v>0</v>
      </c>
      <c r="E139" s="286">
        <f>data!AG61</f>
        <v>17988389.580000002</v>
      </c>
      <c r="F139" s="286">
        <f>data!AH61</f>
        <v>0</v>
      </c>
      <c r="G139" s="286">
        <f>data!AI61</f>
        <v>0</v>
      </c>
      <c r="H139" s="286">
        <f>data!AJ61</f>
        <v>31202104.100000001</v>
      </c>
      <c r="I139" s="286">
        <f>data!AK61</f>
        <v>4155261.25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520818</v>
      </c>
      <c r="D140" s="286">
        <f>data!AF62</f>
        <v>0</v>
      </c>
      <c r="E140" s="286">
        <f>data!AG62</f>
        <v>2419513</v>
      </c>
      <c r="F140" s="286">
        <f>data!AH62</f>
        <v>0</v>
      </c>
      <c r="G140" s="286">
        <f>data!AI62</f>
        <v>0</v>
      </c>
      <c r="H140" s="286">
        <f>data!AJ62</f>
        <v>5261541</v>
      </c>
      <c r="I140" s="286">
        <f>data!AK62</f>
        <v>894899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50759.3</v>
      </c>
      <c r="F141" s="286">
        <f>data!AH63</f>
        <v>0</v>
      </c>
      <c r="G141" s="286">
        <f>data!AI63</f>
        <v>0</v>
      </c>
      <c r="H141" s="286">
        <f>data!AJ63</f>
        <v>11057773.440000001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16072.77</v>
      </c>
      <c r="D142" s="286">
        <f>data!AF64</f>
        <v>0</v>
      </c>
      <c r="E142" s="286">
        <f>data!AG64</f>
        <v>1106459.8700000001</v>
      </c>
      <c r="F142" s="286">
        <f>data!AH64</f>
        <v>0</v>
      </c>
      <c r="G142" s="286">
        <f>data!AI64</f>
        <v>0</v>
      </c>
      <c r="H142" s="286">
        <f>data!AJ64</f>
        <v>1250411.53</v>
      </c>
      <c r="I142" s="286">
        <f>data!AK64</f>
        <v>48732.29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55331.850000000006</v>
      </c>
      <c r="D143" s="286">
        <f>data!AF65</f>
        <v>0</v>
      </c>
      <c r="E143" s="286">
        <f>data!AG65</f>
        <v>69220.13</v>
      </c>
      <c r="F143" s="286">
        <f>data!AH65</f>
        <v>0</v>
      </c>
      <c r="G143" s="286">
        <f>data!AI65</f>
        <v>0</v>
      </c>
      <c r="H143" s="286">
        <f>data!AJ65</f>
        <v>293857.7</v>
      </c>
      <c r="I143" s="286">
        <f>data!AK65</f>
        <v>63917.06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547633.76</v>
      </c>
      <c r="D144" s="286">
        <f>data!AF66</f>
        <v>0</v>
      </c>
      <c r="E144" s="286">
        <f>data!AG66</f>
        <v>1485225.34</v>
      </c>
      <c r="F144" s="286">
        <f>data!AH66</f>
        <v>0</v>
      </c>
      <c r="G144" s="286">
        <f>data!AI66</f>
        <v>0</v>
      </c>
      <c r="H144" s="286">
        <f>data!AJ66</f>
        <v>9362471.6500000004</v>
      </c>
      <c r="I144" s="286">
        <f>data!AK66</f>
        <v>657539.86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255304</v>
      </c>
      <c r="D145" s="286">
        <f>data!AF67</f>
        <v>0</v>
      </c>
      <c r="E145" s="286">
        <f>data!AG67</f>
        <v>415745</v>
      </c>
      <c r="F145" s="286">
        <f>data!AH67</f>
        <v>0</v>
      </c>
      <c r="G145" s="286">
        <f>data!AI67</f>
        <v>0</v>
      </c>
      <c r="H145" s="286">
        <f>data!AJ67</f>
        <v>3484914</v>
      </c>
      <c r="I145" s="286">
        <f>data!AK67</f>
        <v>313700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63011.439999999981</v>
      </c>
      <c r="D146" s="286">
        <f>data!AF68</f>
        <v>0</v>
      </c>
      <c r="E146" s="286">
        <f>data!AG68</f>
        <v>9480</v>
      </c>
      <c r="F146" s="286">
        <f>data!AH68</f>
        <v>0</v>
      </c>
      <c r="G146" s="286">
        <f>data!AI68</f>
        <v>0</v>
      </c>
      <c r="H146" s="286">
        <f>data!AJ68</f>
        <v>2567643.9499999997</v>
      </c>
      <c r="I146" s="286">
        <f>data!AK68</f>
        <v>63011.560000000005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4662.2799999999988</v>
      </c>
      <c r="D147" s="286">
        <f>data!AF69</f>
        <v>0</v>
      </c>
      <c r="E147" s="286">
        <f>data!AG69</f>
        <v>277807.48999999993</v>
      </c>
      <c r="F147" s="286">
        <f>data!AH69</f>
        <v>0</v>
      </c>
      <c r="G147" s="286">
        <f>data!AI69</f>
        <v>0</v>
      </c>
      <c r="H147" s="286">
        <f>data!AJ69</f>
        <v>558176.94999999972</v>
      </c>
      <c r="I147" s="286">
        <f>data!AK69</f>
        <v>23310.22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-519520.91000000003</v>
      </c>
      <c r="F148" s="286">
        <f>-data!AH84</f>
        <v>0</v>
      </c>
      <c r="G148" s="286">
        <f>-data!AI84</f>
        <v>0</v>
      </c>
      <c r="H148" s="286">
        <f>-data!AJ84</f>
        <v>-1193850.53</v>
      </c>
      <c r="I148" s="286">
        <f>-data!AK84</f>
        <v>-15343.66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3576205.42</v>
      </c>
      <c r="D149" s="286">
        <f>data!AF85</f>
        <v>0</v>
      </c>
      <c r="E149" s="286">
        <f>data!AG85</f>
        <v>23303078.800000001</v>
      </c>
      <c r="F149" s="286">
        <f>data!AH85</f>
        <v>0</v>
      </c>
      <c r="G149" s="286">
        <f>data!AI85</f>
        <v>0</v>
      </c>
      <c r="H149" s="286">
        <f>data!AJ85</f>
        <v>63845043.790000014</v>
      </c>
      <c r="I149" s="286">
        <f>data!AK85</f>
        <v>6205027.5799999991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>
        <f>+data!M696</f>
        <v>1805843</v>
      </c>
      <c r="D151" s="294">
        <f>+data!M697</f>
        <v>0</v>
      </c>
      <c r="E151" s="294">
        <f>+data!M698</f>
        <v>15896721</v>
      </c>
      <c r="F151" s="294">
        <f>+data!M699</f>
        <v>0</v>
      </c>
      <c r="G151" s="294">
        <f>+data!M700</f>
        <v>0</v>
      </c>
      <c r="H151" s="294">
        <f>+data!M701</f>
        <v>32837191</v>
      </c>
      <c r="I151" s="294">
        <f>+data!M702</f>
        <v>3174835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655516</v>
      </c>
      <c r="D152" s="286">
        <f>data!AF87</f>
        <v>0</v>
      </c>
      <c r="E152" s="286">
        <f>data!AG87</f>
        <v>30916322.559999999</v>
      </c>
      <c r="F152" s="286">
        <f>data!AH87</f>
        <v>0</v>
      </c>
      <c r="G152" s="286">
        <f>data!AI87</f>
        <v>0</v>
      </c>
      <c r="H152" s="286">
        <f>data!AJ87</f>
        <v>4188632.4000000004</v>
      </c>
      <c r="I152" s="286">
        <f>data!AK87</f>
        <v>751073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5825405</v>
      </c>
      <c r="D153" s="286">
        <f>data!AF88</f>
        <v>0</v>
      </c>
      <c r="E153" s="286">
        <f>data!AG88</f>
        <v>167965983.31999999</v>
      </c>
      <c r="F153" s="286">
        <f>data!AH88</f>
        <v>0</v>
      </c>
      <c r="G153" s="286">
        <f>data!AI88</f>
        <v>0</v>
      </c>
      <c r="H153" s="286">
        <f>data!AJ88</f>
        <v>101943114.22</v>
      </c>
      <c r="I153" s="286">
        <f>data!AK88</f>
        <v>11541121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6480921</v>
      </c>
      <c r="D154" s="286">
        <f>data!AF89</f>
        <v>0</v>
      </c>
      <c r="E154" s="286">
        <f>data!AG89</f>
        <v>198882305.88</v>
      </c>
      <c r="F154" s="286">
        <f>data!AH89</f>
        <v>0</v>
      </c>
      <c r="G154" s="286">
        <f>data!AI89</f>
        <v>0</v>
      </c>
      <c r="H154" s="286">
        <f>data!AJ89</f>
        <v>106131746.62</v>
      </c>
      <c r="I154" s="286">
        <f>data!AK89</f>
        <v>12292194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0</v>
      </c>
      <c r="D156" s="286">
        <f>data!AF90</f>
        <v>0</v>
      </c>
      <c r="E156" s="286">
        <f>data!AG90</f>
        <v>17277.179999999993</v>
      </c>
      <c r="F156" s="286">
        <f>data!AH90</f>
        <v>0</v>
      </c>
      <c r="G156" s="286">
        <f>data!AI90</f>
        <v>0</v>
      </c>
      <c r="H156" s="286">
        <f>data!AJ90</f>
        <v>2470.7350000000006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4802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0</v>
      </c>
      <c r="D158" s="286">
        <f>data!AF92</f>
        <v>0</v>
      </c>
      <c r="E158" s="286">
        <f>data!AG92</f>
        <v>7608.7099008312598</v>
      </c>
      <c r="F158" s="286">
        <f>data!AH92</f>
        <v>0</v>
      </c>
      <c r="G158" s="286">
        <f>data!AI92</f>
        <v>0</v>
      </c>
      <c r="H158" s="286">
        <f>data!AJ92</f>
        <v>3327.1456694108947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1954.85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37007.369999999995</v>
      </c>
      <c r="I159" s="286">
        <f>data!AK93</f>
        <v>1224.4000000000001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44.32546711721568</v>
      </c>
      <c r="F160" s="293">
        <f>data!AH94</f>
        <v>0</v>
      </c>
      <c r="G160" s="293">
        <f>data!AI94</f>
        <v>0</v>
      </c>
      <c r="H160" s="293">
        <f>data!AJ94</f>
        <v>29.378707530222094</v>
      </c>
      <c r="I160" s="293">
        <f>data!AK94</f>
        <v>1.9646171230185454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Mary Bridge Children's Hospital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57200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21.15455136696513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2201503.6800000002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536726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59859.280000000006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28472.520000000004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548210.64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48936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-1786.5899999999965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3387348.62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>
        <f>+data!M703</f>
        <v>1715551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228424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6378073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6606497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665.8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Mary Bridge Children's Hospital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47488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189.79916024797274</v>
      </c>
      <c r="G202" s="293">
        <f>data!AW60</f>
        <v>13.907134929601764</v>
      </c>
      <c r="H202" s="293">
        <f>data!AX60</f>
        <v>0</v>
      </c>
      <c r="I202" s="293">
        <f>data!AY60</f>
        <v>1.5643849312925502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32358579.419999998</v>
      </c>
      <c r="G203" s="286">
        <f>data!AW61</f>
        <v>1155270.54</v>
      </c>
      <c r="H203" s="286">
        <f>data!AX61</f>
        <v>0</v>
      </c>
      <c r="I203" s="286">
        <f>data!AY61</f>
        <v>68831.189999999988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5757108</v>
      </c>
      <c r="G204" s="286">
        <f>data!AW62</f>
        <v>328147</v>
      </c>
      <c r="H204" s="286">
        <f>data!AX62</f>
        <v>0</v>
      </c>
      <c r="I204" s="286">
        <f>data!AY62</f>
        <v>32072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773582.68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1720068.1500000001</v>
      </c>
      <c r="G206" s="286">
        <f>data!AW64</f>
        <v>0</v>
      </c>
      <c r="H206" s="286">
        <f>data!AX64</f>
        <v>0</v>
      </c>
      <c r="I206" s="286">
        <f>data!AY64</f>
        <v>109252.22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139607.48000000001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13484539.01</v>
      </c>
      <c r="G208" s="286">
        <f>data!AW66</f>
        <v>428646.09</v>
      </c>
      <c r="H208" s="286">
        <f>data!AX66</f>
        <v>0</v>
      </c>
      <c r="I208" s="286">
        <f>data!AY66</f>
        <v>11512.29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593325</v>
      </c>
      <c r="G209" s="286">
        <f>data!AW67</f>
        <v>0</v>
      </c>
      <c r="H209" s="286">
        <f>data!AX67</f>
        <v>0</v>
      </c>
      <c r="I209" s="286">
        <f>data!AY67</f>
        <v>299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2579193.7399999998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247520.81000000014</v>
      </c>
      <c r="G211" s="286">
        <f>data!AW69</f>
        <v>14993.029999999999</v>
      </c>
      <c r="H211" s="286">
        <f>data!AX69</f>
        <v>0</v>
      </c>
      <c r="I211" s="286">
        <f>data!AY69</f>
        <v>-601.0600000000004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-3619654.3899999997</v>
      </c>
      <c r="G212" s="286">
        <f>-data!AW84</f>
        <v>-2171.27</v>
      </c>
      <c r="H212" s="286">
        <f>-data!AX84</f>
        <v>0</v>
      </c>
      <c r="I212" s="286">
        <f>-data!AY84</f>
        <v>-229945.31000000003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54033869.899999999</v>
      </c>
      <c r="G213" s="286">
        <f>data!AW85</f>
        <v>1924885.3900000001</v>
      </c>
      <c r="H213" s="286">
        <f>data!AX85</f>
        <v>0</v>
      </c>
      <c r="I213" s="286">
        <f>data!AY85</f>
        <v>-8579.6700000000419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27396875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3703852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77199705.890000001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80903557.890000001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780.97</v>
      </c>
      <c r="G220" s="286">
        <f>data!AW90</f>
        <v>0</v>
      </c>
      <c r="H220" s="286">
        <f>data!AX90</f>
        <v>0</v>
      </c>
      <c r="I220" s="286">
        <f>data!AY90</f>
        <v>0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64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1951.1999999999998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14.146678765185387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Mary Bridge Children's Hospital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177381.27499999997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16.554381504581595</v>
      </c>
      <c r="F234" s="293">
        <f>data!BC60</f>
        <v>0</v>
      </c>
      <c r="G234" s="293">
        <f>data!BD60</f>
        <v>0</v>
      </c>
      <c r="H234" s="293">
        <f>data!BE60</f>
        <v>0</v>
      </c>
      <c r="I234" s="293">
        <f>data!BF60</f>
        <v>0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1748611.66</v>
      </c>
      <c r="F235" s="286">
        <f>data!BC61</f>
        <v>0</v>
      </c>
      <c r="G235" s="286">
        <f>data!BD61</f>
        <v>0</v>
      </c>
      <c r="H235" s="286">
        <f>data!BE61</f>
        <v>0</v>
      </c>
      <c r="I235" s="286">
        <f>data!BF61</f>
        <v>0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418443</v>
      </c>
      <c r="F236" s="286">
        <f>data!BC62</f>
        <v>0</v>
      </c>
      <c r="G236" s="286">
        <f>data!BD62</f>
        <v>0</v>
      </c>
      <c r="H236" s="286">
        <f>data!BE62</f>
        <v>0</v>
      </c>
      <c r="I236" s="286">
        <f>data!BF62</f>
        <v>0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22787.659999999993</v>
      </c>
      <c r="F238" s="286">
        <f>data!BC64</f>
        <v>0</v>
      </c>
      <c r="G238" s="286">
        <f>data!BD64</f>
        <v>0</v>
      </c>
      <c r="H238" s="286">
        <f>data!BE64</f>
        <v>0</v>
      </c>
      <c r="I238" s="286">
        <f>data!BF64</f>
        <v>0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7367.93</v>
      </c>
      <c r="F239" s="286">
        <f>data!BC65</f>
        <v>0</v>
      </c>
      <c r="G239" s="286">
        <f>data!BD65</f>
        <v>0</v>
      </c>
      <c r="H239" s="286">
        <f>data!BE65</f>
        <v>0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0</v>
      </c>
      <c r="E240" s="286">
        <f>data!BB66</f>
        <v>1337.9</v>
      </c>
      <c r="F240" s="286">
        <f>data!BC66</f>
        <v>0</v>
      </c>
      <c r="G240" s="286">
        <f>data!BD66</f>
        <v>0</v>
      </c>
      <c r="H240" s="286">
        <f>data!BE66</f>
        <v>0</v>
      </c>
      <c r="I240" s="286">
        <f>data!BF66</f>
        <v>0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0</v>
      </c>
      <c r="E241" s="286">
        <f>data!BB67</f>
        <v>2810</v>
      </c>
      <c r="F241" s="286">
        <f>data!BC67</f>
        <v>0</v>
      </c>
      <c r="G241" s="286">
        <f>data!BD67</f>
        <v>0</v>
      </c>
      <c r="H241" s="286">
        <f>data!BE67</f>
        <v>0</v>
      </c>
      <c r="I241" s="286">
        <f>data!BF67</f>
        <v>0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0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1281.3400000000001</v>
      </c>
      <c r="F243" s="286">
        <f>data!BC69</f>
        <v>0</v>
      </c>
      <c r="G243" s="286">
        <f>data!BD69</f>
        <v>0</v>
      </c>
      <c r="H243" s="286">
        <f>data!BE69</f>
        <v>0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-773382.30999999994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0</v>
      </c>
      <c r="D245" s="286">
        <f>data!BA85</f>
        <v>0</v>
      </c>
      <c r="E245" s="286">
        <f>data!BB85</f>
        <v>1429257.1800000002</v>
      </c>
      <c r="F245" s="286">
        <f>data!BC85</f>
        <v>0</v>
      </c>
      <c r="G245" s="286">
        <f>data!BD85</f>
        <v>0</v>
      </c>
      <c r="H245" s="286">
        <f>data!BE85</f>
        <v>0</v>
      </c>
      <c r="I245" s="286">
        <f>data!BF85</f>
        <v>0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0</v>
      </c>
      <c r="D252" s="302">
        <f>data!BA90</f>
        <v>0</v>
      </c>
      <c r="E252" s="302">
        <f>data!BB90</f>
        <v>218.76</v>
      </c>
      <c r="F252" s="302">
        <f>data!BC90</f>
        <v>0</v>
      </c>
      <c r="G252" s="302">
        <f>data!BD90</f>
        <v>0</v>
      </c>
      <c r="H252" s="302">
        <f>data!BE90</f>
        <v>0</v>
      </c>
      <c r="I252" s="302">
        <f>data!BF90</f>
        <v>0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Mary Bridge Children's Hospital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0</v>
      </c>
      <c r="G266" s="293">
        <f>data!BK60</f>
        <v>0</v>
      </c>
      <c r="H266" s="293">
        <f>data!BL60</f>
        <v>42.008807528491943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0</v>
      </c>
      <c r="G267" s="286">
        <f>data!BK61</f>
        <v>0</v>
      </c>
      <c r="H267" s="286">
        <f>data!BL61</f>
        <v>2244759.4900000002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0</v>
      </c>
      <c r="G268" s="286">
        <f>data!BK62</f>
        <v>0</v>
      </c>
      <c r="H268" s="286">
        <f>data!BL62</f>
        <v>887648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0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19283.7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0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300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0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0</v>
      </c>
      <c r="D277" s="286">
        <f>data!BH85</f>
        <v>0</v>
      </c>
      <c r="E277" s="286">
        <f>data!BI85</f>
        <v>0</v>
      </c>
      <c r="F277" s="286">
        <f>data!BJ85</f>
        <v>0</v>
      </c>
      <c r="G277" s="286">
        <f>data!BK85</f>
        <v>0</v>
      </c>
      <c r="H277" s="286">
        <f>data!BL85</f>
        <v>3151991.1900000004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Mary Bridge Children's Hospital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16.647284929226402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3181467.6799999997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527503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242761.16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62698.95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41820.39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3898729.7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668456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63498.960000000014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1207438.7700000003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-41120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9853254.6100000013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3723.5700000000006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Mary Bridge Children's Hospital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0</v>
      </c>
      <c r="E330" s="293">
        <f>data!BW60</f>
        <v>0</v>
      </c>
      <c r="F330" s="293">
        <f>data!BX60</f>
        <v>5.3292726020096897</v>
      </c>
      <c r="G330" s="293">
        <f>data!BY60</f>
        <v>4.9811856157560026</v>
      </c>
      <c r="H330" s="293">
        <f>data!BZ60</f>
        <v>32.044460954514463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0</v>
      </c>
      <c r="E331" s="305">
        <f>data!BW61</f>
        <v>0</v>
      </c>
      <c r="F331" s="305">
        <f>data!BX61</f>
        <v>720092.24000000011</v>
      </c>
      <c r="G331" s="305">
        <f>data!BY61</f>
        <v>867620.14000000013</v>
      </c>
      <c r="H331" s="305">
        <f>data!BZ61</f>
        <v>2674870.96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0</v>
      </c>
      <c r="E332" s="305">
        <f>data!BW62</f>
        <v>0</v>
      </c>
      <c r="F332" s="305">
        <f>data!BX62</f>
        <v>148876</v>
      </c>
      <c r="G332" s="305">
        <f>data!BY62</f>
        <v>152165</v>
      </c>
      <c r="H332" s="305">
        <f>data!BZ62</f>
        <v>635705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0</v>
      </c>
      <c r="E334" s="305">
        <f>data!BW64</f>
        <v>0</v>
      </c>
      <c r="F334" s="305">
        <f>data!BX64</f>
        <v>0</v>
      </c>
      <c r="G334" s="305">
        <f>data!BY64</f>
        <v>203.97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1493.35</v>
      </c>
      <c r="G335" s="305">
        <f>data!BY65</f>
        <v>1084.2700000000002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0</v>
      </c>
      <c r="E336" s="305">
        <f>data!BW66</f>
        <v>0</v>
      </c>
      <c r="F336" s="305">
        <f>data!BX66</f>
        <v>-0.01</v>
      </c>
      <c r="G336" s="305">
        <f>data!BY66</f>
        <v>711.44</v>
      </c>
      <c r="H336" s="305">
        <f>data!BZ66</f>
        <v>-2137626.89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1047</v>
      </c>
      <c r="G337" s="305">
        <f>data!BY67</f>
        <v>3303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51.930000000000746</v>
      </c>
      <c r="G339" s="305">
        <f>data!BY69</f>
        <v>49.139999999999645</v>
      </c>
      <c r="H339" s="305">
        <f>data!BZ69</f>
        <v>86404.170000000013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0</v>
      </c>
      <c r="E341" s="286">
        <f>data!BW85</f>
        <v>0</v>
      </c>
      <c r="F341" s="286">
        <f>data!BX85</f>
        <v>871560.51000000013</v>
      </c>
      <c r="G341" s="286">
        <f>data!BY85</f>
        <v>1025136.9600000001</v>
      </c>
      <c r="H341" s="286">
        <f>data!BZ85</f>
        <v>1259353.2399999998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81.5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Mary Bridge Children's Hospital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2.5849705475911002</v>
      </c>
      <c r="D362" s="293">
        <f>data!CC60</f>
        <v>58.448508896102936</v>
      </c>
      <c r="E362" s="308"/>
      <c r="F362" s="296"/>
      <c r="G362" s="296"/>
      <c r="H362" s="296"/>
      <c r="I362" s="309">
        <f>data!CE60</f>
        <v>1002.7644409585255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225527.3</v>
      </c>
      <c r="D363" s="305">
        <f>data!CC61</f>
        <v>9083245.4600000009</v>
      </c>
      <c r="E363" s="310"/>
      <c r="F363" s="310"/>
      <c r="G363" s="310"/>
      <c r="H363" s="310"/>
      <c r="I363" s="305">
        <f>data!CE61</f>
        <v>148536490.18000004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61400</v>
      </c>
      <c r="D364" s="305">
        <f>data!CC62</f>
        <v>1463543</v>
      </c>
      <c r="E364" s="310"/>
      <c r="F364" s="310"/>
      <c r="G364" s="310"/>
      <c r="H364" s="310"/>
      <c r="I364" s="305">
        <f>data!CE62</f>
        <v>26782856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65799.490000000005</v>
      </c>
      <c r="E365" s="310"/>
      <c r="F365" s="310"/>
      <c r="G365" s="310"/>
      <c r="H365" s="310"/>
      <c r="I365" s="305">
        <f>data!CE63</f>
        <v>14342305.520000001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3946.42</v>
      </c>
      <c r="D366" s="305">
        <f>data!CC64</f>
        <v>188915.16</v>
      </c>
      <c r="E366" s="310"/>
      <c r="F366" s="310"/>
      <c r="G366" s="310"/>
      <c r="H366" s="310"/>
      <c r="I366" s="305">
        <f>data!CE64</f>
        <v>30218671.259999994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2286.7999999999997</v>
      </c>
      <c r="D367" s="305">
        <f>data!CC65</f>
        <v>49688.56</v>
      </c>
      <c r="E367" s="310"/>
      <c r="F367" s="310"/>
      <c r="G367" s="310"/>
      <c r="H367" s="310"/>
      <c r="I367" s="305">
        <f>data!CE65</f>
        <v>1100896.4200000002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11906.53</v>
      </c>
      <c r="D368" s="305">
        <f>data!CC66</f>
        <v>89591074.560000002</v>
      </c>
      <c r="E368" s="310"/>
      <c r="F368" s="310"/>
      <c r="G368" s="310"/>
      <c r="H368" s="310"/>
      <c r="I368" s="305">
        <f>data!CE66</f>
        <v>126098517.25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14905</v>
      </c>
      <c r="D369" s="305">
        <f>data!CC67</f>
        <v>336576</v>
      </c>
      <c r="E369" s="310"/>
      <c r="F369" s="310"/>
      <c r="G369" s="310"/>
      <c r="H369" s="310"/>
      <c r="I369" s="305">
        <f>data!CE67</f>
        <v>8229300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0</v>
      </c>
      <c r="D370" s="305">
        <f>data!CC68</f>
        <v>670643.62999999989</v>
      </c>
      <c r="E370" s="310"/>
      <c r="F370" s="310"/>
      <c r="G370" s="310"/>
      <c r="H370" s="310"/>
      <c r="I370" s="305">
        <f>data!CE68</f>
        <v>6040529.209999999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7420.8900000000031</v>
      </c>
      <c r="D371" s="305">
        <f>data!CC69</f>
        <v>9508122.9899999984</v>
      </c>
      <c r="E371" s="305">
        <f>data!CD69</f>
        <v>12102889.360000001</v>
      </c>
      <c r="F371" s="310"/>
      <c r="G371" s="310"/>
      <c r="H371" s="310"/>
      <c r="I371" s="305">
        <f>data!CE69</f>
        <v>40497496.530000001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-364947.64999999997</v>
      </c>
      <c r="D372" s="286">
        <f>-data!CC84</f>
        <v>-6314231.6100000003</v>
      </c>
      <c r="E372" s="286">
        <f>-data!CD84</f>
        <v>0</v>
      </c>
      <c r="F372" s="296"/>
      <c r="G372" s="296"/>
      <c r="H372" s="296"/>
      <c r="I372" s="286">
        <f>-data!CE84</f>
        <v>-16111456.140000001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-37554.709999999963</v>
      </c>
      <c r="D373" s="305">
        <f>data!CC85</f>
        <v>104643377.23999999</v>
      </c>
      <c r="E373" s="305">
        <f>data!CD85</f>
        <v>12102889.360000001</v>
      </c>
      <c r="F373" s="310"/>
      <c r="G373" s="310"/>
      <c r="H373" s="310"/>
      <c r="I373" s="286">
        <f>data!CE85</f>
        <v>369624150.09000003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291619997.63999999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721730419.2299999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1013350416.87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88774.735000000001</v>
      </c>
      <c r="E380" s="296"/>
      <c r="F380" s="296"/>
      <c r="G380" s="296"/>
      <c r="H380" s="296"/>
      <c r="I380" s="286">
        <f>data!CE90</f>
        <v>177381.27499999997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47488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35359.999999999993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315826.98000000004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225.05393147602001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C155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C155" activePane="bottomRight" state="frozen"/>
      <selection activeCell="A45" sqref="A45"/>
      <selection pane="topRight" activeCell="C45" sqref="C45"/>
      <selection pane="bottomLeft" activeCell="A46" sqref="A46"/>
      <selection pane="bottomRight" activeCell="C98" sqref="C98: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3" t="s">
        <v>18</v>
      </c>
      <c r="B37" s="324"/>
      <c r="C37" s="325"/>
      <c r="D37" s="324"/>
      <c r="E37" s="324"/>
      <c r="F37" s="324"/>
      <c r="G37" s="324"/>
    </row>
    <row r="38" spans="1:83" x14ac:dyDescent="0.35">
      <c r="A38" s="326" t="s">
        <v>1342</v>
      </c>
      <c r="B38" s="327"/>
      <c r="C38" s="325"/>
      <c r="D38" s="324"/>
      <c r="E38" s="324"/>
      <c r="F38" s="324"/>
      <c r="G38" s="324"/>
    </row>
    <row r="39" spans="1:83" x14ac:dyDescent="0.35">
      <c r="A39" s="328" t="s">
        <v>1340</v>
      </c>
      <c r="B39" s="327"/>
      <c r="C39" s="325"/>
      <c r="D39" s="324"/>
      <c r="E39" s="324"/>
      <c r="F39" s="324"/>
      <c r="G39" s="324"/>
    </row>
    <row r="40" spans="1:83" x14ac:dyDescent="0.35">
      <c r="A40" s="329" t="s">
        <v>1343</v>
      </c>
      <c r="B40" s="324"/>
      <c r="C40" s="325"/>
      <c r="D40" s="324"/>
      <c r="E40" s="324"/>
      <c r="F40" s="324"/>
      <c r="G40" s="324"/>
    </row>
    <row r="41" spans="1:83" x14ac:dyDescent="0.35">
      <c r="A41" s="328" t="s">
        <v>1341</v>
      </c>
      <c r="B41" s="324"/>
      <c r="C41" s="325"/>
      <c r="D41" s="324"/>
      <c r="E41" s="324"/>
      <c r="F41" s="324"/>
      <c r="G41" s="32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911513.15999999992</v>
      </c>
      <c r="D48" s="213">
        <v>0</v>
      </c>
      <c r="E48" s="213">
        <v>2189119.3899999997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1388893.56</v>
      </c>
      <c r="Q48" s="213">
        <v>0</v>
      </c>
      <c r="R48" s="213">
        <v>0</v>
      </c>
      <c r="S48" s="213">
        <v>0</v>
      </c>
      <c r="T48" s="213">
        <v>638627.94999999995</v>
      </c>
      <c r="U48" s="213">
        <v>0</v>
      </c>
      <c r="V48" s="213">
        <v>0</v>
      </c>
      <c r="W48" s="213">
        <v>0</v>
      </c>
      <c r="X48" s="213">
        <v>0</v>
      </c>
      <c r="Y48" s="213">
        <v>55628.24</v>
      </c>
      <c r="Z48" s="213">
        <v>0</v>
      </c>
      <c r="AA48" s="213">
        <v>0</v>
      </c>
      <c r="AB48" s="213">
        <v>787561.44</v>
      </c>
      <c r="AC48" s="213">
        <v>356927.54</v>
      </c>
      <c r="AD48" s="213">
        <v>0</v>
      </c>
      <c r="AE48" s="213">
        <v>532680.09</v>
      </c>
      <c r="AF48" s="213">
        <v>0</v>
      </c>
      <c r="AG48" s="213">
        <v>2194003.02</v>
      </c>
      <c r="AH48" s="213">
        <v>0</v>
      </c>
      <c r="AI48" s="213">
        <v>0</v>
      </c>
      <c r="AJ48" s="213">
        <v>4945026.91</v>
      </c>
      <c r="AK48" s="213">
        <v>883156.87</v>
      </c>
      <c r="AL48" s="213">
        <v>482593.75</v>
      </c>
      <c r="AM48" s="213">
        <v>0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5341284.4200000009</v>
      </c>
      <c r="AW48" s="213">
        <v>155021.88</v>
      </c>
      <c r="AX48" s="213">
        <v>0</v>
      </c>
      <c r="AY48" s="213">
        <v>29596.99</v>
      </c>
      <c r="AZ48" s="213">
        <v>0</v>
      </c>
      <c r="BA48" s="213">
        <v>0</v>
      </c>
      <c r="BB48" s="213">
        <v>364617.44999999995</v>
      </c>
      <c r="BC48" s="213">
        <v>0</v>
      </c>
      <c r="BD48" s="213">
        <v>0</v>
      </c>
      <c r="BE48" s="213">
        <v>0</v>
      </c>
      <c r="BF48" s="213">
        <v>0</v>
      </c>
      <c r="BG48" s="213">
        <v>0</v>
      </c>
      <c r="BH48" s="213">
        <v>0</v>
      </c>
      <c r="BI48" s="213">
        <v>0</v>
      </c>
      <c r="BJ48" s="213">
        <v>0</v>
      </c>
      <c r="BK48" s="213">
        <v>0</v>
      </c>
      <c r="BL48" s="213">
        <v>554461.51</v>
      </c>
      <c r="BM48" s="213">
        <v>0</v>
      </c>
      <c r="BN48" s="213">
        <v>372477.48000000004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0</v>
      </c>
      <c r="BW48" s="213">
        <v>0</v>
      </c>
      <c r="BX48" s="213">
        <v>108482.58</v>
      </c>
      <c r="BY48" s="213">
        <v>150105.91</v>
      </c>
      <c r="BZ48" s="213">
        <v>509925.55999999994</v>
      </c>
      <c r="CA48" s="213">
        <v>0</v>
      </c>
      <c r="CB48" s="213">
        <v>48922.77</v>
      </c>
      <c r="CC48" s="213">
        <v>1179302.8699999999</v>
      </c>
      <c r="CD48" s="20"/>
      <c r="CE48" s="32">
        <f>SUM(C48:CC48)</f>
        <v>24179931.339999996</v>
      </c>
    </row>
    <row r="49" spans="1:83" x14ac:dyDescent="0.35">
      <c r="A49" s="32" t="s">
        <v>217</v>
      </c>
      <c r="B49" s="215"/>
      <c r="C49" s="269" t="b">
        <f>IF($B$49,(ROUND((($B$49/$CE$62)*C62),0)))</f>
        <v>0</v>
      </c>
      <c r="D49" s="269" t="b">
        <f t="shared" ref="D49:BO49" si="0">IF($B$49,(ROUND((($B$49/$CE$62)*D62),0)))</f>
        <v>0</v>
      </c>
      <c r="E49" s="269" t="b">
        <f t="shared" si="0"/>
        <v>0</v>
      </c>
      <c r="F49" s="269" t="b">
        <f t="shared" si="0"/>
        <v>0</v>
      </c>
      <c r="G49" s="269" t="b">
        <f t="shared" si="0"/>
        <v>0</v>
      </c>
      <c r="H49" s="269" t="b">
        <f t="shared" si="0"/>
        <v>0</v>
      </c>
      <c r="I49" s="269" t="b">
        <f t="shared" si="0"/>
        <v>0</v>
      </c>
      <c r="J49" s="269" t="b">
        <f t="shared" si="0"/>
        <v>0</v>
      </c>
      <c r="K49" s="269" t="b">
        <f t="shared" si="0"/>
        <v>0</v>
      </c>
      <c r="L49" s="269" t="b">
        <f t="shared" si="0"/>
        <v>0</v>
      </c>
      <c r="M49" s="269" t="b">
        <f t="shared" si="0"/>
        <v>0</v>
      </c>
      <c r="N49" s="269" t="b">
        <f t="shared" si="0"/>
        <v>0</v>
      </c>
      <c r="O49" s="269" t="b">
        <f t="shared" si="0"/>
        <v>0</v>
      </c>
      <c r="P49" s="269" t="b">
        <f t="shared" si="0"/>
        <v>0</v>
      </c>
      <c r="Q49" s="269" t="b">
        <f t="shared" si="0"/>
        <v>0</v>
      </c>
      <c r="R49" s="269" t="b">
        <f t="shared" si="0"/>
        <v>0</v>
      </c>
      <c r="S49" s="269" t="b">
        <f t="shared" si="0"/>
        <v>0</v>
      </c>
      <c r="T49" s="269" t="b">
        <f t="shared" si="0"/>
        <v>0</v>
      </c>
      <c r="U49" s="269" t="b">
        <f t="shared" si="0"/>
        <v>0</v>
      </c>
      <c r="V49" s="269" t="b">
        <f t="shared" si="0"/>
        <v>0</v>
      </c>
      <c r="W49" s="269" t="b">
        <f t="shared" si="0"/>
        <v>0</v>
      </c>
      <c r="X49" s="269" t="b">
        <f t="shared" si="0"/>
        <v>0</v>
      </c>
      <c r="Y49" s="269" t="b">
        <f t="shared" si="0"/>
        <v>0</v>
      </c>
      <c r="Z49" s="269" t="b">
        <f t="shared" si="0"/>
        <v>0</v>
      </c>
      <c r="AA49" s="269" t="b">
        <f t="shared" si="0"/>
        <v>0</v>
      </c>
      <c r="AB49" s="269" t="b">
        <f t="shared" si="0"/>
        <v>0</v>
      </c>
      <c r="AC49" s="269" t="b">
        <f t="shared" si="0"/>
        <v>0</v>
      </c>
      <c r="AD49" s="269" t="b">
        <f t="shared" si="0"/>
        <v>0</v>
      </c>
      <c r="AE49" s="269" t="b">
        <f t="shared" si="0"/>
        <v>0</v>
      </c>
      <c r="AF49" s="269" t="b">
        <f t="shared" si="0"/>
        <v>0</v>
      </c>
      <c r="AG49" s="269" t="b">
        <f t="shared" si="0"/>
        <v>0</v>
      </c>
      <c r="AH49" s="269" t="b">
        <f t="shared" si="0"/>
        <v>0</v>
      </c>
      <c r="AI49" s="269" t="b">
        <f t="shared" si="0"/>
        <v>0</v>
      </c>
      <c r="AJ49" s="269" t="b">
        <f t="shared" si="0"/>
        <v>0</v>
      </c>
      <c r="AK49" s="269" t="b">
        <f t="shared" si="0"/>
        <v>0</v>
      </c>
      <c r="AL49" s="269" t="b">
        <f t="shared" si="0"/>
        <v>0</v>
      </c>
      <c r="AM49" s="269" t="b">
        <f t="shared" si="0"/>
        <v>0</v>
      </c>
      <c r="AN49" s="269" t="b">
        <f t="shared" si="0"/>
        <v>0</v>
      </c>
      <c r="AO49" s="269" t="b">
        <f t="shared" si="0"/>
        <v>0</v>
      </c>
      <c r="AP49" s="269" t="b">
        <f t="shared" si="0"/>
        <v>0</v>
      </c>
      <c r="AQ49" s="269" t="b">
        <f t="shared" si="0"/>
        <v>0</v>
      </c>
      <c r="AR49" s="269" t="b">
        <f t="shared" si="0"/>
        <v>0</v>
      </c>
      <c r="AS49" s="269" t="b">
        <f t="shared" si="0"/>
        <v>0</v>
      </c>
      <c r="AT49" s="269" t="b">
        <f t="shared" si="0"/>
        <v>0</v>
      </c>
      <c r="AU49" s="269" t="b">
        <f t="shared" si="0"/>
        <v>0</v>
      </c>
      <c r="AV49" s="269" t="b">
        <f t="shared" si="0"/>
        <v>0</v>
      </c>
      <c r="AW49" s="269" t="b">
        <f t="shared" si="0"/>
        <v>0</v>
      </c>
      <c r="AX49" s="269" t="b">
        <f t="shared" si="0"/>
        <v>0</v>
      </c>
      <c r="AY49" s="269" t="b">
        <f t="shared" si="0"/>
        <v>0</v>
      </c>
      <c r="AZ49" s="269" t="b">
        <f t="shared" si="0"/>
        <v>0</v>
      </c>
      <c r="BA49" s="269" t="b">
        <f t="shared" si="0"/>
        <v>0</v>
      </c>
      <c r="BB49" s="269" t="b">
        <f t="shared" si="0"/>
        <v>0</v>
      </c>
      <c r="BC49" s="269" t="b">
        <f t="shared" si="0"/>
        <v>0</v>
      </c>
      <c r="BD49" s="269" t="b">
        <f t="shared" si="0"/>
        <v>0</v>
      </c>
      <c r="BE49" s="269" t="b">
        <f t="shared" si="0"/>
        <v>0</v>
      </c>
      <c r="BF49" s="269" t="b">
        <f t="shared" si="0"/>
        <v>0</v>
      </c>
      <c r="BG49" s="269" t="b">
        <f t="shared" si="0"/>
        <v>0</v>
      </c>
      <c r="BH49" s="269" t="b">
        <f t="shared" si="0"/>
        <v>0</v>
      </c>
      <c r="BI49" s="269" t="b">
        <f t="shared" si="0"/>
        <v>0</v>
      </c>
      <c r="BJ49" s="269" t="b">
        <f t="shared" si="0"/>
        <v>0</v>
      </c>
      <c r="BK49" s="269" t="b">
        <f t="shared" si="0"/>
        <v>0</v>
      </c>
      <c r="BL49" s="269" t="b">
        <f t="shared" si="0"/>
        <v>0</v>
      </c>
      <c r="BM49" s="269" t="b">
        <f t="shared" si="0"/>
        <v>0</v>
      </c>
      <c r="BN49" s="269" t="b">
        <f t="shared" si="0"/>
        <v>0</v>
      </c>
      <c r="BO49" s="269" t="b">
        <f t="shared" si="0"/>
        <v>0</v>
      </c>
      <c r="BP49" s="269" t="b">
        <f t="shared" ref="BP49:CD49" si="1">IF($B$49,(ROUND((($B$49/$CE$62)*BP62),0)))</f>
        <v>0</v>
      </c>
      <c r="BQ49" s="269" t="b">
        <f t="shared" si="1"/>
        <v>0</v>
      </c>
      <c r="BR49" s="269" t="b">
        <f t="shared" si="1"/>
        <v>0</v>
      </c>
      <c r="BS49" s="269" t="b">
        <f t="shared" si="1"/>
        <v>0</v>
      </c>
      <c r="BT49" s="269" t="b">
        <f t="shared" si="1"/>
        <v>0</v>
      </c>
      <c r="BU49" s="269" t="b">
        <f t="shared" si="1"/>
        <v>0</v>
      </c>
      <c r="BV49" s="269" t="b">
        <f t="shared" si="1"/>
        <v>0</v>
      </c>
      <c r="BW49" s="269" t="b">
        <f t="shared" si="1"/>
        <v>0</v>
      </c>
      <c r="BX49" s="269" t="b">
        <f t="shared" si="1"/>
        <v>0</v>
      </c>
      <c r="BY49" s="269" t="b">
        <f t="shared" si="1"/>
        <v>0</v>
      </c>
      <c r="BZ49" s="269" t="b">
        <f t="shared" si="1"/>
        <v>0</v>
      </c>
      <c r="CA49" s="269" t="b">
        <f t="shared" si="1"/>
        <v>0</v>
      </c>
      <c r="CB49" s="269" t="b">
        <f t="shared" si="1"/>
        <v>0</v>
      </c>
      <c r="CC49" s="269" t="b">
        <f t="shared" si="1"/>
        <v>0</v>
      </c>
      <c r="CD49" s="269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69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204488.93</v>
      </c>
      <c r="D52" s="213">
        <v>0</v>
      </c>
      <c r="E52" s="213">
        <v>192763.76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354339.58999999997</v>
      </c>
      <c r="Q52" s="213">
        <v>0</v>
      </c>
      <c r="R52" s="213">
        <v>0</v>
      </c>
      <c r="S52" s="213">
        <v>0</v>
      </c>
      <c r="T52" s="213">
        <v>17365.28</v>
      </c>
      <c r="U52" s="213">
        <v>0</v>
      </c>
      <c r="V52" s="213">
        <v>0</v>
      </c>
      <c r="W52" s="213">
        <v>0</v>
      </c>
      <c r="X52" s="213">
        <v>1390.07</v>
      </c>
      <c r="Y52" s="213">
        <v>46556.34</v>
      </c>
      <c r="Z52" s="213">
        <v>0</v>
      </c>
      <c r="AA52" s="213">
        <v>0</v>
      </c>
      <c r="AB52" s="213">
        <v>0</v>
      </c>
      <c r="AC52" s="213">
        <v>48875.839999999997</v>
      </c>
      <c r="AD52" s="213">
        <v>0</v>
      </c>
      <c r="AE52" s="213">
        <v>3330.5700000000006</v>
      </c>
      <c r="AF52" s="213">
        <v>0</v>
      </c>
      <c r="AG52" s="213">
        <v>219610.98000000004</v>
      </c>
      <c r="AH52" s="213">
        <v>0</v>
      </c>
      <c r="AI52" s="213">
        <v>0</v>
      </c>
      <c r="AJ52" s="213">
        <v>1516796.09</v>
      </c>
      <c r="AK52" s="213">
        <v>18195.18</v>
      </c>
      <c r="AL52" s="213">
        <v>1993.5299999999997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427838.04000000004</v>
      </c>
      <c r="AW52" s="213">
        <v>0</v>
      </c>
      <c r="AX52" s="213">
        <v>0</v>
      </c>
      <c r="AY52" s="213">
        <v>0</v>
      </c>
      <c r="AZ52" s="213">
        <v>0</v>
      </c>
      <c r="BA52" s="213">
        <v>0</v>
      </c>
      <c r="BB52" s="213">
        <v>0</v>
      </c>
      <c r="BC52" s="213">
        <v>0</v>
      </c>
      <c r="BD52" s="213">
        <v>0</v>
      </c>
      <c r="BE52" s="213">
        <v>0</v>
      </c>
      <c r="BF52" s="213">
        <v>0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0</v>
      </c>
      <c r="BM52" s="213">
        <v>0</v>
      </c>
      <c r="BN52" s="213">
        <v>463694.52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0</v>
      </c>
      <c r="BZ52" s="213">
        <v>0</v>
      </c>
      <c r="CA52" s="213">
        <v>0</v>
      </c>
      <c r="CB52" s="213">
        <v>195.79</v>
      </c>
      <c r="CC52" s="213">
        <v>6076423.5099999998</v>
      </c>
      <c r="CD52" s="20"/>
      <c r="CE52" s="32">
        <f>SUM(C52:CD52)</f>
        <v>9593858.0199999996</v>
      </c>
    </row>
    <row r="53" spans="1:83" x14ac:dyDescent="0.35">
      <c r="A53" s="39" t="s">
        <v>220</v>
      </c>
      <c r="B53" s="270"/>
      <c r="C53" s="269" t="b">
        <f>IF($B$53,ROUND(($B$53/($CE$91+$CF$91)*C91),0))</f>
        <v>0</v>
      </c>
      <c r="D53" s="269" t="b">
        <f t="shared" ref="D53:BO53" si="2">IF($B$53,ROUND(($B$53/($CE$91+$CF$91)*D91),0))</f>
        <v>0</v>
      </c>
      <c r="E53" s="269" t="b">
        <f t="shared" si="2"/>
        <v>0</v>
      </c>
      <c r="F53" s="269" t="b">
        <f t="shared" si="2"/>
        <v>0</v>
      </c>
      <c r="G53" s="269" t="b">
        <f t="shared" si="2"/>
        <v>0</v>
      </c>
      <c r="H53" s="269" t="b">
        <f t="shared" si="2"/>
        <v>0</v>
      </c>
      <c r="I53" s="269" t="b">
        <f t="shared" si="2"/>
        <v>0</v>
      </c>
      <c r="J53" s="269" t="b">
        <f t="shared" si="2"/>
        <v>0</v>
      </c>
      <c r="K53" s="269" t="b">
        <f t="shared" si="2"/>
        <v>0</v>
      </c>
      <c r="L53" s="269" t="b">
        <f t="shared" si="2"/>
        <v>0</v>
      </c>
      <c r="M53" s="269" t="b">
        <f t="shared" si="2"/>
        <v>0</v>
      </c>
      <c r="N53" s="269" t="b">
        <f t="shared" si="2"/>
        <v>0</v>
      </c>
      <c r="O53" s="269" t="b">
        <f t="shared" si="2"/>
        <v>0</v>
      </c>
      <c r="P53" s="269" t="b">
        <f t="shared" si="2"/>
        <v>0</v>
      </c>
      <c r="Q53" s="269" t="b">
        <f t="shared" si="2"/>
        <v>0</v>
      </c>
      <c r="R53" s="269" t="b">
        <f t="shared" si="2"/>
        <v>0</v>
      </c>
      <c r="S53" s="269" t="b">
        <f t="shared" si="2"/>
        <v>0</v>
      </c>
      <c r="T53" s="269" t="b">
        <f t="shared" si="2"/>
        <v>0</v>
      </c>
      <c r="U53" s="269" t="b">
        <f t="shared" si="2"/>
        <v>0</v>
      </c>
      <c r="V53" s="269" t="b">
        <f t="shared" si="2"/>
        <v>0</v>
      </c>
      <c r="W53" s="269" t="b">
        <f t="shared" si="2"/>
        <v>0</v>
      </c>
      <c r="X53" s="269" t="b">
        <f t="shared" si="2"/>
        <v>0</v>
      </c>
      <c r="Y53" s="269" t="b">
        <f t="shared" si="2"/>
        <v>0</v>
      </c>
      <c r="Z53" s="269" t="b">
        <f t="shared" si="2"/>
        <v>0</v>
      </c>
      <c r="AA53" s="269" t="b">
        <f t="shared" si="2"/>
        <v>0</v>
      </c>
      <c r="AB53" s="269" t="b">
        <f t="shared" si="2"/>
        <v>0</v>
      </c>
      <c r="AC53" s="269" t="b">
        <f t="shared" si="2"/>
        <v>0</v>
      </c>
      <c r="AD53" s="269" t="b">
        <f t="shared" si="2"/>
        <v>0</v>
      </c>
      <c r="AE53" s="269" t="b">
        <f t="shared" si="2"/>
        <v>0</v>
      </c>
      <c r="AF53" s="269" t="b">
        <f t="shared" si="2"/>
        <v>0</v>
      </c>
      <c r="AG53" s="269" t="b">
        <f t="shared" si="2"/>
        <v>0</v>
      </c>
      <c r="AH53" s="269" t="b">
        <f t="shared" si="2"/>
        <v>0</v>
      </c>
      <c r="AI53" s="269" t="b">
        <f t="shared" si="2"/>
        <v>0</v>
      </c>
      <c r="AJ53" s="269" t="b">
        <f t="shared" si="2"/>
        <v>0</v>
      </c>
      <c r="AK53" s="269" t="b">
        <f t="shared" si="2"/>
        <v>0</v>
      </c>
      <c r="AL53" s="269" t="b">
        <f t="shared" si="2"/>
        <v>0</v>
      </c>
      <c r="AM53" s="269" t="b">
        <f t="shared" si="2"/>
        <v>0</v>
      </c>
      <c r="AN53" s="269" t="b">
        <f t="shared" si="2"/>
        <v>0</v>
      </c>
      <c r="AO53" s="269" t="b">
        <f t="shared" si="2"/>
        <v>0</v>
      </c>
      <c r="AP53" s="269" t="b">
        <f t="shared" si="2"/>
        <v>0</v>
      </c>
      <c r="AQ53" s="269" t="b">
        <f t="shared" si="2"/>
        <v>0</v>
      </c>
      <c r="AR53" s="269" t="b">
        <f t="shared" si="2"/>
        <v>0</v>
      </c>
      <c r="AS53" s="269" t="b">
        <f t="shared" si="2"/>
        <v>0</v>
      </c>
      <c r="AT53" s="269" t="b">
        <f t="shared" si="2"/>
        <v>0</v>
      </c>
      <c r="AU53" s="269" t="b">
        <f t="shared" si="2"/>
        <v>0</v>
      </c>
      <c r="AV53" s="269" t="b">
        <f t="shared" si="2"/>
        <v>0</v>
      </c>
      <c r="AW53" s="269" t="b">
        <f t="shared" si="2"/>
        <v>0</v>
      </c>
      <c r="AX53" s="269" t="b">
        <f t="shared" si="2"/>
        <v>0</v>
      </c>
      <c r="AY53" s="269" t="b">
        <f t="shared" si="2"/>
        <v>0</v>
      </c>
      <c r="AZ53" s="269" t="b">
        <f t="shared" si="2"/>
        <v>0</v>
      </c>
      <c r="BA53" s="269" t="b">
        <f t="shared" si="2"/>
        <v>0</v>
      </c>
      <c r="BB53" s="269" t="b">
        <f t="shared" si="2"/>
        <v>0</v>
      </c>
      <c r="BC53" s="269" t="b">
        <f t="shared" si="2"/>
        <v>0</v>
      </c>
      <c r="BD53" s="269" t="b">
        <f t="shared" si="2"/>
        <v>0</v>
      </c>
      <c r="BE53" s="269" t="b">
        <f t="shared" si="2"/>
        <v>0</v>
      </c>
      <c r="BF53" s="269" t="b">
        <f t="shared" si="2"/>
        <v>0</v>
      </c>
      <c r="BG53" s="269" t="b">
        <f t="shared" si="2"/>
        <v>0</v>
      </c>
      <c r="BH53" s="269" t="b">
        <f t="shared" si="2"/>
        <v>0</v>
      </c>
      <c r="BI53" s="269" t="b">
        <f t="shared" si="2"/>
        <v>0</v>
      </c>
      <c r="BJ53" s="269" t="b">
        <f t="shared" si="2"/>
        <v>0</v>
      </c>
      <c r="BK53" s="269" t="b">
        <f t="shared" si="2"/>
        <v>0</v>
      </c>
      <c r="BL53" s="269" t="b">
        <f t="shared" si="2"/>
        <v>0</v>
      </c>
      <c r="BM53" s="269" t="b">
        <f t="shared" si="2"/>
        <v>0</v>
      </c>
      <c r="BN53" s="269" t="b">
        <f t="shared" si="2"/>
        <v>0</v>
      </c>
      <c r="BO53" s="269" t="b">
        <f t="shared" si="2"/>
        <v>0</v>
      </c>
      <c r="BP53" s="269" t="b">
        <f t="shared" ref="BP53:CD53" si="3">IF($B$53,ROUND(($B$53/($CE$91+$CF$91)*BP91),0))</f>
        <v>0</v>
      </c>
      <c r="BQ53" s="269" t="b">
        <f t="shared" si="3"/>
        <v>0</v>
      </c>
      <c r="BR53" s="269" t="b">
        <f t="shared" si="3"/>
        <v>0</v>
      </c>
      <c r="BS53" s="269" t="b">
        <f t="shared" si="3"/>
        <v>0</v>
      </c>
      <c r="BT53" s="269" t="b">
        <f t="shared" si="3"/>
        <v>0</v>
      </c>
      <c r="BU53" s="269" t="b">
        <f t="shared" si="3"/>
        <v>0</v>
      </c>
      <c r="BV53" s="269" t="b">
        <f t="shared" si="3"/>
        <v>0</v>
      </c>
      <c r="BW53" s="269" t="b">
        <f t="shared" si="3"/>
        <v>0</v>
      </c>
      <c r="BX53" s="269" t="b">
        <f t="shared" si="3"/>
        <v>0</v>
      </c>
      <c r="BY53" s="269" t="b">
        <f t="shared" si="3"/>
        <v>0</v>
      </c>
      <c r="BZ53" s="269" t="b">
        <f t="shared" si="3"/>
        <v>0</v>
      </c>
      <c r="CA53" s="269" t="b">
        <f t="shared" si="3"/>
        <v>0</v>
      </c>
      <c r="CB53" s="269" t="b">
        <f t="shared" si="3"/>
        <v>0</v>
      </c>
      <c r="CC53" s="269" t="b">
        <f t="shared" si="3"/>
        <v>0</v>
      </c>
      <c r="CD53" s="269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69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2539</v>
      </c>
      <c r="D60" s="213">
        <v>10256</v>
      </c>
      <c r="E60" s="213">
        <v>0</v>
      </c>
      <c r="F60" s="213">
        <v>0</v>
      </c>
      <c r="G60" s="213">
        <v>0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1271945</v>
      </c>
      <c r="Q60" s="214">
        <v>0</v>
      </c>
      <c r="R60" s="214">
        <v>0</v>
      </c>
      <c r="S60" s="262"/>
      <c r="T60" s="262"/>
      <c r="U60" s="227">
        <v>0</v>
      </c>
      <c r="V60" s="214">
        <v>0</v>
      </c>
      <c r="W60" s="214">
        <v>24607.06</v>
      </c>
      <c r="X60" s="214">
        <v>13810.02</v>
      </c>
      <c r="Y60" s="214">
        <v>45577.600000000006</v>
      </c>
      <c r="Z60" s="214">
        <v>0</v>
      </c>
      <c r="AA60" s="214">
        <v>1834.66</v>
      </c>
      <c r="AB60" s="262"/>
      <c r="AC60" s="214">
        <v>15505.74</v>
      </c>
      <c r="AD60" s="214">
        <v>0</v>
      </c>
      <c r="AE60" s="214">
        <v>57136</v>
      </c>
      <c r="AF60" s="214">
        <v>0</v>
      </c>
      <c r="AG60" s="214">
        <v>96362.99</v>
      </c>
      <c r="AH60" s="214">
        <v>0</v>
      </c>
      <c r="AI60" s="214">
        <v>0</v>
      </c>
      <c r="AJ60" s="214">
        <v>54232.42</v>
      </c>
      <c r="AK60" s="214">
        <v>60775</v>
      </c>
      <c r="AL60" s="214">
        <v>58415</v>
      </c>
      <c r="AM60" s="214">
        <v>0</v>
      </c>
      <c r="AN60" s="214">
        <v>0</v>
      </c>
      <c r="AO60" s="214">
        <v>0</v>
      </c>
      <c r="AP60" s="214">
        <v>0</v>
      </c>
      <c r="AQ60" s="214">
        <v>0</v>
      </c>
      <c r="AR60" s="214">
        <v>0</v>
      </c>
      <c r="AS60" s="214">
        <v>0</v>
      </c>
      <c r="AT60" s="214">
        <v>0</v>
      </c>
      <c r="AU60" s="214">
        <v>0</v>
      </c>
      <c r="AV60" s="262"/>
      <c r="AW60" s="262"/>
      <c r="AX60" s="262"/>
      <c r="AY60" s="214">
        <v>45034</v>
      </c>
      <c r="AZ60" s="214">
        <v>0</v>
      </c>
      <c r="BA60" s="262"/>
      <c r="BB60" s="262"/>
      <c r="BC60" s="262"/>
      <c r="BD60" s="262"/>
      <c r="BE60" s="214">
        <v>181220.55499999999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>
        <v>38.78719657002916</v>
      </c>
      <c r="D61" s="242">
        <v>0</v>
      </c>
      <c r="E61" s="242">
        <v>90.526267795818313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243">
        <v>47.258174651060529</v>
      </c>
      <c r="Q61" s="243">
        <v>0</v>
      </c>
      <c r="R61" s="243">
        <v>0</v>
      </c>
      <c r="S61" s="244">
        <v>0</v>
      </c>
      <c r="T61" s="244">
        <v>24.60922876375216</v>
      </c>
      <c r="U61" s="245">
        <v>0</v>
      </c>
      <c r="V61" s="243">
        <v>0</v>
      </c>
      <c r="W61" s="243">
        <v>0</v>
      </c>
      <c r="X61" s="243">
        <v>0</v>
      </c>
      <c r="Y61" s="243">
        <v>2.21508767092944</v>
      </c>
      <c r="Z61" s="243">
        <v>0</v>
      </c>
      <c r="AA61" s="243">
        <v>0</v>
      </c>
      <c r="AB61" s="244">
        <v>30.418543146518008</v>
      </c>
      <c r="AC61" s="243">
        <v>14.74732191578804</v>
      </c>
      <c r="AD61" s="243">
        <v>0</v>
      </c>
      <c r="AE61" s="243">
        <v>21.339202736802854</v>
      </c>
      <c r="AF61" s="243">
        <v>0</v>
      </c>
      <c r="AG61" s="243">
        <v>79.602657523342103</v>
      </c>
      <c r="AH61" s="243">
        <v>0</v>
      </c>
      <c r="AI61" s="243">
        <v>0</v>
      </c>
      <c r="AJ61" s="243">
        <v>175.91501983891578</v>
      </c>
      <c r="AK61" s="243">
        <v>33.134945885871929</v>
      </c>
      <c r="AL61" s="243">
        <v>19.542355476775025</v>
      </c>
      <c r="AM61" s="243">
        <v>0</v>
      </c>
      <c r="AN61" s="243">
        <v>0</v>
      </c>
      <c r="AO61" s="243">
        <v>0</v>
      </c>
      <c r="AP61" s="243">
        <v>0</v>
      </c>
      <c r="AQ61" s="243">
        <v>0</v>
      </c>
      <c r="AR61" s="243">
        <v>0</v>
      </c>
      <c r="AS61" s="243">
        <v>0</v>
      </c>
      <c r="AT61" s="243">
        <v>0</v>
      </c>
      <c r="AU61" s="243">
        <v>0</v>
      </c>
      <c r="AV61" s="244">
        <v>175.07832805820848</v>
      </c>
      <c r="AW61" s="244">
        <v>6.9904397250698027</v>
      </c>
      <c r="AX61" s="244">
        <v>0</v>
      </c>
      <c r="AY61" s="243">
        <v>1.4502321915821601</v>
      </c>
      <c r="AZ61" s="243">
        <v>0</v>
      </c>
      <c r="BA61" s="244">
        <v>0</v>
      </c>
      <c r="BB61" s="244">
        <v>14.694026025384384</v>
      </c>
      <c r="BC61" s="244">
        <v>0</v>
      </c>
      <c r="BD61" s="244">
        <v>0</v>
      </c>
      <c r="BE61" s="243">
        <v>0</v>
      </c>
      <c r="BF61" s="244">
        <v>0</v>
      </c>
      <c r="BG61" s="244">
        <v>0</v>
      </c>
      <c r="BH61" s="244">
        <v>0</v>
      </c>
      <c r="BI61" s="244">
        <v>0</v>
      </c>
      <c r="BJ61" s="244">
        <v>0</v>
      </c>
      <c r="BK61" s="244">
        <v>0</v>
      </c>
      <c r="BL61" s="244">
        <v>26.912832873025643</v>
      </c>
      <c r="BM61" s="244">
        <v>0</v>
      </c>
      <c r="BN61" s="244">
        <v>14.913399313025563</v>
      </c>
      <c r="BO61" s="244">
        <v>0</v>
      </c>
      <c r="BP61" s="244">
        <v>0</v>
      </c>
      <c r="BQ61" s="244">
        <v>0</v>
      </c>
      <c r="BR61" s="244">
        <v>0</v>
      </c>
      <c r="BS61" s="244">
        <v>0</v>
      </c>
      <c r="BT61" s="244">
        <v>0</v>
      </c>
      <c r="BU61" s="244">
        <v>0</v>
      </c>
      <c r="BV61" s="244">
        <v>0</v>
      </c>
      <c r="BW61" s="244">
        <v>0</v>
      </c>
      <c r="BX61" s="244">
        <v>4.0740335610857494</v>
      </c>
      <c r="BY61" s="244">
        <v>5.0372335609538039</v>
      </c>
      <c r="BZ61" s="244">
        <v>23.899749996726069</v>
      </c>
      <c r="CA61" s="244">
        <v>0</v>
      </c>
      <c r="CB61" s="244">
        <v>2.0431226024598468</v>
      </c>
      <c r="CC61" s="244">
        <v>49.423303417887212</v>
      </c>
      <c r="CD61" s="246" t="s">
        <v>233</v>
      </c>
      <c r="CE61" s="267">
        <f t="shared" ref="CE61:CE69" si="4">SUM(C61:CD61)</f>
        <v>902.61270330101229</v>
      </c>
    </row>
    <row r="62" spans="1:83" x14ac:dyDescent="0.35">
      <c r="A62" s="39" t="s">
        <v>248</v>
      </c>
      <c r="B62" s="20"/>
      <c r="C62" s="213">
        <v>4572601.1399999997</v>
      </c>
      <c r="D62" s="213">
        <v>0</v>
      </c>
      <c r="E62" s="213">
        <v>9105309.6600000001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9374698.1500000004</v>
      </c>
      <c r="Q62" s="214">
        <v>0</v>
      </c>
      <c r="R62" s="214">
        <v>0</v>
      </c>
      <c r="S62" s="228">
        <v>0</v>
      </c>
      <c r="T62" s="228">
        <v>2700915.74</v>
      </c>
      <c r="U62" s="227">
        <v>0</v>
      </c>
      <c r="V62" s="214">
        <v>0</v>
      </c>
      <c r="W62" s="214">
        <v>0</v>
      </c>
      <c r="X62" s="214">
        <v>0</v>
      </c>
      <c r="Y62" s="214">
        <v>220743.66999999998</v>
      </c>
      <c r="Z62" s="214">
        <v>0</v>
      </c>
      <c r="AA62" s="214">
        <v>0</v>
      </c>
      <c r="AB62" s="239">
        <v>3528270.2800000003</v>
      </c>
      <c r="AC62" s="214">
        <v>1817849.23</v>
      </c>
      <c r="AD62" s="214">
        <v>0</v>
      </c>
      <c r="AE62" s="214">
        <v>2106626.37</v>
      </c>
      <c r="AF62" s="214">
        <v>0</v>
      </c>
      <c r="AG62" s="214">
        <v>12897665.460000001</v>
      </c>
      <c r="AH62" s="214">
        <v>0</v>
      </c>
      <c r="AI62" s="214">
        <v>0</v>
      </c>
      <c r="AJ62" s="214">
        <v>28307235.719999999</v>
      </c>
      <c r="AK62" s="214">
        <v>3833856.4099999997</v>
      </c>
      <c r="AL62" s="214">
        <v>1928222.2400000002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28998049.27</v>
      </c>
      <c r="AW62" s="228">
        <v>520739.22999999992</v>
      </c>
      <c r="AX62" s="228">
        <v>0</v>
      </c>
      <c r="AY62" s="214">
        <v>56204.139999999992</v>
      </c>
      <c r="AZ62" s="214">
        <v>0</v>
      </c>
      <c r="BA62" s="228">
        <v>0</v>
      </c>
      <c r="BB62" s="228">
        <v>1446797.5399999998</v>
      </c>
      <c r="BC62" s="228">
        <v>0</v>
      </c>
      <c r="BD62" s="228">
        <v>0</v>
      </c>
      <c r="BE62" s="214">
        <v>0</v>
      </c>
      <c r="BF62" s="228">
        <v>0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1400739.46</v>
      </c>
      <c r="BM62" s="228">
        <v>0</v>
      </c>
      <c r="BN62" s="228">
        <v>2888485.48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0</v>
      </c>
      <c r="BW62" s="228">
        <v>0</v>
      </c>
      <c r="BX62" s="228">
        <v>503036.05</v>
      </c>
      <c r="BY62" s="228">
        <v>827868.18999999983</v>
      </c>
      <c r="BZ62" s="228">
        <v>1843530.21</v>
      </c>
      <c r="CA62" s="228">
        <v>0</v>
      </c>
      <c r="CB62" s="228">
        <v>171354.31000000003</v>
      </c>
      <c r="CC62" s="228">
        <v>3974687.76</v>
      </c>
      <c r="CD62" s="29" t="s">
        <v>233</v>
      </c>
      <c r="CE62" s="32">
        <f t="shared" si="4"/>
        <v>123025485.71000001</v>
      </c>
    </row>
    <row r="63" spans="1:83" x14ac:dyDescent="0.35">
      <c r="A63" s="39" t="s">
        <v>9</v>
      </c>
      <c r="B63" s="20"/>
      <c r="C63" s="268">
        <f>ROUND(C48+C49,0)</f>
        <v>911513</v>
      </c>
      <c r="D63" s="268">
        <f t="shared" ref="D63:BO63" si="5">ROUND(D48+D49,0)</f>
        <v>0</v>
      </c>
      <c r="E63" s="268">
        <f t="shared" si="5"/>
        <v>2189119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1388894</v>
      </c>
      <c r="Q63" s="268">
        <f t="shared" si="5"/>
        <v>0</v>
      </c>
      <c r="R63" s="268">
        <f t="shared" si="5"/>
        <v>0</v>
      </c>
      <c r="S63" s="268">
        <f t="shared" si="5"/>
        <v>0</v>
      </c>
      <c r="T63" s="268">
        <f t="shared" si="5"/>
        <v>638628</v>
      </c>
      <c r="U63" s="268">
        <f t="shared" si="5"/>
        <v>0</v>
      </c>
      <c r="V63" s="268">
        <f t="shared" si="5"/>
        <v>0</v>
      </c>
      <c r="W63" s="268">
        <f t="shared" si="5"/>
        <v>0</v>
      </c>
      <c r="X63" s="268">
        <f t="shared" si="5"/>
        <v>0</v>
      </c>
      <c r="Y63" s="268">
        <f t="shared" si="5"/>
        <v>55628</v>
      </c>
      <c r="Z63" s="268">
        <f t="shared" si="5"/>
        <v>0</v>
      </c>
      <c r="AA63" s="268">
        <f t="shared" si="5"/>
        <v>0</v>
      </c>
      <c r="AB63" s="268">
        <f t="shared" si="5"/>
        <v>787561</v>
      </c>
      <c r="AC63" s="268">
        <f t="shared" si="5"/>
        <v>356928</v>
      </c>
      <c r="AD63" s="268">
        <f t="shared" si="5"/>
        <v>0</v>
      </c>
      <c r="AE63" s="268">
        <f t="shared" si="5"/>
        <v>532680</v>
      </c>
      <c r="AF63" s="268">
        <f t="shared" si="5"/>
        <v>0</v>
      </c>
      <c r="AG63" s="268">
        <f t="shared" si="5"/>
        <v>2194003</v>
      </c>
      <c r="AH63" s="268">
        <f t="shared" si="5"/>
        <v>0</v>
      </c>
      <c r="AI63" s="268">
        <f t="shared" si="5"/>
        <v>0</v>
      </c>
      <c r="AJ63" s="268">
        <f t="shared" si="5"/>
        <v>4945027</v>
      </c>
      <c r="AK63" s="268">
        <f t="shared" si="5"/>
        <v>883157</v>
      </c>
      <c r="AL63" s="268">
        <f t="shared" si="5"/>
        <v>482594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5341284</v>
      </c>
      <c r="AW63" s="268">
        <f t="shared" si="5"/>
        <v>155022</v>
      </c>
      <c r="AX63" s="268">
        <f t="shared" si="5"/>
        <v>0</v>
      </c>
      <c r="AY63" s="268">
        <f t="shared" si="5"/>
        <v>29597</v>
      </c>
      <c r="AZ63" s="268">
        <f t="shared" si="5"/>
        <v>0</v>
      </c>
      <c r="BA63" s="268">
        <f t="shared" si="5"/>
        <v>0</v>
      </c>
      <c r="BB63" s="268">
        <f t="shared" si="5"/>
        <v>364617</v>
      </c>
      <c r="BC63" s="268">
        <f t="shared" si="5"/>
        <v>0</v>
      </c>
      <c r="BD63" s="268">
        <f t="shared" si="5"/>
        <v>0</v>
      </c>
      <c r="BE63" s="268">
        <f t="shared" si="5"/>
        <v>0</v>
      </c>
      <c r="BF63" s="268">
        <f t="shared" si="5"/>
        <v>0</v>
      </c>
      <c r="BG63" s="268">
        <f t="shared" si="5"/>
        <v>0</v>
      </c>
      <c r="BH63" s="268">
        <f t="shared" si="5"/>
        <v>0</v>
      </c>
      <c r="BI63" s="268">
        <f t="shared" si="5"/>
        <v>0</v>
      </c>
      <c r="BJ63" s="268">
        <f t="shared" si="5"/>
        <v>0</v>
      </c>
      <c r="BK63" s="268">
        <f t="shared" si="5"/>
        <v>0</v>
      </c>
      <c r="BL63" s="268">
        <f t="shared" si="5"/>
        <v>554462</v>
      </c>
      <c r="BM63" s="268">
        <f t="shared" si="5"/>
        <v>0</v>
      </c>
      <c r="BN63" s="268">
        <f t="shared" si="5"/>
        <v>372477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0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0</v>
      </c>
      <c r="BW63" s="268">
        <f t="shared" si="6"/>
        <v>0</v>
      </c>
      <c r="BX63" s="268">
        <f t="shared" si="6"/>
        <v>108483</v>
      </c>
      <c r="BY63" s="268">
        <f t="shared" si="6"/>
        <v>150106</v>
      </c>
      <c r="BZ63" s="268">
        <f t="shared" si="6"/>
        <v>509926</v>
      </c>
      <c r="CA63" s="268">
        <f t="shared" si="6"/>
        <v>0</v>
      </c>
      <c r="CB63" s="268">
        <f t="shared" si="6"/>
        <v>48923</v>
      </c>
      <c r="CC63" s="268">
        <f t="shared" si="6"/>
        <v>1179303</v>
      </c>
      <c r="CD63" s="29" t="s">
        <v>233</v>
      </c>
      <c r="CE63" s="32">
        <f t="shared" si="4"/>
        <v>24179932</v>
      </c>
    </row>
    <row r="64" spans="1:83" x14ac:dyDescent="0.35">
      <c r="A64" s="39" t="s">
        <v>249</v>
      </c>
      <c r="B64" s="20"/>
      <c r="C64" s="213">
        <v>989915</v>
      </c>
      <c r="D64" s="213">
        <v>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1148874.1500000001</v>
      </c>
      <c r="Q64" s="214">
        <v>0</v>
      </c>
      <c r="R64" s="214">
        <v>0</v>
      </c>
      <c r="S64" s="228">
        <v>0</v>
      </c>
      <c r="T64" s="228">
        <v>0</v>
      </c>
      <c r="U64" s="227">
        <v>0</v>
      </c>
      <c r="V64" s="214">
        <v>5430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39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25404.28</v>
      </c>
      <c r="AH64" s="214">
        <v>0</v>
      </c>
      <c r="AI64" s="214">
        <v>0</v>
      </c>
      <c r="AJ64" s="214">
        <v>590841.73999999987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627813.74999999988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352207.01999999996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180295.23</v>
      </c>
      <c r="CD64" s="29" t="s">
        <v>233</v>
      </c>
      <c r="CE64" s="32">
        <f t="shared" si="4"/>
        <v>3920781.17</v>
      </c>
    </row>
    <row r="65" spans="1:83" x14ac:dyDescent="0.35">
      <c r="A65" s="39" t="s">
        <v>250</v>
      </c>
      <c r="B65" s="20"/>
      <c r="C65" s="213">
        <v>306640.86000000004</v>
      </c>
      <c r="D65" s="213">
        <v>0</v>
      </c>
      <c r="E65" s="213">
        <v>639798.67000000004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385293.82</v>
      </c>
      <c r="Q65" s="214">
        <v>0</v>
      </c>
      <c r="R65" s="214">
        <v>0</v>
      </c>
      <c r="S65" s="228">
        <v>0</v>
      </c>
      <c r="T65" s="228">
        <v>2874643.76</v>
      </c>
      <c r="U65" s="227">
        <v>0</v>
      </c>
      <c r="V65" s="214">
        <v>0</v>
      </c>
      <c r="W65" s="214">
        <v>0</v>
      </c>
      <c r="X65" s="214">
        <v>0</v>
      </c>
      <c r="Y65" s="214">
        <v>2378.5100000000002</v>
      </c>
      <c r="Z65" s="214">
        <v>0</v>
      </c>
      <c r="AA65" s="214">
        <v>0</v>
      </c>
      <c r="AB65" s="239">
        <v>12935909.170000002</v>
      </c>
      <c r="AC65" s="214">
        <v>288183.38999999996</v>
      </c>
      <c r="AD65" s="214">
        <v>0</v>
      </c>
      <c r="AE65" s="214">
        <v>12415.31</v>
      </c>
      <c r="AF65" s="214">
        <v>0</v>
      </c>
      <c r="AG65" s="214">
        <v>746775</v>
      </c>
      <c r="AH65" s="214">
        <v>0</v>
      </c>
      <c r="AI65" s="214">
        <v>0</v>
      </c>
      <c r="AJ65" s="214">
        <v>1181426.93</v>
      </c>
      <c r="AK65" s="214">
        <v>17584.77</v>
      </c>
      <c r="AL65" s="214">
        <v>-14298.530000000021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1601974.05</v>
      </c>
      <c r="AW65" s="228">
        <v>0</v>
      </c>
      <c r="AX65" s="228">
        <v>0</v>
      </c>
      <c r="AY65" s="214">
        <v>90657.04</v>
      </c>
      <c r="AZ65" s="214">
        <v>0</v>
      </c>
      <c r="BA65" s="228">
        <v>0</v>
      </c>
      <c r="BB65" s="228">
        <v>8580.489999999998</v>
      </c>
      <c r="BC65" s="228">
        <v>0</v>
      </c>
      <c r="BD65" s="228">
        <v>0</v>
      </c>
      <c r="BE65" s="214">
        <v>0</v>
      </c>
      <c r="BF65" s="228">
        <v>0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56414.63</v>
      </c>
      <c r="BM65" s="228">
        <v>0</v>
      </c>
      <c r="BN65" s="228">
        <v>58525.34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0</v>
      </c>
      <c r="BW65" s="228">
        <v>0</v>
      </c>
      <c r="BX65" s="228">
        <v>1498.24</v>
      </c>
      <c r="BY65" s="228">
        <v>339.93</v>
      </c>
      <c r="BZ65" s="228">
        <v>0</v>
      </c>
      <c r="CA65" s="228">
        <v>0</v>
      </c>
      <c r="CB65" s="228">
        <v>5608.56</v>
      </c>
      <c r="CC65" s="228">
        <v>157200.35</v>
      </c>
      <c r="CD65" s="29" t="s">
        <v>233</v>
      </c>
      <c r="CE65" s="32">
        <f t="shared" si="4"/>
        <v>21357550.289999992</v>
      </c>
    </row>
    <row r="66" spans="1:83" x14ac:dyDescent="0.35">
      <c r="A66" s="39" t="s">
        <v>251</v>
      </c>
      <c r="B66" s="20"/>
      <c r="C66" s="213">
        <v>61659.630000000005</v>
      </c>
      <c r="D66" s="213">
        <v>0</v>
      </c>
      <c r="E66" s="213">
        <v>135533.09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101170.5</v>
      </c>
      <c r="Q66" s="214">
        <v>0</v>
      </c>
      <c r="R66" s="214">
        <v>0</v>
      </c>
      <c r="S66" s="228">
        <v>0</v>
      </c>
      <c r="T66" s="228">
        <v>31977.21</v>
      </c>
      <c r="U66" s="227">
        <v>0</v>
      </c>
      <c r="V66" s="214">
        <v>0</v>
      </c>
      <c r="W66" s="214">
        <v>0</v>
      </c>
      <c r="X66" s="214">
        <v>38.24</v>
      </c>
      <c r="Y66" s="214">
        <v>5392.39</v>
      </c>
      <c r="Z66" s="214">
        <v>0</v>
      </c>
      <c r="AA66" s="214">
        <v>0</v>
      </c>
      <c r="AB66" s="239">
        <v>14854.71</v>
      </c>
      <c r="AC66" s="214">
        <v>3012.1</v>
      </c>
      <c r="AD66" s="214">
        <v>0</v>
      </c>
      <c r="AE66" s="214">
        <v>54482.69</v>
      </c>
      <c r="AF66" s="214">
        <v>0</v>
      </c>
      <c r="AG66" s="214">
        <v>68322.109999999986</v>
      </c>
      <c r="AH66" s="214">
        <v>0</v>
      </c>
      <c r="AI66" s="214">
        <v>0</v>
      </c>
      <c r="AJ66" s="214">
        <v>255651.77</v>
      </c>
      <c r="AK66" s="214">
        <v>63577.549999999988</v>
      </c>
      <c r="AL66" s="214">
        <v>31482.18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134715.72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6352.36</v>
      </c>
      <c r="BC66" s="228">
        <v>0</v>
      </c>
      <c r="BD66" s="228">
        <v>0</v>
      </c>
      <c r="BE66" s="214">
        <v>0</v>
      </c>
      <c r="BF66" s="228">
        <v>0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42671.41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0</v>
      </c>
      <c r="BW66" s="228">
        <v>0</v>
      </c>
      <c r="BX66" s="228">
        <v>1509.8000000000002</v>
      </c>
      <c r="BY66" s="228">
        <v>1107.33</v>
      </c>
      <c r="BZ66" s="228">
        <v>470.96</v>
      </c>
      <c r="CA66" s="228">
        <v>0</v>
      </c>
      <c r="CB66" s="228">
        <v>2470.4699999999998</v>
      </c>
      <c r="CC66" s="228">
        <v>36863.58</v>
      </c>
      <c r="CD66" s="29" t="s">
        <v>233</v>
      </c>
      <c r="CE66" s="32">
        <f t="shared" si="4"/>
        <v>1053315.8</v>
      </c>
    </row>
    <row r="67" spans="1:83" x14ac:dyDescent="0.35">
      <c r="A67" s="39" t="s">
        <v>252</v>
      </c>
      <c r="B67" s="20"/>
      <c r="C67" s="213">
        <v>54904.93</v>
      </c>
      <c r="D67" s="213">
        <v>0</v>
      </c>
      <c r="E67" s="213">
        <v>144873.01999999999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2124329.48</v>
      </c>
      <c r="Q67" s="214">
        <v>0</v>
      </c>
      <c r="R67" s="214">
        <v>0</v>
      </c>
      <c r="S67" s="228">
        <v>0</v>
      </c>
      <c r="T67" s="228">
        <v>147192.69</v>
      </c>
      <c r="U67" s="227">
        <v>0</v>
      </c>
      <c r="V67" s="214">
        <v>0</v>
      </c>
      <c r="W67" s="214">
        <v>0</v>
      </c>
      <c r="X67" s="214">
        <v>0</v>
      </c>
      <c r="Y67" s="214">
        <v>0</v>
      </c>
      <c r="Z67" s="214">
        <v>0</v>
      </c>
      <c r="AA67" s="214">
        <v>0</v>
      </c>
      <c r="AB67" s="239">
        <v>122593.99</v>
      </c>
      <c r="AC67" s="214">
        <v>15165.35</v>
      </c>
      <c r="AD67" s="214">
        <v>0</v>
      </c>
      <c r="AE67" s="214">
        <v>1505.34</v>
      </c>
      <c r="AF67" s="214">
        <v>0</v>
      </c>
      <c r="AG67" s="214">
        <v>279940.46000000002</v>
      </c>
      <c r="AH67" s="214">
        <v>0</v>
      </c>
      <c r="AI67" s="214">
        <v>0</v>
      </c>
      <c r="AJ67" s="214">
        <v>17584168.170000002</v>
      </c>
      <c r="AK67" s="214">
        <v>27818.59</v>
      </c>
      <c r="AL67" s="214">
        <v>10342.25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14179742.039999999</v>
      </c>
      <c r="AW67" s="228">
        <v>0</v>
      </c>
      <c r="AX67" s="228">
        <v>0</v>
      </c>
      <c r="AY67" s="214">
        <v>1275.07</v>
      </c>
      <c r="AZ67" s="214">
        <v>0</v>
      </c>
      <c r="BA67" s="228">
        <v>0</v>
      </c>
      <c r="BB67" s="228">
        <v>2039.29</v>
      </c>
      <c r="BC67" s="228">
        <v>0</v>
      </c>
      <c r="BD67" s="228">
        <v>0</v>
      </c>
      <c r="BE67" s="214">
        <v>0</v>
      </c>
      <c r="BF67" s="228">
        <v>0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67.92</v>
      </c>
      <c r="BM67" s="228">
        <v>0</v>
      </c>
      <c r="BN67" s="228">
        <v>459355.56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0</v>
      </c>
      <c r="BW67" s="228">
        <v>0</v>
      </c>
      <c r="BX67" s="228">
        <v>120.79</v>
      </c>
      <c r="BY67" s="228">
        <v>0</v>
      </c>
      <c r="BZ67" s="228">
        <v>241.58</v>
      </c>
      <c r="CA67" s="228">
        <v>0</v>
      </c>
      <c r="CB67" s="228">
        <v>-2718</v>
      </c>
      <c r="CC67" s="228">
        <v>92796485.730000004</v>
      </c>
      <c r="CD67" s="29" t="s">
        <v>233</v>
      </c>
      <c r="CE67" s="32">
        <f t="shared" si="4"/>
        <v>127949444.25</v>
      </c>
    </row>
    <row r="68" spans="1:83" x14ac:dyDescent="0.35">
      <c r="A68" s="39" t="s">
        <v>11</v>
      </c>
      <c r="B68" s="20"/>
      <c r="C68" s="32">
        <f t="shared" ref="C68:BN68" si="7">ROUND(C52+C53,0)</f>
        <v>204489</v>
      </c>
      <c r="D68" s="32">
        <f t="shared" si="7"/>
        <v>0</v>
      </c>
      <c r="E68" s="32">
        <f t="shared" si="7"/>
        <v>192764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354340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17365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1390</v>
      </c>
      <c r="Y68" s="32">
        <f t="shared" si="7"/>
        <v>46556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48876</v>
      </c>
      <c r="AD68" s="32">
        <f t="shared" si="7"/>
        <v>0</v>
      </c>
      <c r="AE68" s="32">
        <f t="shared" si="7"/>
        <v>3331</v>
      </c>
      <c r="AF68" s="32">
        <f t="shared" si="7"/>
        <v>0</v>
      </c>
      <c r="AG68" s="32">
        <f t="shared" si="7"/>
        <v>219611</v>
      </c>
      <c r="AH68" s="32">
        <f t="shared" si="7"/>
        <v>0</v>
      </c>
      <c r="AI68" s="32">
        <f t="shared" si="7"/>
        <v>0</v>
      </c>
      <c r="AJ68" s="32">
        <f t="shared" si="7"/>
        <v>1516796</v>
      </c>
      <c r="AK68" s="32">
        <f t="shared" si="7"/>
        <v>18195</v>
      </c>
      <c r="AL68" s="32">
        <f t="shared" si="7"/>
        <v>1994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427838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463695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196</v>
      </c>
      <c r="CC68" s="32">
        <f t="shared" si="8"/>
        <v>6076424</v>
      </c>
      <c r="CD68" s="29" t="s">
        <v>233</v>
      </c>
      <c r="CE68" s="32">
        <f t="shared" si="4"/>
        <v>9593860</v>
      </c>
    </row>
    <row r="69" spans="1:83" x14ac:dyDescent="0.35">
      <c r="A69" s="39" t="s">
        <v>253</v>
      </c>
      <c r="B69" s="32"/>
      <c r="C69" s="213">
        <v>2326.66</v>
      </c>
      <c r="D69" s="213">
        <v>0</v>
      </c>
      <c r="E69" s="213">
        <v>15109.69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>
        <v>0</v>
      </c>
      <c r="U69" s="227">
        <v>0</v>
      </c>
      <c r="V69" s="214">
        <v>0</v>
      </c>
      <c r="W69" s="214">
        <v>0</v>
      </c>
      <c r="X69" s="214">
        <v>0</v>
      </c>
      <c r="Y69" s="214">
        <v>0</v>
      </c>
      <c r="Z69" s="214">
        <v>0</v>
      </c>
      <c r="AA69" s="214">
        <v>0</v>
      </c>
      <c r="AB69" s="239">
        <v>25.19</v>
      </c>
      <c r="AC69" s="214">
        <v>0</v>
      </c>
      <c r="AD69" s="214">
        <v>0</v>
      </c>
      <c r="AE69" s="214">
        <v>66071.389999999985</v>
      </c>
      <c r="AF69" s="214">
        <v>0</v>
      </c>
      <c r="AG69" s="214">
        <v>0</v>
      </c>
      <c r="AH69" s="214">
        <v>0</v>
      </c>
      <c r="AI69" s="214">
        <v>0</v>
      </c>
      <c r="AJ69" s="214">
        <v>2877459.88</v>
      </c>
      <c r="AK69" s="214">
        <v>66071.42</v>
      </c>
      <c r="AL69" s="214">
        <v>34796.379999999997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2091120.4300000002</v>
      </c>
      <c r="AW69" s="228">
        <v>0</v>
      </c>
      <c r="AX69" s="228">
        <v>0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54328.94999999999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130286.25000000001</v>
      </c>
      <c r="CD69" s="29" t="s">
        <v>233</v>
      </c>
      <c r="CE69" s="32">
        <f t="shared" si="4"/>
        <v>5337596.24</v>
      </c>
    </row>
    <row r="70" spans="1:83" x14ac:dyDescent="0.35">
      <c r="A70" s="39" t="s">
        <v>254</v>
      </c>
      <c r="B70" s="20"/>
      <c r="C70" s="32">
        <f t="shared" ref="C70:BN70" si="9">SUM(C71:C84)</f>
        <v>58281.479999999981</v>
      </c>
      <c r="D70" s="32">
        <f t="shared" si="9"/>
        <v>0</v>
      </c>
      <c r="E70" s="32">
        <f t="shared" si="9"/>
        <v>30613.180000000022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34643.669999999925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68297.279999999999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373.86999999999898</v>
      </c>
      <c r="Z70" s="32">
        <f t="shared" si="9"/>
        <v>0</v>
      </c>
      <c r="AA70" s="32">
        <f t="shared" si="9"/>
        <v>79</v>
      </c>
      <c r="AB70" s="32">
        <f t="shared" si="9"/>
        <v>13645.739999999954</v>
      </c>
      <c r="AC70" s="32">
        <f t="shared" si="9"/>
        <v>245471.01</v>
      </c>
      <c r="AD70" s="32">
        <f t="shared" si="9"/>
        <v>0</v>
      </c>
      <c r="AE70" s="32">
        <f t="shared" si="9"/>
        <v>4710.419999999991</v>
      </c>
      <c r="AF70" s="32">
        <f t="shared" si="9"/>
        <v>0</v>
      </c>
      <c r="AG70" s="32">
        <f t="shared" si="9"/>
        <v>183593.95</v>
      </c>
      <c r="AH70" s="32">
        <f t="shared" si="9"/>
        <v>0</v>
      </c>
      <c r="AI70" s="32">
        <f t="shared" si="9"/>
        <v>0</v>
      </c>
      <c r="AJ70" s="32">
        <f t="shared" si="9"/>
        <v>293534.39999999979</v>
      </c>
      <c r="AK70" s="32">
        <f t="shared" si="9"/>
        <v>6321.6999999999971</v>
      </c>
      <c r="AL70" s="32">
        <f t="shared" si="9"/>
        <v>742.67000000000553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196744.41999999978</v>
      </c>
      <c r="AW70" s="32">
        <f t="shared" si="9"/>
        <v>-72.710000000002765</v>
      </c>
      <c r="AX70" s="32">
        <f t="shared" si="9"/>
        <v>0</v>
      </c>
      <c r="AY70" s="32">
        <f t="shared" si="9"/>
        <v>100.15999999999985</v>
      </c>
      <c r="AZ70" s="32">
        <f t="shared" si="9"/>
        <v>0</v>
      </c>
      <c r="BA70" s="32">
        <f t="shared" si="9"/>
        <v>0</v>
      </c>
      <c r="BB70" s="32">
        <f t="shared" si="9"/>
        <v>3550.7899999999945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1135618.3999999999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42.390000000000327</v>
      </c>
      <c r="BY70" s="32">
        <f t="shared" si="10"/>
        <v>37.519999999998618</v>
      </c>
      <c r="BZ70" s="32">
        <f t="shared" si="10"/>
        <v>20000</v>
      </c>
      <c r="CA70" s="32">
        <f t="shared" si="10"/>
        <v>0</v>
      </c>
      <c r="CB70" s="32">
        <f t="shared" si="10"/>
        <v>11730.43</v>
      </c>
      <c r="CC70" s="32">
        <f t="shared" si="10"/>
        <v>10011967.060000001</v>
      </c>
      <c r="CD70" s="32">
        <f t="shared" si="10"/>
        <v>11906110.35</v>
      </c>
      <c r="CE70" s="32">
        <f>SUM(CE71:CE85)</f>
        <v>82578595.530000001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58281.479999999981</v>
      </c>
      <c r="D84" s="24">
        <v>0</v>
      </c>
      <c r="E84" s="30">
        <v>30613.180000000022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34643.669999999925</v>
      </c>
      <c r="Q84" s="30">
        <v>0</v>
      </c>
      <c r="R84" s="31">
        <v>0</v>
      </c>
      <c r="S84" s="30">
        <v>0</v>
      </c>
      <c r="T84" s="24">
        <v>68297.279999999999</v>
      </c>
      <c r="U84" s="30">
        <v>0</v>
      </c>
      <c r="V84" s="30">
        <v>0</v>
      </c>
      <c r="W84" s="24">
        <v>0</v>
      </c>
      <c r="X84" s="30">
        <v>0</v>
      </c>
      <c r="Y84" s="30">
        <v>373.86999999999898</v>
      </c>
      <c r="Z84" s="30">
        <v>0</v>
      </c>
      <c r="AA84" s="30">
        <v>79</v>
      </c>
      <c r="AB84" s="30">
        <v>13645.739999999954</v>
      </c>
      <c r="AC84" s="30">
        <v>245471.01</v>
      </c>
      <c r="AD84" s="30">
        <v>0</v>
      </c>
      <c r="AE84" s="30">
        <v>4710.419999999991</v>
      </c>
      <c r="AF84" s="30">
        <v>0</v>
      </c>
      <c r="AG84" s="30">
        <v>183593.95</v>
      </c>
      <c r="AH84" s="30">
        <v>0</v>
      </c>
      <c r="AI84" s="30">
        <v>0</v>
      </c>
      <c r="AJ84" s="30">
        <v>293534.39999999979</v>
      </c>
      <c r="AK84" s="30">
        <v>6321.6999999999971</v>
      </c>
      <c r="AL84" s="30">
        <v>742.67000000000553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196744.41999999978</v>
      </c>
      <c r="AW84" s="30">
        <v>-72.710000000002765</v>
      </c>
      <c r="AX84" s="30">
        <v>0</v>
      </c>
      <c r="AY84" s="30">
        <v>100.15999999999985</v>
      </c>
      <c r="AZ84" s="30">
        <v>0</v>
      </c>
      <c r="BA84" s="30">
        <v>0</v>
      </c>
      <c r="BB84" s="30">
        <v>3550.7899999999945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1135618.3999999999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42.390000000000327</v>
      </c>
      <c r="BY84" s="30">
        <v>37.519999999998618</v>
      </c>
      <c r="BZ84" s="30">
        <v>20000</v>
      </c>
      <c r="CA84" s="30">
        <v>0</v>
      </c>
      <c r="CB84" s="30">
        <v>11730.43</v>
      </c>
      <c r="CC84" s="30">
        <v>10011967.060000001</v>
      </c>
      <c r="CD84" s="35">
        <v>11906110.35</v>
      </c>
      <c r="CE84" s="32">
        <f t="shared" si="11"/>
        <v>24226137.18</v>
      </c>
    </row>
    <row r="85" spans="1:84" x14ac:dyDescent="0.35">
      <c r="A85" s="39" t="s">
        <v>269</v>
      </c>
      <c r="B85" s="20"/>
      <c r="C85" s="213">
        <v>4196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25184.719999999998</v>
      </c>
      <c r="Q85" s="213">
        <v>0</v>
      </c>
      <c r="R85" s="213">
        <v>0</v>
      </c>
      <c r="S85" s="213">
        <v>0</v>
      </c>
      <c r="T85" s="213">
        <v>488.64</v>
      </c>
      <c r="U85" s="213">
        <v>0</v>
      </c>
      <c r="V85" s="213">
        <v>0</v>
      </c>
      <c r="W85" s="213">
        <v>0</v>
      </c>
      <c r="X85" s="213">
        <v>9380</v>
      </c>
      <c r="Y85" s="213">
        <v>0</v>
      </c>
      <c r="Z85" s="213">
        <v>0</v>
      </c>
      <c r="AA85" s="213">
        <v>0</v>
      </c>
      <c r="AB85" s="213">
        <v>5066.1400000000003</v>
      </c>
      <c r="AC85" s="213">
        <v>0</v>
      </c>
      <c r="AD85" s="213">
        <v>0</v>
      </c>
      <c r="AE85" s="213">
        <v>601.16999999999996</v>
      </c>
      <c r="AF85" s="213">
        <v>0</v>
      </c>
      <c r="AG85" s="213">
        <v>129896.74</v>
      </c>
      <c r="AH85" s="213">
        <v>0</v>
      </c>
      <c r="AI85" s="213">
        <v>0</v>
      </c>
      <c r="AJ85" s="213">
        <v>1029533.6799999999</v>
      </c>
      <c r="AK85" s="213">
        <v>3111.87</v>
      </c>
      <c r="AL85" s="213">
        <v>7979.42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3045005.86</v>
      </c>
      <c r="AW85" s="213">
        <v>0</v>
      </c>
      <c r="AX85" s="213">
        <v>0</v>
      </c>
      <c r="AY85" s="213">
        <v>205905.68</v>
      </c>
      <c r="AZ85" s="213">
        <v>0</v>
      </c>
      <c r="BA85" s="213">
        <v>0</v>
      </c>
      <c r="BB85" s="213">
        <v>131002.20999999998</v>
      </c>
      <c r="BC85" s="213">
        <v>0</v>
      </c>
      <c r="BD85" s="213">
        <v>0</v>
      </c>
      <c r="BE85" s="213">
        <v>0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959.90000000000009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0</v>
      </c>
      <c r="BZ85" s="213">
        <v>0</v>
      </c>
      <c r="CA85" s="213">
        <v>0</v>
      </c>
      <c r="CB85" s="213">
        <v>207823.08</v>
      </c>
      <c r="CC85" s="213">
        <v>53546323.240000002</v>
      </c>
      <c r="CD85" s="35">
        <v>0</v>
      </c>
      <c r="CE85" s="32">
        <f t="shared" si="11"/>
        <v>58352458.350000001</v>
      </c>
    </row>
    <row r="86" spans="1:84" x14ac:dyDescent="0.35">
      <c r="A86" s="39" t="s">
        <v>270</v>
      </c>
      <c r="B86" s="32"/>
      <c r="C86" s="32">
        <f>SUM(C62:C70)-C85</f>
        <v>7158135.6999999993</v>
      </c>
      <c r="D86" s="32">
        <f t="shared" ref="D86:BO86" si="12">SUM(D62:D70)-D85</f>
        <v>0</v>
      </c>
      <c r="E86" s="32">
        <f t="shared" si="12"/>
        <v>12453120.309999999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14887059.050000001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6478531.040000001</v>
      </c>
      <c r="U86" s="32">
        <f t="shared" si="12"/>
        <v>0</v>
      </c>
      <c r="V86" s="32">
        <f t="shared" si="12"/>
        <v>5430</v>
      </c>
      <c r="W86" s="32">
        <f t="shared" si="12"/>
        <v>0</v>
      </c>
      <c r="X86" s="32">
        <f t="shared" si="12"/>
        <v>-7951.76</v>
      </c>
      <c r="Y86" s="32">
        <f t="shared" si="12"/>
        <v>331072.44</v>
      </c>
      <c r="Z86" s="32">
        <f t="shared" si="12"/>
        <v>0</v>
      </c>
      <c r="AA86" s="32">
        <f t="shared" si="12"/>
        <v>79</v>
      </c>
      <c r="AB86" s="32">
        <f t="shared" si="12"/>
        <v>17397793.940000001</v>
      </c>
      <c r="AC86" s="32">
        <f t="shared" si="12"/>
        <v>2775485.08</v>
      </c>
      <c r="AD86" s="32">
        <f t="shared" si="12"/>
        <v>0</v>
      </c>
      <c r="AE86" s="32">
        <f t="shared" si="12"/>
        <v>2781221.35</v>
      </c>
      <c r="AF86" s="32">
        <f t="shared" si="12"/>
        <v>0</v>
      </c>
      <c r="AG86" s="32">
        <f t="shared" si="12"/>
        <v>16485418.52</v>
      </c>
      <c r="AH86" s="32">
        <f t="shared" si="12"/>
        <v>0</v>
      </c>
      <c r="AI86" s="32">
        <f t="shared" si="12"/>
        <v>0</v>
      </c>
      <c r="AJ86" s="32">
        <f t="shared" si="12"/>
        <v>56522607.930000007</v>
      </c>
      <c r="AK86" s="32">
        <f t="shared" si="12"/>
        <v>4913470.5699999994</v>
      </c>
      <c r="AL86" s="32">
        <f t="shared" si="12"/>
        <v>2467895.7700000005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50554275.819999993</v>
      </c>
      <c r="AW86" s="32">
        <f t="shared" si="12"/>
        <v>675688.52</v>
      </c>
      <c r="AX86" s="32">
        <f t="shared" si="12"/>
        <v>0</v>
      </c>
      <c r="AY86" s="32">
        <f t="shared" si="12"/>
        <v>-28072.26999999999</v>
      </c>
      <c r="AZ86" s="32">
        <f t="shared" si="12"/>
        <v>0</v>
      </c>
      <c r="BA86" s="32">
        <f t="shared" si="12"/>
        <v>0</v>
      </c>
      <c r="BB86" s="32">
        <f t="shared" si="12"/>
        <v>1700935.26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2011684.0099999998</v>
      </c>
      <c r="BM86" s="32">
        <f t="shared" si="12"/>
        <v>0</v>
      </c>
      <c r="BN86" s="32">
        <f t="shared" si="12"/>
        <v>5826404.2599999998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614690.27000000014</v>
      </c>
      <c r="BY86" s="32">
        <f t="shared" si="13"/>
        <v>979458.96999999986</v>
      </c>
      <c r="BZ86" s="32">
        <f t="shared" si="13"/>
        <v>2374168.75</v>
      </c>
      <c r="CA86" s="32">
        <f t="shared" si="13"/>
        <v>0</v>
      </c>
      <c r="CB86" s="32">
        <f t="shared" si="13"/>
        <v>29741.690000000031</v>
      </c>
      <c r="CC86" s="32">
        <f t="shared" si="13"/>
        <v>60997189.720000006</v>
      </c>
      <c r="CD86" s="32">
        <f t="shared" si="13"/>
        <v>11906110.35</v>
      </c>
      <c r="CE86" s="32">
        <f t="shared" si="11"/>
        <v>282291644.29000002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29250149.189999998</v>
      </c>
      <c r="D88" s="213">
        <v>0</v>
      </c>
      <c r="E88" s="213">
        <v>60882071.500000007</v>
      </c>
      <c r="F88" s="213">
        <v>0</v>
      </c>
      <c r="G88" s="213">
        <v>0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75836416.829999998</v>
      </c>
      <c r="Q88" s="213">
        <v>0</v>
      </c>
      <c r="R88" s="213">
        <v>0</v>
      </c>
      <c r="S88" s="213">
        <v>0</v>
      </c>
      <c r="T88" s="213">
        <v>3929937</v>
      </c>
      <c r="U88" s="213">
        <v>19516084.059999999</v>
      </c>
      <c r="V88" s="213">
        <v>280933</v>
      </c>
      <c r="W88" s="213">
        <v>3744886.1799999997</v>
      </c>
      <c r="X88" s="213">
        <v>3825530.79</v>
      </c>
      <c r="Y88" s="213">
        <v>4902587.2</v>
      </c>
      <c r="Z88" s="213">
        <v>442953.75</v>
      </c>
      <c r="AA88" s="213">
        <v>140638.07999999999</v>
      </c>
      <c r="AB88" s="213">
        <v>24818183.329999998</v>
      </c>
      <c r="AC88" s="213">
        <v>14881962.000000002</v>
      </c>
      <c r="AD88" s="213">
        <v>0</v>
      </c>
      <c r="AE88" s="213">
        <v>687844</v>
      </c>
      <c r="AF88" s="213">
        <v>0</v>
      </c>
      <c r="AG88" s="213">
        <v>21823869.800000001</v>
      </c>
      <c r="AH88" s="213">
        <v>0</v>
      </c>
      <c r="AI88" s="213">
        <v>0</v>
      </c>
      <c r="AJ88" s="213">
        <v>3673240.0000000005</v>
      </c>
      <c r="AK88" s="213">
        <v>802156</v>
      </c>
      <c r="AL88" s="213">
        <v>249300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3750306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273439048.70999998</v>
      </c>
    </row>
    <row r="89" spans="1:84" x14ac:dyDescent="0.35">
      <c r="A89" s="26" t="s">
        <v>273</v>
      </c>
      <c r="B89" s="20"/>
      <c r="C89" s="213">
        <v>216421</v>
      </c>
      <c r="D89" s="213">
        <v>0</v>
      </c>
      <c r="E89" s="213">
        <v>6840380.04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175237179.65000001</v>
      </c>
      <c r="Q89" s="213">
        <v>0</v>
      </c>
      <c r="R89" s="213">
        <v>0</v>
      </c>
      <c r="S89" s="213">
        <v>0</v>
      </c>
      <c r="T89" s="213">
        <v>9576320.7400000002</v>
      </c>
      <c r="U89" s="213">
        <v>21803991</v>
      </c>
      <c r="V89" s="213">
        <v>458323.00000000006</v>
      </c>
      <c r="W89" s="213">
        <v>15386353.35</v>
      </c>
      <c r="X89" s="213">
        <v>7373358.9399999995</v>
      </c>
      <c r="Y89" s="213">
        <v>25840203.800000001</v>
      </c>
      <c r="Z89" s="213">
        <v>1466982.0999999999</v>
      </c>
      <c r="AA89" s="213">
        <v>1162753.42</v>
      </c>
      <c r="AB89" s="213">
        <v>61283245.32</v>
      </c>
      <c r="AC89" s="213">
        <v>195566</v>
      </c>
      <c r="AD89" s="213">
        <v>0</v>
      </c>
      <c r="AE89" s="213">
        <v>7231465</v>
      </c>
      <c r="AF89" s="213">
        <v>0</v>
      </c>
      <c r="AG89" s="213">
        <v>119285376.92</v>
      </c>
      <c r="AH89" s="213">
        <v>0</v>
      </c>
      <c r="AI89" s="213">
        <v>0</v>
      </c>
      <c r="AJ89" s="213">
        <v>92660392.549999997</v>
      </c>
      <c r="AK89" s="213">
        <v>12907907</v>
      </c>
      <c r="AL89" s="213">
        <v>6142582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71555066.25999999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636623868.09000003</v>
      </c>
    </row>
    <row r="90" spans="1:84" x14ac:dyDescent="0.35">
      <c r="A90" s="26" t="s">
        <v>274</v>
      </c>
      <c r="B90" s="20"/>
      <c r="C90" s="32">
        <f>C88+C89</f>
        <v>29466570.189999998</v>
      </c>
      <c r="D90" s="32">
        <f t="shared" ref="D90:AV90" si="15">D88+D89</f>
        <v>0</v>
      </c>
      <c r="E90" s="32">
        <f t="shared" si="15"/>
        <v>67722451.540000007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251073596.48000002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13506257.74</v>
      </c>
      <c r="U90" s="32">
        <f t="shared" si="15"/>
        <v>41320075.060000002</v>
      </c>
      <c r="V90" s="32">
        <f t="shared" si="15"/>
        <v>739256</v>
      </c>
      <c r="W90" s="32">
        <f t="shared" si="15"/>
        <v>19131239.530000001</v>
      </c>
      <c r="X90" s="32">
        <f t="shared" si="15"/>
        <v>11198889.73</v>
      </c>
      <c r="Y90" s="32">
        <f t="shared" si="15"/>
        <v>30742791</v>
      </c>
      <c r="Z90" s="32">
        <f t="shared" si="15"/>
        <v>1909935.8499999999</v>
      </c>
      <c r="AA90" s="32">
        <f t="shared" si="15"/>
        <v>1303391.5</v>
      </c>
      <c r="AB90" s="32">
        <f t="shared" si="15"/>
        <v>86101428.650000006</v>
      </c>
      <c r="AC90" s="32">
        <f t="shared" si="15"/>
        <v>15077528.000000002</v>
      </c>
      <c r="AD90" s="32">
        <f t="shared" si="15"/>
        <v>0</v>
      </c>
      <c r="AE90" s="32">
        <f t="shared" si="15"/>
        <v>7919309</v>
      </c>
      <c r="AF90" s="32">
        <f t="shared" si="15"/>
        <v>0</v>
      </c>
      <c r="AG90" s="32">
        <f t="shared" si="15"/>
        <v>141109246.72</v>
      </c>
      <c r="AH90" s="32">
        <f t="shared" si="15"/>
        <v>0</v>
      </c>
      <c r="AI90" s="32">
        <f t="shared" si="15"/>
        <v>0</v>
      </c>
      <c r="AJ90" s="32">
        <f t="shared" si="15"/>
        <v>96333632.549999997</v>
      </c>
      <c r="AK90" s="32">
        <f t="shared" si="15"/>
        <v>13710063</v>
      </c>
      <c r="AL90" s="32">
        <f t="shared" si="15"/>
        <v>6391882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75305372.25999999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910062916.80000007</v>
      </c>
    </row>
    <row r="91" spans="1:84" x14ac:dyDescent="0.35">
      <c r="A91" s="39" t="s">
        <v>275</v>
      </c>
      <c r="B91" s="32"/>
      <c r="C91" s="213">
        <v>16852.080000000005</v>
      </c>
      <c r="D91" s="213">
        <v>0</v>
      </c>
      <c r="E91" s="213">
        <v>36239.649999999965</v>
      </c>
      <c r="F91" s="213">
        <v>0</v>
      </c>
      <c r="G91" s="213">
        <v>0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6697.9449999999979</v>
      </c>
      <c r="Q91" s="213">
        <v>0</v>
      </c>
      <c r="R91" s="213">
        <v>0</v>
      </c>
      <c r="S91" s="213">
        <v>0</v>
      </c>
      <c r="T91" s="213">
        <v>1875.7199999999998</v>
      </c>
      <c r="U91" s="213">
        <v>0</v>
      </c>
      <c r="V91" s="213">
        <v>0</v>
      </c>
      <c r="W91" s="213">
        <v>0</v>
      </c>
      <c r="X91" s="213">
        <v>0</v>
      </c>
      <c r="Y91" s="213">
        <v>0</v>
      </c>
      <c r="Z91" s="213">
        <v>0</v>
      </c>
      <c r="AA91" s="213">
        <v>0</v>
      </c>
      <c r="AB91" s="213">
        <v>1856.45</v>
      </c>
      <c r="AC91" s="213">
        <v>531.75</v>
      </c>
      <c r="AD91" s="213">
        <v>0</v>
      </c>
      <c r="AE91" s="213">
        <v>0</v>
      </c>
      <c r="AF91" s="213">
        <v>0</v>
      </c>
      <c r="AG91" s="213">
        <v>17277.179999999993</v>
      </c>
      <c r="AH91" s="213">
        <v>0</v>
      </c>
      <c r="AI91" s="213">
        <v>0</v>
      </c>
      <c r="AJ91" s="213">
        <v>2470.7350000000006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780.97</v>
      </c>
      <c r="AW91" s="213">
        <v>0</v>
      </c>
      <c r="AX91" s="213">
        <v>0</v>
      </c>
      <c r="AY91" s="213">
        <v>0</v>
      </c>
      <c r="AZ91" s="213">
        <v>0</v>
      </c>
      <c r="BA91" s="213">
        <v>0</v>
      </c>
      <c r="BB91" s="213">
        <v>218.76</v>
      </c>
      <c r="BC91" s="213">
        <v>0</v>
      </c>
      <c r="BD91" s="213">
        <v>0</v>
      </c>
      <c r="BE91" s="213">
        <v>0</v>
      </c>
      <c r="BF91" s="213">
        <v>0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3723.5700000000006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0</v>
      </c>
      <c r="BX91" s="213">
        <v>81.5</v>
      </c>
      <c r="BY91" s="213">
        <v>0</v>
      </c>
      <c r="BZ91" s="213">
        <v>0</v>
      </c>
      <c r="CA91" s="213">
        <v>0</v>
      </c>
      <c r="CB91" s="213">
        <v>0</v>
      </c>
      <c r="CC91" s="213">
        <v>92614.245000000024</v>
      </c>
      <c r="CD91" s="233" t="s">
        <v>233</v>
      </c>
      <c r="CE91" s="32">
        <f t="shared" si="14"/>
        <v>181220.55499999999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9102</v>
      </c>
      <c r="D92" s="213">
        <v>0</v>
      </c>
      <c r="E92" s="213">
        <v>32746</v>
      </c>
      <c r="F92" s="213">
        <v>0</v>
      </c>
      <c r="G92" s="213">
        <v>0</v>
      </c>
      <c r="H92" s="213">
        <v>0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12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3174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4" t="s">
        <v>233</v>
      </c>
      <c r="AY92" s="264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45034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1755.9673587448665</v>
      </c>
      <c r="D93" s="213">
        <v>0</v>
      </c>
      <c r="E93" s="213">
        <v>17990.577422690418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4964.9425239667698</v>
      </c>
      <c r="Q93" s="213">
        <v>0</v>
      </c>
      <c r="R93" s="213">
        <v>0</v>
      </c>
      <c r="S93" s="213">
        <v>0</v>
      </c>
      <c r="T93" s="213">
        <v>0</v>
      </c>
      <c r="U93" s="213">
        <v>0</v>
      </c>
      <c r="V93" s="213">
        <v>0</v>
      </c>
      <c r="W93" s="213">
        <v>0</v>
      </c>
      <c r="X93" s="213">
        <v>0</v>
      </c>
      <c r="Y93" s="213">
        <v>0</v>
      </c>
      <c r="Z93" s="213">
        <v>0</v>
      </c>
      <c r="AA93" s="213">
        <v>0</v>
      </c>
      <c r="AB93" s="213">
        <v>0</v>
      </c>
      <c r="AC93" s="213">
        <v>0</v>
      </c>
      <c r="AD93" s="213">
        <v>0</v>
      </c>
      <c r="AE93" s="213">
        <v>0</v>
      </c>
      <c r="AF93" s="213">
        <v>0</v>
      </c>
      <c r="AG93" s="213">
        <v>7698.2241349586866</v>
      </c>
      <c r="AH93" s="213">
        <v>0</v>
      </c>
      <c r="AI93" s="213">
        <v>0</v>
      </c>
      <c r="AJ93" s="213">
        <v>3366.288559639258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64" t="s">
        <v>233</v>
      </c>
      <c r="AY93" s="264" t="s">
        <v>233</v>
      </c>
      <c r="AZ93" s="229" t="s">
        <v>233</v>
      </c>
      <c r="BA93" s="213">
        <v>0</v>
      </c>
      <c r="BB93" s="213">
        <v>0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0</v>
      </c>
      <c r="BI93" s="213">
        <v>0</v>
      </c>
      <c r="BJ93" s="229" t="s">
        <v>233</v>
      </c>
      <c r="BK93" s="213">
        <v>0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0</v>
      </c>
      <c r="BT93" s="213">
        <v>0</v>
      </c>
      <c r="BU93" s="213">
        <v>0</v>
      </c>
      <c r="BV93" s="213">
        <v>0</v>
      </c>
      <c r="BW93" s="213">
        <v>0</v>
      </c>
      <c r="BX93" s="213">
        <v>0</v>
      </c>
      <c r="BY93" s="213">
        <v>0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35776</v>
      </c>
      <c r="CF93" s="20"/>
    </row>
    <row r="94" spans="1:84" x14ac:dyDescent="0.35">
      <c r="A94" s="26" t="s">
        <v>278</v>
      </c>
      <c r="B94" s="20"/>
      <c r="C94" s="213">
        <v>438374.58999999997</v>
      </c>
      <c r="D94" s="213">
        <v>173354.78</v>
      </c>
      <c r="E94" s="213">
        <v>230956.15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9255.2000000000007</v>
      </c>
      <c r="AC94" s="213">
        <v>0</v>
      </c>
      <c r="AD94" s="213">
        <v>0</v>
      </c>
      <c r="AE94" s="213">
        <v>2752.5</v>
      </c>
      <c r="AF94" s="213">
        <v>0</v>
      </c>
      <c r="AG94" s="213">
        <v>274.61</v>
      </c>
      <c r="AH94" s="213">
        <v>0</v>
      </c>
      <c r="AI94" s="213">
        <v>0</v>
      </c>
      <c r="AJ94" s="213">
        <v>9585.1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2195.1999999999998</v>
      </c>
      <c r="AW94" s="213">
        <v>0</v>
      </c>
      <c r="AX94" s="264" t="s">
        <v>233</v>
      </c>
      <c r="AY94" s="264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866748.12999999989</v>
      </c>
      <c r="CF94" s="32">
        <f>BA60</f>
        <v>0</v>
      </c>
    </row>
    <row r="95" spans="1:84" x14ac:dyDescent="0.35">
      <c r="A95" s="26" t="s">
        <v>279</v>
      </c>
      <c r="B95" s="20"/>
      <c r="C95" s="242">
        <v>28.752960270033842</v>
      </c>
      <c r="D95" s="242">
        <v>0</v>
      </c>
      <c r="E95" s="242">
        <v>60.260391772567075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>
        <v>0</v>
      </c>
      <c r="L95" s="242">
        <v>0</v>
      </c>
      <c r="M95" s="242">
        <v>0</v>
      </c>
      <c r="N95" s="242">
        <v>0</v>
      </c>
      <c r="O95" s="242">
        <v>0</v>
      </c>
      <c r="P95" s="243">
        <v>22.469319175004205</v>
      </c>
      <c r="Q95" s="243">
        <v>0</v>
      </c>
      <c r="R95" s="243">
        <v>0</v>
      </c>
      <c r="S95" s="244">
        <v>0</v>
      </c>
      <c r="T95" s="244">
        <v>13.630491094023222</v>
      </c>
      <c r="U95" s="245">
        <v>0</v>
      </c>
      <c r="V95" s="243">
        <v>0</v>
      </c>
      <c r="W95" s="243">
        <v>0</v>
      </c>
      <c r="X95" s="243">
        <v>0</v>
      </c>
      <c r="Y95" s="243">
        <v>0</v>
      </c>
      <c r="Z95" s="243">
        <v>0</v>
      </c>
      <c r="AA95" s="243">
        <v>0</v>
      </c>
      <c r="AB95" s="244">
        <v>0</v>
      </c>
      <c r="AC95" s="243">
        <v>1.1952739724390036E-2</v>
      </c>
      <c r="AD95" s="243">
        <v>0</v>
      </c>
      <c r="AE95" s="243">
        <v>0</v>
      </c>
      <c r="AF95" s="243">
        <v>0</v>
      </c>
      <c r="AG95" s="243">
        <v>33.318537666668696</v>
      </c>
      <c r="AH95" s="243">
        <v>0</v>
      </c>
      <c r="AI95" s="243">
        <v>0</v>
      </c>
      <c r="AJ95" s="243">
        <v>25.565049996497944</v>
      </c>
      <c r="AK95" s="243">
        <v>1.4452698628157166</v>
      </c>
      <c r="AL95" s="243">
        <v>0</v>
      </c>
      <c r="AM95" s="243">
        <v>0</v>
      </c>
      <c r="AN95" s="243">
        <v>0</v>
      </c>
      <c r="AO95" s="243">
        <v>0</v>
      </c>
      <c r="AP95" s="243">
        <v>0</v>
      </c>
      <c r="AQ95" s="243">
        <v>0</v>
      </c>
      <c r="AR95" s="243">
        <v>0</v>
      </c>
      <c r="AS95" s="243">
        <v>0</v>
      </c>
      <c r="AT95" s="243">
        <v>0</v>
      </c>
      <c r="AU95" s="243">
        <v>0</v>
      </c>
      <c r="AV95" s="244">
        <v>13.139158217378197</v>
      </c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198.59313079471329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98405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1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1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3592</v>
      </c>
      <c r="D128" s="220">
        <v>13052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22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60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82</v>
      </c>
    </row>
    <row r="145" spans="1:6" x14ac:dyDescent="0.35">
      <c r="A145" s="20" t="s">
        <v>325</v>
      </c>
      <c r="B145" s="46" t="s">
        <v>284</v>
      </c>
      <c r="C145" s="47">
        <v>82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</v>
      </c>
      <c r="C155" s="50">
        <v>2042</v>
      </c>
      <c r="D155" s="50">
        <v>1548</v>
      </c>
      <c r="E155" s="32">
        <f>SUM(B155:D155)</f>
        <v>3592</v>
      </c>
    </row>
    <row r="156" spans="1:6" x14ac:dyDescent="0.35">
      <c r="A156" s="20" t="s">
        <v>227</v>
      </c>
      <c r="B156" s="50">
        <v>11</v>
      </c>
      <c r="C156" s="50">
        <v>8673</v>
      </c>
      <c r="D156" s="50">
        <v>4368</v>
      </c>
      <c r="E156" s="32">
        <f>SUM(B156:D156)</f>
        <v>13052</v>
      </c>
    </row>
    <row r="157" spans="1:6" x14ac:dyDescent="0.35">
      <c r="A157" s="20" t="s">
        <v>332</v>
      </c>
      <c r="B157" s="50">
        <v>13.371208242624501</v>
      </c>
      <c r="C157" s="50">
        <v>19339.785049184069</v>
      </c>
      <c r="D157" s="50">
        <v>14494.84374257331</v>
      </c>
      <c r="E157" s="32">
        <f>SUM(B157:D157)</f>
        <v>33848</v>
      </c>
    </row>
    <row r="158" spans="1:6" x14ac:dyDescent="0.35">
      <c r="A158" s="20" t="s">
        <v>272</v>
      </c>
      <c r="B158" s="50">
        <v>109044.38095509951</v>
      </c>
      <c r="C158" s="50">
        <v>157719096.90032858</v>
      </c>
      <c r="D158" s="50">
        <v>115610907.4287163</v>
      </c>
      <c r="E158" s="32">
        <f>SUM(B158:D158)</f>
        <v>273439048.70999998</v>
      </c>
      <c r="F158" s="18"/>
    </row>
    <row r="159" spans="1:6" x14ac:dyDescent="0.35">
      <c r="A159" s="20" t="s">
        <v>273</v>
      </c>
      <c r="B159" s="50">
        <v>252224.51187392409</v>
      </c>
      <c r="C159" s="50">
        <v>364811298.66986644</v>
      </c>
      <c r="D159" s="50">
        <v>273419934.93190598</v>
      </c>
      <c r="E159" s="32">
        <f>SUM(B159:D159)</f>
        <v>638483458.11364627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7200602.2299999995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11633547.16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5324064.5600000005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21718.07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24179932.020000003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5316905.5200000005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20690.72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5337596.24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5512007.1399999997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5512007.1399999997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241585.01000000004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3290904.9599999995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3532489.9699999997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2861613.2399999998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2861613.2399999998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774202</v>
      </c>
      <c r="C212" s="216">
        <v>0</v>
      </c>
      <c r="D212" s="220">
        <v>0</v>
      </c>
      <c r="E212" s="32">
        <f t="shared" ref="E212:E220" si="16">SUM(B212:C212)-D212</f>
        <v>774202</v>
      </c>
    </row>
    <row r="213" spans="1:5" x14ac:dyDescent="0.35">
      <c r="A213" s="20" t="s">
        <v>367</v>
      </c>
      <c r="B213" s="220">
        <v>472407.19</v>
      </c>
      <c r="C213" s="216">
        <v>0</v>
      </c>
      <c r="D213" s="220">
        <v>0</v>
      </c>
      <c r="E213" s="32">
        <f t="shared" si="16"/>
        <v>472407.19</v>
      </c>
    </row>
    <row r="214" spans="1:5" x14ac:dyDescent="0.35">
      <c r="A214" s="20" t="s">
        <v>368</v>
      </c>
      <c r="B214" s="220">
        <v>143671117.66</v>
      </c>
      <c r="C214" s="216">
        <v>634828.58999999985</v>
      </c>
      <c r="D214" s="220">
        <v>3649938</v>
      </c>
      <c r="E214" s="32">
        <f t="shared" si="16"/>
        <v>140656008.25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3386536.7600000007</v>
      </c>
      <c r="C216" s="216">
        <v>17441.7</v>
      </c>
      <c r="D216" s="220">
        <v>961587</v>
      </c>
      <c r="E216" s="32">
        <f t="shared" si="16"/>
        <v>2442391.4600000009</v>
      </c>
    </row>
    <row r="217" spans="1:5" x14ac:dyDescent="0.35">
      <c r="A217" s="20" t="s">
        <v>371</v>
      </c>
      <c r="B217" s="220">
        <v>37350207.359999999</v>
      </c>
      <c r="C217" s="216">
        <v>1711817.34</v>
      </c>
      <c r="D217" s="220">
        <v>42538.47</v>
      </c>
      <c r="E217" s="32">
        <f t="shared" si="16"/>
        <v>39019486.230000004</v>
      </c>
    </row>
    <row r="218" spans="1:5" x14ac:dyDescent="0.3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35">
      <c r="A219" s="20" t="s">
        <v>373</v>
      </c>
      <c r="B219" s="220">
        <v>10983363.59</v>
      </c>
      <c r="C219" s="216">
        <v>186421.36</v>
      </c>
      <c r="D219" s="220">
        <v>182762</v>
      </c>
      <c r="E219" s="32">
        <f t="shared" si="16"/>
        <v>10987022.949999999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196637834.55999997</v>
      </c>
      <c r="C221" s="265">
        <f>SUM(C212:C220)</f>
        <v>2550508.9899999998</v>
      </c>
      <c r="D221" s="32">
        <f>SUM(D212:D220)</f>
        <v>4836825.47</v>
      </c>
      <c r="E221" s="32">
        <f>SUM(E212:E220)</f>
        <v>194351518.07999998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405873.29</v>
      </c>
      <c r="C226" s="216">
        <v>9947.0600000000013</v>
      </c>
      <c r="D226" s="220">
        <v>0</v>
      </c>
      <c r="E226" s="32">
        <f t="shared" ref="E226:E233" si="17">SUM(B226:C226)-D226</f>
        <v>415820.35</v>
      </c>
    </row>
    <row r="227" spans="1:5" x14ac:dyDescent="0.35">
      <c r="A227" s="20" t="s">
        <v>368</v>
      </c>
      <c r="B227" s="220">
        <v>55185733.920000002</v>
      </c>
      <c r="C227" s="216">
        <v>4728572.4600000102</v>
      </c>
      <c r="D227" s="220">
        <v>3649938</v>
      </c>
      <c r="E227" s="32">
        <f t="shared" si="17"/>
        <v>56264368.38000001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3161473.9899999998</v>
      </c>
      <c r="C229" s="216">
        <v>70799.380000000048</v>
      </c>
      <c r="D229" s="220">
        <v>961587</v>
      </c>
      <c r="E229" s="32">
        <f t="shared" si="17"/>
        <v>2270686.3699999996</v>
      </c>
    </row>
    <row r="230" spans="1:5" x14ac:dyDescent="0.35">
      <c r="A230" s="20" t="s">
        <v>371</v>
      </c>
      <c r="B230" s="220">
        <v>27032965.900000002</v>
      </c>
      <c r="C230" s="216">
        <v>2569102.3200000031</v>
      </c>
      <c r="D230" s="220">
        <v>42538.47</v>
      </c>
      <c r="E230" s="32">
        <f t="shared" si="17"/>
        <v>29559529.750000007</v>
      </c>
    </row>
    <row r="231" spans="1:5" x14ac:dyDescent="0.35">
      <c r="A231" s="20" t="s">
        <v>372</v>
      </c>
      <c r="B231" s="220">
        <v>0</v>
      </c>
      <c r="C231" s="216">
        <v>0</v>
      </c>
      <c r="D231" s="220">
        <v>0</v>
      </c>
      <c r="E231" s="32">
        <f t="shared" si="17"/>
        <v>0</v>
      </c>
    </row>
    <row r="232" spans="1:5" x14ac:dyDescent="0.35">
      <c r="A232" s="20" t="s">
        <v>373</v>
      </c>
      <c r="B232" s="220">
        <v>3307246.38</v>
      </c>
      <c r="C232" s="216">
        <v>1031062.2099999988</v>
      </c>
      <c r="D232" s="220">
        <v>182762</v>
      </c>
      <c r="E232" s="32">
        <f t="shared" si="17"/>
        <v>4155546.5899999989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89093293.480000004</v>
      </c>
      <c r="C234" s="265">
        <f>SUM(C225:C233)</f>
        <v>8409483.4300000109</v>
      </c>
      <c r="D234" s="32">
        <f>SUM(D225:D233)</f>
        <v>4836825.47</v>
      </c>
      <c r="E234" s="32">
        <f>SUM(E225:E233)</f>
        <v>92665951.440000027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37" t="s">
        <v>377</v>
      </c>
      <c r="C237" s="337"/>
      <c r="D237" s="38"/>
      <c r="E237" s="38"/>
    </row>
    <row r="238" spans="1:5" x14ac:dyDescent="0.35">
      <c r="A238" s="56" t="s">
        <v>377</v>
      </c>
      <c r="B238" s="38"/>
      <c r="C238" s="216">
        <v>6648925.0499999998</v>
      </c>
      <c r="D238" s="40">
        <f>C238</f>
        <v>6648925.0499999998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225531.90034593825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326203765.23044312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19106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11430158.233851593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227663906.24535939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565542467.61000001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2797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1706453.4722237037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3984833.6277762959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5691287.0999999996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5372644.549999998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5372644.549999998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583255324.30999994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658178212.58000004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44402842.349999994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5186018.6599999983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1120716.58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223310.890000001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698739063.74000013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774201.99999999988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472407.19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140656008.25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2442391.46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39019486.229999989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10987022.949999999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194351518.07999998</v>
      </c>
      <c r="E292" s="20"/>
    </row>
    <row r="293" spans="1:5" x14ac:dyDescent="0.35">
      <c r="A293" s="20" t="s">
        <v>416</v>
      </c>
      <c r="B293" s="46" t="s">
        <v>284</v>
      </c>
      <c r="C293" s="47">
        <v>92665951.439999998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101685566.63999999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898484.62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898484.62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801323115.00000012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647915.32000000007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532805.6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2434782.7599999998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3615503.6799999997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797707611.32000005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801323115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801323115.00000012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273439048.71000004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638483458.09000003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911922506.80000007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6648925.0499999998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570915112.15999997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5691287.0999999996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583255324.30999994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328667182.49000013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58352458.349999994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58352458.349999994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58352458.349999994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387019640.84000015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123025485.71000001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24179931.339999996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3920781.17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21357550.289999992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1053315.8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127949444.25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9593858.0199999996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5337596.24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5512007.1399999997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3532489.9699999993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2861613.2399999998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12320026.829999998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12320026.829999998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340644100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46375540.840000153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46375540.840000153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46375540.840000153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181220.55499999999</v>
      </c>
      <c r="E613" s="257">
        <f>SUM(C625:D648)+SUM(C669:D714)</f>
        <v>209108956.76326448</v>
      </c>
      <c r="F613" s="257">
        <f>CE65-(AX65+BD65+BE65+BG65+BJ65+BN65+BP65+BQ65+CB65+CC65+CD65)</f>
        <v>21136216.039999992</v>
      </c>
      <c r="G613" s="255">
        <f>CE92-(AX92+AY92+BD92+BE92+BG92+BJ92+BN92+BP92+BQ92+CB92+CC92+CD92)</f>
        <v>45034</v>
      </c>
      <c r="H613" s="260">
        <f>CE61-(AX61+AY61+AZ61+BD61+BE61+BG61+BJ61+BN61+BO61+BP61+BQ61+BR61+CB61+CC61+CD61)</f>
        <v>834.78264577605751</v>
      </c>
      <c r="I613" s="255">
        <f>CE93-(AX93+AY93+AZ93+BD93+BE93+BF93+BG93+BJ93+BN93+BO93+BP93+BQ93+BR93+CB93+CC93+CD93)</f>
        <v>35776</v>
      </c>
      <c r="J613" s="255">
        <f>CE94-(AX94+AY94+AZ94+BA94+BD94+BE94+BF94+BG94+BJ94+BN94+BO94+BP94+BQ94+BR94+CB94+CC94+CD94)</f>
        <v>866748.12999999989</v>
      </c>
      <c r="K613" s="255">
        <f>CE90-(AW90+AX90+AY90+AZ90+BA90+BB90+BC90+BD90+BE90+BF90+BG90+BH90+BI90+BJ90+BK90+BL90+BM90+BN90+BO90+BP90+BQ90+BR90+BS90+BT90+BU90+BV90+BW90+BX90+CB90+CC90+CD90)</f>
        <v>910062916.80000007</v>
      </c>
      <c r="L613" s="261">
        <f>CE95-(AW95+AX95+AY95+AZ95+BA95+BB95+BC95+BD95+BE95+BF95+BG95+BH95+BI95+BJ95+BK95+BL95+BM95+BN95+BO95+BP95+BQ95+BR95+BS95+BT95+BU95+BV95+BW95+BX95+BY95+BZ95+CA95+CB95+CC95+CD95)</f>
        <v>198.59313079471329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0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11906110.35</v>
      </c>
      <c r="D616" s="255">
        <f>SUM(C615:C616)</f>
        <v>11906110.35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0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5826404.2599999998</v>
      </c>
      <c r="D620" s="255">
        <f>(D616/D613)*BN91</f>
        <v>244636.90289409779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60997189.720000006</v>
      </c>
      <c r="D621" s="255">
        <f>(D616/D613)*CC91</f>
        <v>6084714.9538413901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29741.690000000031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73182687.5267355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0</v>
      </c>
      <c r="D625" s="255">
        <f>(D616/D613)*BD91</f>
        <v>0</v>
      </c>
      <c r="E625" s="257">
        <f>(E624/E613)*SUM(C625:D625)</f>
        <v>0</v>
      </c>
      <c r="F625" s="257">
        <f>SUM(C625:E625)</f>
        <v>0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-28072.26999999999</v>
      </c>
      <c r="D626" s="255">
        <f>(D616/D613)*AY91</f>
        <v>0</v>
      </c>
      <c r="E626" s="257">
        <f>(E624/E613)*SUM(C626:D626)</f>
        <v>-9824.5632103744538</v>
      </c>
      <c r="F626" s="257">
        <f>(F625/F613)*AY65</f>
        <v>0</v>
      </c>
      <c r="G626" s="255">
        <f>SUM(C626:F626)</f>
        <v>-37896.833210374447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0</v>
      </c>
      <c r="D627" s="255">
        <f>(D616/D613)*BR91</f>
        <v>0</v>
      </c>
      <c r="E627" s="257">
        <f>(E624/E613)*SUM(C627:D627)</f>
        <v>0</v>
      </c>
      <c r="F627" s="257">
        <f>(F625/F613)*BR65</f>
        <v>0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0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0</v>
      </c>
      <c r="D630" s="255">
        <f>(D616/D613)*BF91</f>
        <v>0</v>
      </c>
      <c r="E630" s="257">
        <f>(E624/E613)*SUM(C630:D630)</f>
        <v>0</v>
      </c>
      <c r="F630" s="257">
        <f>(F625/F613)*BF65</f>
        <v>0</v>
      </c>
      <c r="G630" s="255">
        <f>(G626/G613)*BF92</f>
        <v>0</v>
      </c>
      <c r="H630" s="257">
        <f>(H629/H613)*BF61</f>
        <v>0</v>
      </c>
      <c r="I630" s="255">
        <f>SUM(C630:H630)</f>
        <v>0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0</v>
      </c>
      <c r="D631" s="255">
        <f>(D616/D613)*BA91</f>
        <v>0</v>
      </c>
      <c r="E631" s="257">
        <f>(E624/E613)*SUM(C631:D631)</f>
        <v>0</v>
      </c>
      <c r="F631" s="257">
        <f>(F625/F613)*BA65</f>
        <v>0</v>
      </c>
      <c r="G631" s="255">
        <f>(G626/G613)*BA92</f>
        <v>0</v>
      </c>
      <c r="H631" s="257">
        <f>(H629/H613)*BA61</f>
        <v>0</v>
      </c>
      <c r="I631" s="255">
        <f>(I630/I613)*BA93</f>
        <v>0</v>
      </c>
      <c r="J631" s="255">
        <f>SUM(C631:I631)</f>
        <v>0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675688.52</v>
      </c>
      <c r="D632" s="255">
        <f>(D616/D613)*AW91</f>
        <v>0</v>
      </c>
      <c r="E632" s="257">
        <f>(E624/E613)*SUM(C632:D632)</f>
        <v>236473.38014575827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1700935.26</v>
      </c>
      <c r="D633" s="255">
        <f>(D616/D613)*BB91</f>
        <v>14372.435291162197</v>
      </c>
      <c r="E633" s="257">
        <f>(E624/E613)*SUM(C633:D633)</f>
        <v>600313.00915920769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0</v>
      </c>
      <c r="D636" s="255">
        <f>(D616/D613)*BK91</f>
        <v>0</v>
      </c>
      <c r="E636" s="257">
        <f>(E624/E613)*SUM(C636:D636)</f>
        <v>0</v>
      </c>
      <c r="F636" s="257">
        <f>(F625/F613)*BK65</f>
        <v>0</v>
      </c>
      <c r="G636" s="255">
        <f>(G626/G613)*BK92</f>
        <v>0</v>
      </c>
      <c r="H636" s="257">
        <f>(H629/H613)*BK61</f>
        <v>0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0</v>
      </c>
      <c r="D637" s="255">
        <f>(D616/D613)*BH91</f>
        <v>0</v>
      </c>
      <c r="E637" s="257">
        <f>(E624/E613)*SUM(C637:D637)</f>
        <v>0</v>
      </c>
      <c r="F637" s="257">
        <f>(F625/F613)*BH65</f>
        <v>0</v>
      </c>
      <c r="G637" s="255">
        <f>(G626/G613)*BH92</f>
        <v>0</v>
      </c>
      <c r="H637" s="257">
        <f>(H629/H613)*BH61</f>
        <v>0</v>
      </c>
      <c r="I637" s="255">
        <f>(I630/I613)*BH93</f>
        <v>0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2011684.0099999998</v>
      </c>
      <c r="D638" s="255">
        <f>(D616/D613)*BL91</f>
        <v>0</v>
      </c>
      <c r="E638" s="257">
        <f>(E624/E613)*SUM(C638:D638)</f>
        <v>704036.9986304834</v>
      </c>
      <c r="F638" s="257">
        <f>(F625/F613)*BL65</f>
        <v>0</v>
      </c>
      <c r="G638" s="255">
        <f>(G626/G613)*BL92</f>
        <v>0</v>
      </c>
      <c r="H638" s="257">
        <f>(H629/H613)*BL61</f>
        <v>0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0</v>
      </c>
      <c r="D643" s="255">
        <f>(D616/D613)*BV91</f>
        <v>0</v>
      </c>
      <c r="E643" s="257">
        <f>(E624/E613)*SUM(C643:D643)</f>
        <v>0</v>
      </c>
      <c r="F643" s="257">
        <f>(F625/F613)*BV65</f>
        <v>0</v>
      </c>
      <c r="G643" s="255">
        <f>(G626/G613)*BV92</f>
        <v>0</v>
      </c>
      <c r="H643" s="257">
        <f>(H629/H613)*BV61</f>
        <v>0</v>
      </c>
      <c r="I643" s="255">
        <f>(I630/I613)*BV93</f>
        <v>0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614690.27000000014</v>
      </c>
      <c r="D645" s="255">
        <f>(D616/D613)*BX91</f>
        <v>5354.5139706971986</v>
      </c>
      <c r="E645" s="257">
        <f>(E624/E613)*SUM(C645:D645)</f>
        <v>216999.52206868524</v>
      </c>
      <c r="F645" s="257">
        <f>(F625/F613)*BX65</f>
        <v>0</v>
      </c>
      <c r="G645" s="255">
        <f>(G626/G613)*BX92</f>
        <v>0</v>
      </c>
      <c r="H645" s="257">
        <f>(H629/H613)*BX61</f>
        <v>0</v>
      </c>
      <c r="I645" s="255">
        <f>(I630/I613)*BX93</f>
        <v>0</v>
      </c>
      <c r="J645" s="255">
        <f>(J631/J613)*BX94</f>
        <v>0</v>
      </c>
      <c r="K645" s="257">
        <f>SUM(C632:J645)</f>
        <v>6780547.9192659948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979458.96999999986</v>
      </c>
      <c r="D646" s="255">
        <f>(D616/D613)*BY91</f>
        <v>0</v>
      </c>
      <c r="E646" s="257">
        <f>(E624/E613)*SUM(C646:D646)</f>
        <v>342785.12434987474</v>
      </c>
      <c r="F646" s="257">
        <f>(F625/F613)*BY65</f>
        <v>0</v>
      </c>
      <c r="G646" s="255">
        <f>(G626/G613)*BY92</f>
        <v>0</v>
      </c>
      <c r="H646" s="257">
        <f>(H629/H613)*BY61</f>
        <v>0</v>
      </c>
      <c r="I646" s="255">
        <f>(I630/I613)*BY93</f>
        <v>0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2374168.75</v>
      </c>
      <c r="D647" s="255">
        <f>(D616/D613)*BZ91</f>
        <v>0</v>
      </c>
      <c r="E647" s="257">
        <f>(E624/E613)*SUM(C647:D647)</f>
        <v>830897.21481272124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4527310.0591625962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87087999.530000016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7158135.6999999993</v>
      </c>
      <c r="D669" s="255">
        <f>(D616/D613)*C91</f>
        <v>1107174.206077385</v>
      </c>
      <c r="E669" s="257">
        <f>(E624/E613)*SUM(C669:D669)</f>
        <v>2892643.1537453658</v>
      </c>
      <c r="F669" s="257">
        <f>(F625/F613)*C65</f>
        <v>0</v>
      </c>
      <c r="G669" s="255">
        <f>(G626/G613)*C92</f>
        <v>-7659.4789687975353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219544.70125236275</v>
      </c>
      <c r="L669" s="255">
        <f>(L648/L613)*C95</f>
        <v>655478.6952615584</v>
      </c>
      <c r="M669" s="231">
        <f t="shared" ref="M669:M714" si="18">ROUND(SUM(D669:L669),0)</f>
        <v>4867181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12453120.309999999</v>
      </c>
      <c r="D671" s="255">
        <f>(D616/D613)*E91</f>
        <v>2380928.9842721047</v>
      </c>
      <c r="E671" s="257">
        <f>(E624/E613)*SUM(C671:D671)</f>
        <v>5191530.8223163597</v>
      </c>
      <c r="F671" s="257">
        <f>(F625/F613)*E65</f>
        <v>0</v>
      </c>
      <c r="G671" s="255">
        <f>(G626/G613)*E92</f>
        <v>-27556.284147686671</v>
      </c>
      <c r="H671" s="257">
        <f>(H629/H613)*E61</f>
        <v>0</v>
      </c>
      <c r="I671" s="255">
        <f>(I630/I613)*E93</f>
        <v>0</v>
      </c>
      <c r="J671" s="255">
        <f>(J631/J613)*E94</f>
        <v>0</v>
      </c>
      <c r="K671" s="255">
        <f>(K645/K613)*E90</f>
        <v>504575.36440643069</v>
      </c>
      <c r="L671" s="255">
        <f>(L648/L613)*E95</f>
        <v>1373750.8278825346</v>
      </c>
      <c r="M671" s="231">
        <f t="shared" si="18"/>
        <v>9423230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8"/>
        <v>0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14887059.050000001</v>
      </c>
      <c r="D682" s="255">
        <f>(D616/D613)*P91</f>
        <v>440052.02549032436</v>
      </c>
      <c r="E682" s="257">
        <f>(E624/E613)*SUM(C682:D682)</f>
        <v>5364089.6013605287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>
        <f>(I630/I613)*P93</f>
        <v>0</v>
      </c>
      <c r="J682" s="255">
        <f>(J631/J613)*P94</f>
        <v>0</v>
      </c>
      <c r="K682" s="255">
        <f>(K645/K613)*P90</f>
        <v>1870658.083928087</v>
      </c>
      <c r="L682" s="255">
        <f>(L648/L613)*P95</f>
        <v>512231.08431019087</v>
      </c>
      <c r="M682" s="231">
        <f t="shared" si="18"/>
        <v>8187031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0</v>
      </c>
      <c r="L683" s="255">
        <f>(L648/L613)*Q95</f>
        <v>0</v>
      </c>
      <c r="M683" s="231">
        <f t="shared" si="18"/>
        <v>0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-10.098192444031028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-10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0</v>
      </c>
      <c r="D685" s="255">
        <f>(D616/D613)*S91</f>
        <v>0</v>
      </c>
      <c r="E685" s="257">
        <f>(E624/E613)*SUM(C685:D685)</f>
        <v>0</v>
      </c>
      <c r="F685" s="257">
        <f>(F625/F613)*S65</f>
        <v>0</v>
      </c>
      <c r="G685" s="255">
        <f>(G626/G613)*S92</f>
        <v>0</v>
      </c>
      <c r="H685" s="257">
        <f>(H629/H613)*S61</f>
        <v>0</v>
      </c>
      <c r="I685" s="255">
        <f>(I630/I613)*S93</f>
        <v>0</v>
      </c>
      <c r="J685" s="255">
        <f>(J631/J613)*S94</f>
        <v>0</v>
      </c>
      <c r="K685" s="255">
        <f>(K645/K613)*S90</f>
        <v>0</v>
      </c>
      <c r="L685" s="255">
        <f>(L648/L613)*S95</f>
        <v>0</v>
      </c>
      <c r="M685" s="231">
        <f t="shared" si="18"/>
        <v>0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6478531.040000001</v>
      </c>
      <c r="D686" s="255">
        <f>(D616/D613)*T91</f>
        <v>123233.97478670119</v>
      </c>
      <c r="E686" s="257">
        <f>(E624/E613)*SUM(C686:D686)</f>
        <v>2310445.7775523895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100630.21591742682</v>
      </c>
      <c r="L686" s="255">
        <f>(L648/L613)*T95</f>
        <v>310733.10136334418</v>
      </c>
      <c r="M686" s="231">
        <f t="shared" si="18"/>
        <v>2845043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0</v>
      </c>
      <c r="D687" s="255">
        <f>(D616/D613)*U91</f>
        <v>0</v>
      </c>
      <c r="E687" s="257">
        <f>(E624/E613)*SUM(C687:D687)</f>
        <v>0</v>
      </c>
      <c r="F687" s="257">
        <f>(F625/F613)*U65</f>
        <v>0</v>
      </c>
      <c r="G687" s="255">
        <f>(G626/G613)*U92</f>
        <v>0</v>
      </c>
      <c r="H687" s="257">
        <f>(H629/H613)*U61</f>
        <v>0</v>
      </c>
      <c r="I687" s="255">
        <f>(I630/I613)*U93</f>
        <v>0</v>
      </c>
      <c r="J687" s="255">
        <f>(J631/J613)*U94</f>
        <v>0</v>
      </c>
      <c r="K687" s="255">
        <f>(K645/K613)*U90</f>
        <v>307860.85643084161</v>
      </c>
      <c r="L687" s="255">
        <f>(L648/L613)*U95</f>
        <v>0</v>
      </c>
      <c r="M687" s="231">
        <f t="shared" si="18"/>
        <v>307861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5430</v>
      </c>
      <c r="D688" s="255">
        <f>(D616/D613)*V91</f>
        <v>0</v>
      </c>
      <c r="E688" s="257">
        <f>(E624/E613)*SUM(C688:D688)</f>
        <v>1900.358547147534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5507.927682879631</v>
      </c>
      <c r="L688" s="255">
        <f>(L648/L613)*V95</f>
        <v>0</v>
      </c>
      <c r="M688" s="231">
        <f t="shared" si="18"/>
        <v>7408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142539.91014626611</v>
      </c>
      <c r="L689" s="255">
        <f>(L648/L613)*W95</f>
        <v>0</v>
      </c>
      <c r="M689" s="231">
        <f t="shared" si="18"/>
        <v>142540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-7951.76</v>
      </c>
      <c r="D690" s="255">
        <f>(D616/D613)*X91</f>
        <v>0</v>
      </c>
      <c r="E690" s="257">
        <f>(E624/E613)*SUM(C690:D690)</f>
        <v>-2782.9088546714315</v>
      </c>
      <c r="F690" s="257">
        <f>(F625/F613)*X65</f>
        <v>0</v>
      </c>
      <c r="G690" s="255">
        <f>(G626/G613)*X92</f>
        <v>0</v>
      </c>
      <c r="H690" s="257">
        <f>(H629/H613)*X61</f>
        <v>0</v>
      </c>
      <c r="I690" s="255">
        <f>(I630/I613)*X93</f>
        <v>0</v>
      </c>
      <c r="J690" s="255">
        <f>(J631/J613)*X94</f>
        <v>0</v>
      </c>
      <c r="K690" s="255">
        <f>(K645/K613)*X90</f>
        <v>83438.855770373717</v>
      </c>
      <c r="L690" s="255">
        <f>(L648/L613)*X95</f>
        <v>0</v>
      </c>
      <c r="M690" s="231">
        <f t="shared" si="18"/>
        <v>80656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331072.44</v>
      </c>
      <c r="D691" s="255">
        <f>(D616/D613)*Y91</f>
        <v>0</v>
      </c>
      <c r="E691" s="257">
        <f>(E624/E613)*SUM(C691:D691)</f>
        <v>115866.72948047682</v>
      </c>
      <c r="F691" s="257">
        <f>(F625/F613)*Y65</f>
        <v>0</v>
      </c>
      <c r="G691" s="255">
        <f>(G626/G613)*Y92</f>
        <v>0</v>
      </c>
      <c r="H691" s="257">
        <f>(H629/H613)*Y61</f>
        <v>0</v>
      </c>
      <c r="I691" s="255">
        <f>(I630/I613)*Y93</f>
        <v>0</v>
      </c>
      <c r="J691" s="255">
        <f>(J631/J613)*Y94</f>
        <v>0</v>
      </c>
      <c r="K691" s="255">
        <f>(K645/K613)*Y90</f>
        <v>229053.35850893703</v>
      </c>
      <c r="L691" s="255">
        <f>(L648/L613)*Y95</f>
        <v>0</v>
      </c>
      <c r="M691" s="231">
        <f t="shared" si="18"/>
        <v>344920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14230.237618280051</v>
      </c>
      <c r="L692" s="255">
        <f>(L648/L613)*Z95</f>
        <v>0</v>
      </c>
      <c r="M692" s="231">
        <f t="shared" si="18"/>
        <v>14230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79</v>
      </c>
      <c r="D693" s="255">
        <f>(D616/D613)*AA91</f>
        <v>0</v>
      </c>
      <c r="E693" s="257">
        <f>(E624/E613)*SUM(C693:D693)</f>
        <v>27.647942030323236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9711.0961892497398</v>
      </c>
      <c r="L693" s="255">
        <f>(L648/L613)*AA95</f>
        <v>0</v>
      </c>
      <c r="M693" s="231">
        <f t="shared" si="18"/>
        <v>9739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17397793.940000001</v>
      </c>
      <c r="D694" s="255">
        <f>(D616/D613)*AB91</f>
        <v>121967.94430553146</v>
      </c>
      <c r="E694" s="257">
        <f>(E624/E613)*SUM(C694:D694)</f>
        <v>6131460.2653461518</v>
      </c>
      <c r="F694" s="257">
        <f>(F625/F613)*AB65</f>
        <v>0</v>
      </c>
      <c r="G694" s="255">
        <f>(G626/G613)*AB92</f>
        <v>0</v>
      </c>
      <c r="H694" s="257">
        <f>(H629/H613)*AB61</f>
        <v>0</v>
      </c>
      <c r="I694" s="255">
        <f>(I630/I613)*AB93</f>
        <v>0</v>
      </c>
      <c r="J694" s="255">
        <f>(J631/J613)*AB94</f>
        <v>0</v>
      </c>
      <c r="K694" s="255">
        <f>(K645/K613)*AB90</f>
        <v>641510.44076317328</v>
      </c>
      <c r="L694" s="255">
        <f>(L648/L613)*AB95</f>
        <v>0</v>
      </c>
      <c r="M694" s="231">
        <f t="shared" si="18"/>
        <v>6894939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2775485.08</v>
      </c>
      <c r="D695" s="255">
        <f>(D616/D613)*AC91</f>
        <v>34935.739925377115</v>
      </c>
      <c r="E695" s="257">
        <f>(E624/E613)*SUM(C695:D695)</f>
        <v>983574.07481152308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>
        <f>(I630/I613)*AC93</f>
        <v>0</v>
      </c>
      <c r="J695" s="255">
        <f>(J631/J613)*AC94</f>
        <v>0</v>
      </c>
      <c r="K695" s="255">
        <f>(K645/K613)*AC90</f>
        <v>112337.17935409758</v>
      </c>
      <c r="L695" s="255">
        <f>(L648/L613)*AC95</f>
        <v>272.48555160108248</v>
      </c>
      <c r="M695" s="231">
        <f t="shared" si="18"/>
        <v>1131119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2781221.35</v>
      </c>
      <c r="D697" s="255">
        <f>(D616/D613)*AE91</f>
        <v>0</v>
      </c>
      <c r="E697" s="257">
        <f>(E624/E613)*SUM(C697:D697)</f>
        <v>973355.02099110547</v>
      </c>
      <c r="F697" s="257">
        <f>(F625/F613)*AE65</f>
        <v>0</v>
      </c>
      <c r="G697" s="255">
        <f>(G626/G613)*AE92</f>
        <v>0</v>
      </c>
      <c r="H697" s="257">
        <f>(H629/H613)*AE61</f>
        <v>0</v>
      </c>
      <c r="I697" s="255">
        <f>(I630/I613)*AE93</f>
        <v>0</v>
      </c>
      <c r="J697" s="255">
        <f>(J631/J613)*AE94</f>
        <v>0</v>
      </c>
      <c r="K697" s="255">
        <f>(K645/K613)*AE90</f>
        <v>59003.892116368086</v>
      </c>
      <c r="L697" s="255">
        <f>(L648/L613)*AE95</f>
        <v>0</v>
      </c>
      <c r="M697" s="231">
        <f t="shared" si="18"/>
        <v>1032359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16485418.52</v>
      </c>
      <c r="D699" s="255">
        <f>(D616/D613)*AG91</f>
        <v>1135103.0881503089</v>
      </c>
      <c r="E699" s="257">
        <f>(E624/E613)*SUM(C699:D699)</f>
        <v>6166723.5438759197</v>
      </c>
      <c r="F699" s="257">
        <f>(F625/F613)*AG65</f>
        <v>0</v>
      </c>
      <c r="G699" s="255">
        <f>(G626/G613)*AG92</f>
        <v>-2670.9719014462071</v>
      </c>
      <c r="H699" s="257">
        <f>(H629/H613)*AG61</f>
        <v>0</v>
      </c>
      <c r="I699" s="255">
        <f>(I630/I613)*AG93</f>
        <v>0</v>
      </c>
      <c r="J699" s="255">
        <f>(J631/J613)*AG94</f>
        <v>0</v>
      </c>
      <c r="K699" s="255">
        <f>(K645/K613)*AG90</f>
        <v>1051353.6938751661</v>
      </c>
      <c r="L699" s="255">
        <f>(L648/L613)*AG95</f>
        <v>759559.75985304627</v>
      </c>
      <c r="M699" s="231">
        <f t="shared" si="18"/>
        <v>9110069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56522607.930000007</v>
      </c>
      <c r="D702" s="255">
        <f>(D616/D613)*AJ91</f>
        <v>162326.19724405577</v>
      </c>
      <c r="E702" s="257">
        <f>(E624/E613)*SUM(C702:D702)</f>
        <v>19838250.287882723</v>
      </c>
      <c r="F702" s="257">
        <f>(F625/F613)*AJ65</f>
        <v>0</v>
      </c>
      <c r="G702" s="255">
        <f>(G626/G613)*AJ92</f>
        <v>0</v>
      </c>
      <c r="H702" s="257">
        <f>(H629/H613)*AJ61</f>
        <v>0</v>
      </c>
      <c r="I702" s="255">
        <f>(I630/I613)*AJ93</f>
        <v>0</v>
      </c>
      <c r="J702" s="255">
        <f>(J631/J613)*AJ94</f>
        <v>0</v>
      </c>
      <c r="K702" s="255">
        <f>(K645/K613)*AJ90</f>
        <v>717746.87187455932</v>
      </c>
      <c r="L702" s="255">
        <f>(L648/L613)*AJ95</f>
        <v>582804.18637330306</v>
      </c>
      <c r="M702" s="231">
        <f t="shared" si="18"/>
        <v>21301128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4913470.5699999994</v>
      </c>
      <c r="D703" s="255">
        <f>(D616/D613)*AK91</f>
        <v>0</v>
      </c>
      <c r="E703" s="257">
        <f>(E624/E613)*SUM(C703:D703)</f>
        <v>1719586.7023678387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102148.69481170765</v>
      </c>
      <c r="L703" s="255">
        <f>(L648/L613)*AK95</f>
        <v>32947.689388581428</v>
      </c>
      <c r="M703" s="231">
        <f t="shared" si="18"/>
        <v>1854683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2467895.7700000005</v>
      </c>
      <c r="D704" s="255">
        <f>(D616/D613)*AL91</f>
        <v>0</v>
      </c>
      <c r="E704" s="257">
        <f>(E624/E613)*SUM(C704:D704)</f>
        <v>863699.23020050558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47623.588869755564</v>
      </c>
      <c r="L704" s="255">
        <f>(L648/L613)*AL95</f>
        <v>0</v>
      </c>
      <c r="M704" s="231">
        <f t="shared" si="18"/>
        <v>911323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50554275.819999993</v>
      </c>
      <c r="D714" s="255">
        <f>(D616/D613)*AV91</f>
        <v>51309.383750863693</v>
      </c>
      <c r="E714" s="257">
        <f>(E624/E613)*SUM(C714:D714)</f>
        <v>17710636.533213761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561072.94975003216</v>
      </c>
      <c r="L714" s="255">
        <f>(L648/L613)*AV95</f>
        <v>299532.2291784361</v>
      </c>
      <c r="M714" s="231">
        <f t="shared" si="18"/>
        <v>18622551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282291644.29000002</v>
      </c>
      <c r="D716" s="231">
        <f>SUM(D617:D648)+SUM(D669:D714)</f>
        <v>11906110.349999998</v>
      </c>
      <c r="E716" s="231">
        <f>SUM(E625:E648)+SUM(E669:E714)</f>
        <v>73182687.526735514</v>
      </c>
      <c r="F716" s="231">
        <f>SUM(F626:F649)+SUM(F669:F714)</f>
        <v>0</v>
      </c>
      <c r="G716" s="231">
        <f>SUM(G627:G648)+SUM(G669:G714)</f>
        <v>-37896.83321037444</v>
      </c>
      <c r="H716" s="231">
        <f>SUM(H630:H648)+SUM(H669:H714)</f>
        <v>0</v>
      </c>
      <c r="I716" s="231">
        <f>SUM(I631:I648)+SUM(I669:I714)</f>
        <v>0</v>
      </c>
      <c r="J716" s="231">
        <f>SUM(J632:J648)+SUM(J669:J714)</f>
        <v>0</v>
      </c>
      <c r="K716" s="231">
        <f>SUM(K669:K714)</f>
        <v>6780547.9192659939</v>
      </c>
      <c r="L716" s="231">
        <f>SUM(L669:L714)</f>
        <v>4527310.0591625962</v>
      </c>
      <c r="M716" s="231">
        <f>SUM(M669:M714)</f>
        <v>87088000</v>
      </c>
      <c r="N716" s="249" t="s">
        <v>669</v>
      </c>
    </row>
    <row r="717" spans="1:14" s="231" customFormat="1" ht="12.65" customHeight="1" x14ac:dyDescent="0.3">
      <c r="C717" s="252">
        <f>CE86</f>
        <v>282291644.29000002</v>
      </c>
      <c r="D717" s="231">
        <f>D616</f>
        <v>11906110.35</v>
      </c>
      <c r="E717" s="231">
        <f>E624</f>
        <v>73182687.5267355</v>
      </c>
      <c r="F717" s="231">
        <f>F625</f>
        <v>0</v>
      </c>
      <c r="G717" s="231">
        <f>G626</f>
        <v>-37896.833210374447</v>
      </c>
      <c r="H717" s="231">
        <f>H629</f>
        <v>0</v>
      </c>
      <c r="I717" s="231">
        <f>I630</f>
        <v>0</v>
      </c>
      <c r="J717" s="231">
        <f>J631</f>
        <v>0</v>
      </c>
      <c r="K717" s="231">
        <f>K645</f>
        <v>6780547.9192659948</v>
      </c>
      <c r="L717" s="231">
        <f>L648</f>
        <v>4527310.0591625962</v>
      </c>
      <c r="M717" s="231">
        <f>C649</f>
        <v>87087999.530000016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175</v>
      </c>
      <c r="C2" s="12" t="str">
        <f>SUBSTITUTE(LEFT(data!C98,49),",","")</f>
        <v>Mary Bridge Children's Hospital</v>
      </c>
      <c r="D2" s="12" t="str">
        <f>LEFT(data!C99,49)</f>
        <v>311 South L Street</v>
      </c>
      <c r="E2" s="12" t="str">
        <f>RIGHT(data!C100,100)</f>
        <v>Tacoma</v>
      </c>
      <c r="F2" s="12" t="str">
        <f>RIGHT(data!C101,100)</f>
        <v>WA</v>
      </c>
      <c r="G2" s="12" t="str">
        <f>RIGHT(data!C102,100)</f>
        <v>98405</v>
      </c>
      <c r="H2" s="12" t="str">
        <f>RIGHT(data!C103,100)</f>
        <v>Pierce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(253) 403-1000</v>
      </c>
      <c r="L2" s="12" t="str">
        <f>LEFT(data!C107,49)</f>
        <v>(253) 403-1000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175</v>
      </c>
      <c r="B2" s="224" t="str">
        <f>RIGHT(data!C96,4)</f>
        <v>2022</v>
      </c>
      <c r="C2" s="16" t="s">
        <v>1123</v>
      </c>
      <c r="D2" s="223">
        <f>ROUND(data!C181,0)</f>
        <v>8952027</v>
      </c>
      <c r="E2" s="223">
        <f>ROUND(data!C182,0)</f>
        <v>0</v>
      </c>
      <c r="F2" s="223">
        <f>ROUND(data!C183,0)</f>
        <v>0</v>
      </c>
      <c r="G2" s="223">
        <f>ROUND(data!C184,0)</f>
        <v>12627476</v>
      </c>
      <c r="H2" s="223">
        <f>ROUND(data!C185,0)</f>
        <v>0</v>
      </c>
      <c r="I2" s="223">
        <f>ROUND(data!C186,0)</f>
        <v>0</v>
      </c>
      <c r="J2" s="223">
        <f>ROUND(data!C187+data!C188,0)</f>
        <v>5203230</v>
      </c>
      <c r="K2" s="223">
        <f>ROUND(data!C191,0)</f>
        <v>6022194</v>
      </c>
      <c r="L2" s="223">
        <f>ROUND(data!C192,0)</f>
        <v>18335</v>
      </c>
      <c r="M2" s="223">
        <f>ROUND(data!C195,0)</f>
        <v>5598567</v>
      </c>
      <c r="N2" s="223">
        <f>ROUND(data!C196,0)</f>
        <v>0</v>
      </c>
      <c r="O2" s="223">
        <f>ROUND(data!C199,0)</f>
        <v>255854</v>
      </c>
      <c r="P2" s="223">
        <f>ROUND(data!C200,0)</f>
        <v>3524184</v>
      </c>
      <c r="Q2" s="223">
        <f>ROUND(data!C201,0)</f>
        <v>0</v>
      </c>
      <c r="R2" s="223">
        <f>ROUND(data!C204,0)</f>
        <v>0</v>
      </c>
      <c r="S2" s="223">
        <f>ROUND(data!C205,0)</f>
        <v>2724284</v>
      </c>
      <c r="T2" s="223">
        <f>ROUND(data!B211,0)</f>
        <v>774202</v>
      </c>
      <c r="U2" s="223">
        <f>ROUND(data!C211,0)</f>
        <v>0</v>
      </c>
      <c r="V2" s="223">
        <f>ROUND(data!D211,0)</f>
        <v>0</v>
      </c>
      <c r="W2" s="223">
        <f>ROUND(data!B212,0)</f>
        <v>472407</v>
      </c>
      <c r="X2" s="223">
        <f>ROUND(data!C212,0)</f>
        <v>0</v>
      </c>
      <c r="Y2" s="223">
        <f>ROUND(data!D212,0)</f>
        <v>0</v>
      </c>
      <c r="Z2" s="223">
        <f>ROUND(data!B213,0)</f>
        <v>140656008</v>
      </c>
      <c r="AA2" s="223">
        <f>ROUND(data!C213,0)</f>
        <v>893702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2442391</v>
      </c>
      <c r="AG2" s="223">
        <f>ROUND(data!C215,0)</f>
        <v>51480</v>
      </c>
      <c r="AH2" s="223">
        <f>ROUND(data!D215,0)</f>
        <v>0</v>
      </c>
      <c r="AI2" s="223">
        <f>ROUND(data!B216,0)</f>
        <v>39019486</v>
      </c>
      <c r="AJ2" s="223">
        <f>ROUND(data!C216,0)</f>
        <v>2487022</v>
      </c>
      <c r="AK2" s="223">
        <f>ROUND(data!D216,0)</f>
        <v>3925360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10987023</v>
      </c>
      <c r="AP2" s="223">
        <f>ROUND(data!C218,0)</f>
        <v>4765030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415820</v>
      </c>
      <c r="AY2" s="223">
        <f>ROUND(data!C225,0)</f>
        <v>9947</v>
      </c>
      <c r="AZ2" s="223">
        <f>ROUND(data!D225,0)</f>
        <v>0</v>
      </c>
      <c r="BA2" s="223">
        <f>ROUND(data!B226,0)</f>
        <v>56264368</v>
      </c>
      <c r="BB2" s="223">
        <f>ROUND(data!C226,0)</f>
        <v>1896775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2270686</v>
      </c>
      <c r="BH2" s="223">
        <f>ROUND(data!C228,0)</f>
        <v>68405</v>
      </c>
      <c r="BI2" s="223">
        <f>ROUND(data!D228,0)</f>
        <v>0</v>
      </c>
      <c r="BJ2" s="223">
        <f>ROUND(data!B229,0)</f>
        <v>29559530</v>
      </c>
      <c r="BK2" s="223">
        <f>ROUND(data!C229,0)</f>
        <v>1875365</v>
      </c>
      <c r="BL2" s="223">
        <f>ROUND(data!D229,0)</f>
        <v>3571848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4155547</v>
      </c>
      <c r="BQ2" s="223">
        <f>ROUND(data!C231,0)</f>
        <v>1987741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86073</v>
      </c>
      <c r="BW2" s="223">
        <f>ROUND(data!C240,0)</f>
        <v>353355435</v>
      </c>
      <c r="BX2" s="223">
        <f>ROUND(data!C241,0)</f>
        <v>172382</v>
      </c>
      <c r="BY2" s="223">
        <f>ROUND(data!C242,0)</f>
        <v>66899284</v>
      </c>
      <c r="BZ2" s="223">
        <f>ROUND(data!C243,0)</f>
        <v>0</v>
      </c>
      <c r="CA2" s="223">
        <f>ROUND(data!C244,0)</f>
        <v>196947017</v>
      </c>
      <c r="CB2" s="223">
        <f>ROUND(data!C247,0)</f>
        <v>2943</v>
      </c>
      <c r="CC2" s="223">
        <f>ROUND(data!C249,0)</f>
        <v>1558057</v>
      </c>
      <c r="CD2" s="223">
        <f>ROUND(data!C250,0)</f>
        <v>3856036</v>
      </c>
      <c r="CE2" s="223">
        <f>ROUND(data!C254+data!C255,0)</f>
        <v>5917113</v>
      </c>
      <c r="CF2" s="223">
        <f>data!D237</f>
        <v>8343628.9400000004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175</v>
      </c>
      <c r="B2" s="16" t="str">
        <f>RIGHT(data!C96,4)</f>
        <v>2022</v>
      </c>
      <c r="C2" s="16" t="s">
        <v>1123</v>
      </c>
      <c r="D2" s="222">
        <f>ROUND(data!C127,0)</f>
        <v>4284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16051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22</v>
      </c>
      <c r="M2" s="222">
        <f>ROUND(data!C133,0)</f>
        <v>0</v>
      </c>
      <c r="N2" s="222">
        <f>ROUND(data!C134,0)</f>
        <v>60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82</v>
      </c>
      <c r="X2" s="222">
        <f>ROUND(data!C145,0)</f>
        <v>0</v>
      </c>
      <c r="Y2" s="222">
        <f>ROUND(data!B154,0)</f>
        <v>0</v>
      </c>
      <c r="Z2" s="222">
        <f>ROUND(data!B155,0)</f>
        <v>0</v>
      </c>
      <c r="AA2" s="222">
        <f>ROUND(data!B156,0)</f>
        <v>154</v>
      </c>
      <c r="AB2" s="222">
        <f>ROUND(data!B157,0)</f>
        <v>40651</v>
      </c>
      <c r="AC2" s="222">
        <f>ROUND(data!B158,0)</f>
        <v>100608</v>
      </c>
      <c r="AD2" s="222">
        <f>ROUND(data!C154,0)</f>
        <v>2447</v>
      </c>
      <c r="AE2" s="222">
        <f>ROUND(data!C155,0)</f>
        <v>10795</v>
      </c>
      <c r="AF2" s="222">
        <f>ROUND(data!C156,0)</f>
        <v>77739</v>
      </c>
      <c r="AG2" s="222">
        <f>ROUND(data!C157,0)</f>
        <v>166886080</v>
      </c>
      <c r="AH2" s="222">
        <f>ROUND(data!C158,0)</f>
        <v>413026410</v>
      </c>
      <c r="AI2" s="222">
        <f>ROUND(data!D154,0)</f>
        <v>1837</v>
      </c>
      <c r="AJ2" s="222">
        <f>ROUND(data!D155,0)</f>
        <v>5256</v>
      </c>
      <c r="AK2" s="222">
        <f>ROUND(data!D156,0)</f>
        <v>60972</v>
      </c>
      <c r="AL2" s="222">
        <f>ROUND(data!D157,0)</f>
        <v>124693266</v>
      </c>
      <c r="AM2" s="222">
        <f>ROUND(data!D158,0)</f>
        <v>308603402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175</v>
      </c>
      <c r="B2" s="224" t="str">
        <f>RIGHT(data!C96,4)</f>
        <v>2022</v>
      </c>
      <c r="C2" s="16" t="s">
        <v>1123</v>
      </c>
      <c r="D2" s="222">
        <f>ROUND(data!C266,0)</f>
        <v>658994903</v>
      </c>
      <c r="E2" s="222">
        <f>ROUND(data!C267,0)</f>
        <v>0</v>
      </c>
      <c r="F2" s="222">
        <f>ROUND(data!C268,0)</f>
        <v>56336217</v>
      </c>
      <c r="G2" s="222">
        <f>ROUND(data!C269,0)</f>
        <v>7062299</v>
      </c>
      <c r="H2" s="222">
        <f>ROUND(data!C270,0)</f>
        <v>0</v>
      </c>
      <c r="I2" s="222">
        <f>ROUND(data!C271,0)</f>
        <v>493175</v>
      </c>
      <c r="J2" s="222">
        <f>ROUND(data!C272,0)</f>
        <v>0</v>
      </c>
      <c r="K2" s="222">
        <f>ROUND(data!C273,0)</f>
        <v>1384764</v>
      </c>
      <c r="L2" s="222">
        <f>ROUND(data!C274,0)</f>
        <v>1226359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774202</v>
      </c>
      <c r="R2" s="222">
        <f>ROUND(data!C284,0)</f>
        <v>472407</v>
      </c>
      <c r="S2" s="222">
        <f>ROUND(data!C285,0)</f>
        <v>141549710</v>
      </c>
      <c r="T2" s="222">
        <f>ROUND(data!C286,0)</f>
        <v>0</v>
      </c>
      <c r="U2" s="222">
        <f>ROUND(data!C287,0)</f>
        <v>2493871</v>
      </c>
      <c r="V2" s="222">
        <f>ROUND(data!C288,0)</f>
        <v>37581149</v>
      </c>
      <c r="W2" s="222">
        <f>ROUND(data!C289,0)</f>
        <v>15752053</v>
      </c>
      <c r="X2" s="222">
        <f>ROUND(data!C290,0)</f>
        <v>0</v>
      </c>
      <c r="Y2" s="222">
        <f>ROUND(data!C291,0)</f>
        <v>0</v>
      </c>
      <c r="Z2" s="222">
        <f>ROUND(data!C292,0)</f>
        <v>94932337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838485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1454607</v>
      </c>
      <c r="AK2" s="222">
        <f>ROUND(data!C316,0)</f>
        <v>45982</v>
      </c>
      <c r="AL2" s="222">
        <f>ROUND(data!C317,0)</f>
        <v>2586753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811815316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1002.76</v>
      </c>
      <c r="BL2" s="222">
        <f>ROUND(data!C358,0)</f>
        <v>291619998</v>
      </c>
      <c r="BM2" s="222">
        <f>ROUND(data!C359,0)</f>
        <v>721730419</v>
      </c>
      <c r="BN2" s="222">
        <f>ROUND(data!C363,0)</f>
        <v>623377304</v>
      </c>
      <c r="BO2" s="222">
        <f>ROUND(data!C364,0)</f>
        <v>5414093</v>
      </c>
      <c r="BP2" s="222">
        <f>ROUND(data!C365,0)</f>
        <v>0</v>
      </c>
      <c r="BQ2" s="222">
        <f>ROUND(data!D381,0)</f>
        <v>16111456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16111456</v>
      </c>
      <c r="CC2" s="222">
        <f>ROUND(data!C382,0)</f>
        <v>0</v>
      </c>
      <c r="CD2" s="222">
        <f>ROUND(data!C389,0)</f>
        <v>148536490</v>
      </c>
      <c r="CE2" s="222">
        <f>ROUND(data!C390,0)</f>
        <v>26782856</v>
      </c>
      <c r="CF2" s="222">
        <f>ROUND(data!C391,0)</f>
        <v>14342306</v>
      </c>
      <c r="CG2" s="222">
        <f>ROUND(data!C392,0)</f>
        <v>30218671</v>
      </c>
      <c r="CH2" s="222">
        <f>ROUND(data!C393,0)</f>
        <v>1100896</v>
      </c>
      <c r="CI2" s="222">
        <f>ROUND(data!C394,0)</f>
        <v>126098517</v>
      </c>
      <c r="CJ2" s="222">
        <f>ROUND(data!C395,0)</f>
        <v>8229301</v>
      </c>
      <c r="CK2" s="222">
        <f>ROUND(data!C396,0)</f>
        <v>6040529</v>
      </c>
      <c r="CL2" s="222">
        <f>ROUND(data!C397,0)</f>
        <v>5598567</v>
      </c>
      <c r="CM2" s="222">
        <f>ROUND(data!C398,0)</f>
        <v>3780039</v>
      </c>
      <c r="CN2" s="222">
        <f>ROUND(data!C399,0)</f>
        <v>2724284</v>
      </c>
      <c r="CO2" s="222">
        <f>ROUND(data!C362,0)</f>
        <v>8343629</v>
      </c>
      <c r="CP2" s="222">
        <f>ROUND(data!D415,0)</f>
        <v>12283151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12283151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175</v>
      </c>
      <c r="B2" s="224" t="str">
        <f>RIGHT(data!$C$96,4)</f>
        <v>2022</v>
      </c>
      <c r="C2" s="16">
        <f>data!C$55</f>
        <v>6010</v>
      </c>
      <c r="D2" s="16" t="s">
        <v>1123</v>
      </c>
      <c r="E2" s="222">
        <f>ROUND(data!C59,0)</f>
        <v>2623</v>
      </c>
      <c r="F2" s="212">
        <f>ROUND(data!C60,2)</f>
        <v>39.68</v>
      </c>
      <c r="G2" s="222">
        <f>ROUND(data!C61,0)</f>
        <v>5233787</v>
      </c>
      <c r="H2" s="222">
        <f>ROUND(data!C62,0)</f>
        <v>958277</v>
      </c>
      <c r="I2" s="222">
        <f>ROUND(data!C63,0)</f>
        <v>1363115</v>
      </c>
      <c r="J2" s="222">
        <f>ROUND(data!C64,0)</f>
        <v>360361</v>
      </c>
      <c r="K2" s="222">
        <f>ROUND(data!C65,0)</f>
        <v>61713</v>
      </c>
      <c r="L2" s="222">
        <f>ROUND(data!C66,0)</f>
        <v>206183</v>
      </c>
      <c r="M2" s="66">
        <f>ROUND(data!C67,0)</f>
        <v>358907</v>
      </c>
      <c r="N2" s="222">
        <f>ROUND(data!C68,0)</f>
        <v>3404</v>
      </c>
      <c r="O2" s="222">
        <f>ROUND(data!C69,0)</f>
        <v>88538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88538</v>
      </c>
      <c r="AD2" s="222">
        <f>ROUND(data!C84,0)</f>
        <v>8987</v>
      </c>
      <c r="AE2" s="222">
        <f>ROUND(data!C89,0)</f>
        <v>31645582</v>
      </c>
      <c r="AF2" s="222">
        <f>ROUND(data!C87,0)</f>
        <v>31405572</v>
      </c>
      <c r="AG2" s="222">
        <f>IF(data!C90&gt;0,ROUND(data!C90,0),0)</f>
        <v>16852</v>
      </c>
      <c r="AH2" s="222">
        <f>IF(data!C91&gt;0,ROUND(data!C91,0),0)</f>
        <v>3657</v>
      </c>
      <c r="AI2" s="222">
        <f>IF(data!C92&gt;0,ROUND(data!C92,0),0)</f>
        <v>1736</v>
      </c>
      <c r="AJ2" s="222">
        <f>IF(data!C93&gt;0,ROUND(data!C93,0),0)</f>
        <v>39172</v>
      </c>
      <c r="AK2" s="212">
        <f>IF(data!C94&gt;0,ROUND(data!C94,2),0)</f>
        <v>27.64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175</v>
      </c>
      <c r="B3" s="224" t="str">
        <f>RIGHT(data!$C$96,4)</f>
        <v>2022</v>
      </c>
      <c r="C3" s="16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175</v>
      </c>
      <c r="B4" s="224" t="str">
        <f>RIGHT(data!$C$96,4)</f>
        <v>2022</v>
      </c>
      <c r="C4" s="16">
        <f>data!E$55</f>
        <v>6070</v>
      </c>
      <c r="D4" s="16" t="s">
        <v>1123</v>
      </c>
      <c r="E4" s="222">
        <f>ROUND(data!E59,0)</f>
        <v>12801</v>
      </c>
      <c r="F4" s="212">
        <f>ROUND(data!E60,2)</f>
        <v>99.82</v>
      </c>
      <c r="G4" s="222">
        <f>ROUND(data!E61,0)</f>
        <v>12054126</v>
      </c>
      <c r="H4" s="222">
        <f>ROUND(data!E62,0)</f>
        <v>2376252</v>
      </c>
      <c r="I4" s="222">
        <f>ROUND(data!E63,0)</f>
        <v>0</v>
      </c>
      <c r="J4" s="222">
        <f>ROUND(data!E64,0)</f>
        <v>714599</v>
      </c>
      <c r="K4" s="222">
        <f>ROUND(data!E65,0)</f>
        <v>132406</v>
      </c>
      <c r="L4" s="222">
        <f>ROUND(data!E66,0)</f>
        <v>997293</v>
      </c>
      <c r="M4" s="66">
        <f>ROUND(data!E67,0)</f>
        <v>584319</v>
      </c>
      <c r="N4" s="222">
        <f>ROUND(data!E68,0)</f>
        <v>11162</v>
      </c>
      <c r="O4" s="222">
        <f>ROUND(data!E69,0)</f>
        <v>133975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133975</v>
      </c>
      <c r="AD4" s="222">
        <f>ROUND(data!E84,0)</f>
        <v>20505</v>
      </c>
      <c r="AE4" s="222">
        <f>ROUND(data!E89,0)</f>
        <v>85170246</v>
      </c>
      <c r="AF4" s="222">
        <f>ROUND(data!E87,0)</f>
        <v>77865424</v>
      </c>
      <c r="AG4" s="222">
        <f>IF(data!E90&gt;0,ROUND(data!E90,0),0)</f>
        <v>36240</v>
      </c>
      <c r="AH4" s="222">
        <f>IF(data!E91&gt;0,ROUND(data!E91,0),0)</f>
        <v>38938</v>
      </c>
      <c r="AI4" s="222">
        <f>IF(data!E92&gt;0,ROUND(data!E92,0),0)</f>
        <v>17781</v>
      </c>
      <c r="AJ4" s="222">
        <f>IF(data!E93&gt;0,ROUND(data!E93,0),0)</f>
        <v>184014</v>
      </c>
      <c r="AK4" s="212">
        <f>IF(data!E94&gt;0,ROUND(data!E94,2),0)</f>
        <v>69.510000000000005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175</v>
      </c>
      <c r="B5" s="224" t="str">
        <f>RIGHT(data!$C$96,4)</f>
        <v>2022</v>
      </c>
      <c r="C5" s="16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175</v>
      </c>
      <c r="B6" s="224" t="str">
        <f>RIGHT(data!$C$96,4)</f>
        <v>2022</v>
      </c>
      <c r="C6" s="16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175</v>
      </c>
      <c r="B7" s="224" t="str">
        <f>RIGHT(data!$C$96,4)</f>
        <v>2022</v>
      </c>
      <c r="C7" s="16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175</v>
      </c>
      <c r="B8" s="224" t="str">
        <f>RIGHT(data!$C$96,4)</f>
        <v>2022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175</v>
      </c>
      <c r="B9" s="224" t="str">
        <f>RIGHT(data!$C$96,4)</f>
        <v>2022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175</v>
      </c>
      <c r="B10" s="224" t="str">
        <f>RIGHT(data!$C$96,4)</f>
        <v>2022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175</v>
      </c>
      <c r="B11" s="224" t="str">
        <f>RIGHT(data!$C$96,4)</f>
        <v>2022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175</v>
      </c>
      <c r="B12" s="224" t="str">
        <f>RIGHT(data!$C$96,4)</f>
        <v>2022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175</v>
      </c>
      <c r="B13" s="224" t="str">
        <f>RIGHT(data!$C$96,4)</f>
        <v>2022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175</v>
      </c>
      <c r="B14" s="224" t="str">
        <f>RIGHT(data!$C$96,4)</f>
        <v>2022</v>
      </c>
      <c r="C14" s="16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175</v>
      </c>
      <c r="B15" s="224" t="str">
        <f>RIGHT(data!$C$96,4)</f>
        <v>2022</v>
      </c>
      <c r="C15" s="16">
        <f>data!P$55</f>
        <v>7020</v>
      </c>
      <c r="D15" s="16" t="s">
        <v>1123</v>
      </c>
      <c r="E15" s="222">
        <f>ROUND(data!P59,0)</f>
        <v>1083660</v>
      </c>
      <c r="F15" s="212">
        <f>ROUND(data!P60,2)</f>
        <v>45.72</v>
      </c>
      <c r="G15" s="222">
        <f>ROUND(data!P61,0)</f>
        <v>9855993</v>
      </c>
      <c r="H15" s="222">
        <f>ROUND(data!P62,0)</f>
        <v>1382146</v>
      </c>
      <c r="I15" s="222">
        <f>ROUND(data!P63,0)</f>
        <v>777739</v>
      </c>
      <c r="J15" s="222">
        <f>ROUND(data!P64,0)</f>
        <v>503156</v>
      </c>
      <c r="K15" s="222">
        <f>ROUND(data!P65,0)</f>
        <v>96382</v>
      </c>
      <c r="L15" s="222">
        <f>ROUND(data!P66,0)</f>
        <v>3666816</v>
      </c>
      <c r="M15" s="66">
        <f>ROUND(data!P67,0)</f>
        <v>880605</v>
      </c>
      <c r="N15" s="222">
        <f>ROUND(data!P68,0)</f>
        <v>9480</v>
      </c>
      <c r="O15" s="222">
        <f>ROUND(data!P69,0)</f>
        <v>58413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58413</v>
      </c>
      <c r="AD15" s="222">
        <f>ROUND(data!P84,0)</f>
        <v>6647</v>
      </c>
      <c r="AE15" s="222">
        <f>ROUND(data!P89,0)</f>
        <v>225201868</v>
      </c>
      <c r="AF15" s="222">
        <f>ROUND(data!P87,0)</f>
        <v>61041821</v>
      </c>
      <c r="AG15" s="222">
        <f>IF(data!P90&gt;0,ROUND(data!P90,0),0)</f>
        <v>6698</v>
      </c>
      <c r="AH15" s="222">
        <f>IF(data!P91&gt;0,ROUND(data!P91,0),0)</f>
        <v>0</v>
      </c>
      <c r="AI15" s="222">
        <f>IF(data!P92&gt;0,ROUND(data!P92,0),0)</f>
        <v>4907</v>
      </c>
      <c r="AJ15" s="222">
        <f>IF(data!P93&gt;0,ROUND(data!P93,0),0)</f>
        <v>43815</v>
      </c>
      <c r="AK15" s="212">
        <f>IF(data!P94&gt;0,ROUND(data!P94,2),0)</f>
        <v>21.38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175</v>
      </c>
      <c r="B16" s="224" t="str">
        <f>RIGHT(data!$C$96,4)</f>
        <v>2022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175</v>
      </c>
      <c r="B17" s="224" t="str">
        <f>RIGHT(data!$C$96,4)</f>
        <v>2022</v>
      </c>
      <c r="C17" s="16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27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175</v>
      </c>
      <c r="B18" s="224" t="str">
        <f>RIGHT(data!$C$96,4)</f>
        <v>2022</v>
      </c>
      <c r="C18" s="16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175</v>
      </c>
      <c r="B19" s="224" t="str">
        <f>RIGHT(data!$C$96,4)</f>
        <v>2022</v>
      </c>
      <c r="C19" s="16">
        <f>data!T$55</f>
        <v>7060</v>
      </c>
      <c r="D19" s="16" t="s">
        <v>1123</v>
      </c>
      <c r="E19" s="222"/>
      <c r="F19" s="212">
        <f>ROUND(data!T60,2)</f>
        <v>26.38</v>
      </c>
      <c r="G19" s="222">
        <f>ROUND(data!T61,0)</f>
        <v>2980593</v>
      </c>
      <c r="H19" s="222">
        <f>ROUND(data!T62,0)</f>
        <v>685062</v>
      </c>
      <c r="I19" s="222">
        <f>ROUND(data!T63,0)</f>
        <v>0</v>
      </c>
      <c r="J19" s="222">
        <f>ROUND(data!T64,0)</f>
        <v>2327356</v>
      </c>
      <c r="K19" s="222">
        <f>ROUND(data!T65,0)</f>
        <v>30791</v>
      </c>
      <c r="L19" s="222">
        <f>ROUND(data!T66,0)</f>
        <v>173628</v>
      </c>
      <c r="M19" s="66">
        <f>ROUND(data!T67,0)</f>
        <v>110393</v>
      </c>
      <c r="N19" s="222">
        <f>ROUND(data!T68,0)</f>
        <v>0</v>
      </c>
      <c r="O19" s="222">
        <f>ROUND(data!T69,0)</f>
        <v>52053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52053</v>
      </c>
      <c r="AD19" s="222">
        <f>ROUND(data!T84,0)</f>
        <v>950</v>
      </c>
      <c r="AE19" s="222">
        <f>ROUND(data!T89,0)</f>
        <v>14552144</v>
      </c>
      <c r="AF19" s="222">
        <f>ROUND(data!T87,0)</f>
        <v>5107506</v>
      </c>
      <c r="AG19" s="222">
        <f>IF(data!T90&gt;0,ROUND(data!T90,0),0)</f>
        <v>1876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5</v>
      </c>
      <c r="AK19" s="212">
        <f>IF(data!T94&gt;0,ROUND(data!T94,2),0)</f>
        <v>12.52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175</v>
      </c>
      <c r="B20" s="224" t="str">
        <f>RIGHT(data!$C$96,4)</f>
        <v>2022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2500</v>
      </c>
      <c r="K20" s="222">
        <f>ROUND(data!U65,0)</f>
        <v>0</v>
      </c>
      <c r="L20" s="222">
        <f>ROUND(data!U66,0)</f>
        <v>2961985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2961985</v>
      </c>
      <c r="AE20" s="222">
        <f>ROUND(data!U89,0)</f>
        <v>34255239</v>
      </c>
      <c r="AF20" s="222">
        <f>ROUND(data!U87,0)</f>
        <v>13535328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175</v>
      </c>
      <c r="B21" s="224" t="str">
        <f>RIGHT(data!$C$96,4)</f>
        <v>2022</v>
      </c>
      <c r="C21" s="16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10776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798776</v>
      </c>
      <c r="AF21" s="222">
        <f>ROUND(data!V87,0)</f>
        <v>264580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175</v>
      </c>
      <c r="B22" s="224" t="str">
        <f>RIGHT(data!$C$96,4)</f>
        <v>2022</v>
      </c>
      <c r="C22" s="16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18660482</v>
      </c>
      <c r="AF22" s="222">
        <f>ROUND(data!W87,0)</f>
        <v>4114969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175</v>
      </c>
      <c r="B23" s="224" t="str">
        <f>RIGHT(data!$C$96,4)</f>
        <v>2022</v>
      </c>
      <c r="C23" s="16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36</v>
      </c>
      <c r="L23" s="222">
        <f>ROUND(data!X66,0)</f>
        <v>0</v>
      </c>
      <c r="M23" s="66">
        <f>ROUND(data!X67,0)</f>
        <v>1390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12479274</v>
      </c>
      <c r="AF23" s="222">
        <f>ROUND(data!X87,0)</f>
        <v>4486307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175</v>
      </c>
      <c r="B24" s="224" t="str">
        <f>RIGHT(data!$C$96,4)</f>
        <v>2022</v>
      </c>
      <c r="C24" s="16">
        <f>data!Y$55</f>
        <v>7140</v>
      </c>
      <c r="D24" s="16" t="s">
        <v>1123</v>
      </c>
      <c r="E24" s="222">
        <f>ROUND(data!Y59,0)</f>
        <v>0</v>
      </c>
      <c r="F24" s="212">
        <f>ROUND(data!Y60,2)</f>
        <v>2.17</v>
      </c>
      <c r="G24" s="222">
        <f>ROUND(data!Y61,0)</f>
        <v>233312</v>
      </c>
      <c r="H24" s="222">
        <f>ROUND(data!Y62,0)</f>
        <v>55291</v>
      </c>
      <c r="I24" s="222">
        <f>ROUND(data!Y63,0)</f>
        <v>0</v>
      </c>
      <c r="J24" s="222">
        <f>ROUND(data!Y64,0)</f>
        <v>2604</v>
      </c>
      <c r="K24" s="222">
        <f>ROUND(data!Y65,0)</f>
        <v>5061</v>
      </c>
      <c r="L24" s="222">
        <f>ROUND(data!Y66,0)</f>
        <v>2965</v>
      </c>
      <c r="M24" s="66">
        <f>ROUND(data!Y67,0)</f>
        <v>64401</v>
      </c>
      <c r="N24" s="222">
        <f>ROUND(data!Y68,0)</f>
        <v>0</v>
      </c>
      <c r="O24" s="222">
        <f>ROUND(data!Y69,0)</f>
        <v>492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492</v>
      </c>
      <c r="AD24" s="222">
        <f>ROUND(data!Y84,0)</f>
        <v>0</v>
      </c>
      <c r="AE24" s="222">
        <f>ROUND(data!Y89,0)</f>
        <v>34779287</v>
      </c>
      <c r="AF24" s="222">
        <f>ROUND(data!Y87,0)</f>
        <v>5004137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175</v>
      </c>
      <c r="B25" s="224" t="str">
        <f>RIGHT(data!$C$96,4)</f>
        <v>2022</v>
      </c>
      <c r="C25" s="16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2303953</v>
      </c>
      <c r="AF25" s="222">
        <f>ROUND(data!Z87,0)</f>
        <v>1028375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175</v>
      </c>
      <c r="B26" s="224" t="str">
        <f>RIGHT(data!$C$96,4)</f>
        <v>2022</v>
      </c>
      <c r="C26" s="16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1396163</v>
      </c>
      <c r="AF26" s="222">
        <f>ROUND(data!AA87,0)</f>
        <v>118246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175</v>
      </c>
      <c r="B27" s="224" t="str">
        <f>RIGHT(data!$C$96,4)</f>
        <v>2022</v>
      </c>
      <c r="C27" s="16">
        <f>data!AB$55</f>
        <v>7170</v>
      </c>
      <c r="D27" s="16" t="s">
        <v>1123</v>
      </c>
      <c r="E27" s="222"/>
      <c r="F27" s="212">
        <f>ROUND(data!AB60,2)</f>
        <v>34.92</v>
      </c>
      <c r="G27" s="222">
        <f>ROUND(data!AB61,0)</f>
        <v>4422840</v>
      </c>
      <c r="H27" s="222">
        <f>ROUND(data!AB62,0)</f>
        <v>921773</v>
      </c>
      <c r="I27" s="222">
        <f>ROUND(data!AB63,0)</f>
        <v>0</v>
      </c>
      <c r="J27" s="222">
        <f>ROUND(data!AB64,0)</f>
        <v>21411782</v>
      </c>
      <c r="K27" s="222">
        <f>ROUND(data!AB65,0)</f>
        <v>17325</v>
      </c>
      <c r="L27" s="222">
        <f>ROUND(data!AB66,0)</f>
        <v>186825</v>
      </c>
      <c r="M27" s="66">
        <f>ROUND(data!AB67,0)</f>
        <v>55576</v>
      </c>
      <c r="N27" s="222">
        <f>ROUND(data!AB68,0)</f>
        <v>0</v>
      </c>
      <c r="O27" s="222">
        <f>ROUND(data!AB69,0)</f>
        <v>7083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7083</v>
      </c>
      <c r="AD27" s="222">
        <f>ROUND(data!AB84,0)</f>
        <v>3642</v>
      </c>
      <c r="AE27" s="222">
        <f>ROUND(data!AB89,0)</f>
        <v>126015444</v>
      </c>
      <c r="AF27" s="222">
        <f>ROUND(data!AB87,0)</f>
        <v>32705404</v>
      </c>
      <c r="AG27" s="222">
        <f>IF(data!AB90&gt;0,ROUND(data!AB90,0),0)</f>
        <v>1856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4428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175</v>
      </c>
      <c r="B28" s="224" t="str">
        <f>RIGHT(data!$C$96,4)</f>
        <v>2022</v>
      </c>
      <c r="C28" s="16">
        <f>data!AC$55</f>
        <v>7180</v>
      </c>
      <c r="D28" s="16" t="s">
        <v>1123</v>
      </c>
      <c r="E28" s="222">
        <f>ROUND(data!AC59,0)</f>
        <v>41855</v>
      </c>
      <c r="F28" s="212">
        <f>ROUND(data!AC60,2)</f>
        <v>14.51</v>
      </c>
      <c r="G28" s="222">
        <f>ROUND(data!AC61,0)</f>
        <v>1766334</v>
      </c>
      <c r="H28" s="222">
        <f>ROUND(data!AC62,0)</f>
        <v>357948</v>
      </c>
      <c r="I28" s="222">
        <f>ROUND(data!AC63,0)</f>
        <v>0</v>
      </c>
      <c r="J28" s="222">
        <f>ROUND(data!AC64,0)</f>
        <v>287621</v>
      </c>
      <c r="K28" s="222">
        <f>ROUND(data!AC65,0)</f>
        <v>3036</v>
      </c>
      <c r="L28" s="222">
        <f>ROUND(data!AC66,0)</f>
        <v>10611</v>
      </c>
      <c r="M28" s="66">
        <f>ROUND(data!AC67,0)</f>
        <v>34389</v>
      </c>
      <c r="N28" s="222">
        <f>ROUND(data!AC68,0)</f>
        <v>0</v>
      </c>
      <c r="O28" s="222">
        <f>ROUND(data!AC69,0)</f>
        <v>7744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7744</v>
      </c>
      <c r="AD28" s="222">
        <f>ROUND(data!AC84,0)</f>
        <v>0</v>
      </c>
      <c r="AE28" s="222">
        <f>ROUND(data!AC89,0)</f>
        <v>14652568</v>
      </c>
      <c r="AF28" s="222">
        <f>ROUND(data!AC87,0)</f>
        <v>14498509</v>
      </c>
      <c r="AG28" s="222">
        <f>IF(data!AC90&gt;0,ROUND(data!AC90,0),0)</f>
        <v>532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175</v>
      </c>
      <c r="B29" s="224" t="str">
        <f>RIGHT(data!$C$96,4)</f>
        <v>2022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175</v>
      </c>
      <c r="B30" s="224" t="str">
        <f>RIGHT(data!$C$96,4)</f>
        <v>2022</v>
      </c>
      <c r="C30" s="16">
        <f>data!AE$55</f>
        <v>7200</v>
      </c>
      <c r="D30" s="16" t="s">
        <v>1123</v>
      </c>
      <c r="E30" s="222">
        <f>ROUND(data!AE59,0)</f>
        <v>36649</v>
      </c>
      <c r="F30" s="212">
        <f>ROUND(data!AE60,2)</f>
        <v>20.73</v>
      </c>
      <c r="G30" s="222">
        <f>ROUND(data!AE61,0)</f>
        <v>2113371</v>
      </c>
      <c r="H30" s="222">
        <f>ROUND(data!AE62,0)</f>
        <v>520818</v>
      </c>
      <c r="I30" s="222">
        <f>ROUND(data!AE63,0)</f>
        <v>0</v>
      </c>
      <c r="J30" s="222">
        <f>ROUND(data!AE64,0)</f>
        <v>16073</v>
      </c>
      <c r="K30" s="222">
        <f>ROUND(data!AE65,0)</f>
        <v>55332</v>
      </c>
      <c r="L30" s="222">
        <f>ROUND(data!AE66,0)</f>
        <v>547634</v>
      </c>
      <c r="M30" s="66">
        <f>ROUND(data!AE67,0)</f>
        <v>255304</v>
      </c>
      <c r="N30" s="222">
        <f>ROUND(data!AE68,0)</f>
        <v>63011</v>
      </c>
      <c r="O30" s="222">
        <f>ROUND(data!AE69,0)</f>
        <v>4662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4662</v>
      </c>
      <c r="AD30" s="222">
        <f>ROUND(data!AE84,0)</f>
        <v>0</v>
      </c>
      <c r="AE30" s="222">
        <f>ROUND(data!AE89,0)</f>
        <v>6480921</v>
      </c>
      <c r="AF30" s="222">
        <f>ROUND(data!AE87,0)</f>
        <v>655516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1955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175</v>
      </c>
      <c r="B31" s="224" t="str">
        <f>RIGHT(data!$C$96,4)</f>
        <v>2022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175</v>
      </c>
      <c r="B32" s="224" t="str">
        <f>RIGHT(data!$C$96,4)</f>
        <v>2022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95.65</v>
      </c>
      <c r="G32" s="222">
        <f>ROUND(data!AG61,0)</f>
        <v>17988390</v>
      </c>
      <c r="H32" s="222">
        <f>ROUND(data!AG62,0)</f>
        <v>2419513</v>
      </c>
      <c r="I32" s="222">
        <f>ROUND(data!AG63,0)</f>
        <v>50759</v>
      </c>
      <c r="J32" s="222">
        <f>ROUND(data!AG64,0)</f>
        <v>1106460</v>
      </c>
      <c r="K32" s="222">
        <f>ROUND(data!AG65,0)</f>
        <v>69220</v>
      </c>
      <c r="L32" s="222">
        <f>ROUND(data!AG66,0)</f>
        <v>1485225</v>
      </c>
      <c r="M32" s="66">
        <f>ROUND(data!AG67,0)</f>
        <v>415745</v>
      </c>
      <c r="N32" s="222">
        <f>ROUND(data!AG68,0)</f>
        <v>9480</v>
      </c>
      <c r="O32" s="222">
        <f>ROUND(data!AG69,0)</f>
        <v>277807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277807</v>
      </c>
      <c r="AD32" s="222">
        <f>ROUND(data!AG84,0)</f>
        <v>519521</v>
      </c>
      <c r="AE32" s="222">
        <f>ROUND(data!AG89,0)</f>
        <v>198882306</v>
      </c>
      <c r="AF32" s="222">
        <f>ROUND(data!AG87,0)</f>
        <v>30916323</v>
      </c>
      <c r="AG32" s="222">
        <f>IF(data!AG90&gt;0,ROUND(data!AG90,0),0)</f>
        <v>17277</v>
      </c>
      <c r="AH32" s="222">
        <f>IF(data!AG91&gt;0,ROUND(data!AG91,0),0)</f>
        <v>4802</v>
      </c>
      <c r="AI32" s="222">
        <f>IF(data!AG92&gt;0,ROUND(data!AG92,0),0)</f>
        <v>7609</v>
      </c>
      <c r="AJ32" s="222">
        <f>IF(data!AG93&gt;0,ROUND(data!AG93,0),0)</f>
        <v>0</v>
      </c>
      <c r="AK32" s="212">
        <f>IF(data!AG94&gt;0,ROUND(data!AG94,2),0)</f>
        <v>44.33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175</v>
      </c>
      <c r="B33" s="224" t="str">
        <f>RIGHT(data!$C$96,4)</f>
        <v>2022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175</v>
      </c>
      <c r="B34" s="224" t="str">
        <f>RIGHT(data!$C$96,4)</f>
        <v>2022</v>
      </c>
      <c r="C34" s="16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175</v>
      </c>
      <c r="B35" s="224" t="str">
        <f>RIGHT(data!$C$96,4)</f>
        <v>2022</v>
      </c>
      <c r="C35" s="16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184.78</v>
      </c>
      <c r="G35" s="222">
        <f>ROUND(data!AJ61,0)</f>
        <v>31202104</v>
      </c>
      <c r="H35" s="222">
        <f>ROUND(data!AJ62,0)</f>
        <v>5261541</v>
      </c>
      <c r="I35" s="222">
        <f>ROUND(data!AJ63,0)</f>
        <v>11057773</v>
      </c>
      <c r="J35" s="222">
        <f>ROUND(data!AJ64,0)</f>
        <v>1250412</v>
      </c>
      <c r="K35" s="222">
        <f>ROUND(data!AJ65,0)</f>
        <v>293858</v>
      </c>
      <c r="L35" s="222">
        <f>ROUND(data!AJ66,0)</f>
        <v>9362472</v>
      </c>
      <c r="M35" s="66">
        <f>ROUND(data!AJ67,0)</f>
        <v>3484914</v>
      </c>
      <c r="N35" s="222">
        <f>ROUND(data!AJ68,0)</f>
        <v>2567644</v>
      </c>
      <c r="O35" s="222">
        <f>ROUND(data!AJ69,0)</f>
        <v>558177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558177</v>
      </c>
      <c r="AD35" s="222">
        <f>ROUND(data!AJ84,0)</f>
        <v>1193851</v>
      </c>
      <c r="AE35" s="222">
        <f>ROUND(data!AJ89,0)</f>
        <v>106131747</v>
      </c>
      <c r="AF35" s="222">
        <f>ROUND(data!AJ87,0)</f>
        <v>4188632</v>
      </c>
      <c r="AG35" s="222">
        <f>IF(data!AJ90&gt;0,ROUND(data!AJ90,0),0)</f>
        <v>2471</v>
      </c>
      <c r="AH35" s="222">
        <f>IF(data!AJ91&gt;0,ROUND(data!AJ91,0),0)</f>
        <v>0</v>
      </c>
      <c r="AI35" s="222">
        <f>IF(data!AJ92&gt;0,ROUND(data!AJ92,0),0)</f>
        <v>3327</v>
      </c>
      <c r="AJ35" s="222">
        <f>IF(data!AJ93&gt;0,ROUND(data!AJ93,0),0)</f>
        <v>37007</v>
      </c>
      <c r="AK35" s="212">
        <f>IF(data!AJ94&gt;0,ROUND(data!AJ94,2),0)</f>
        <v>29.38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175</v>
      </c>
      <c r="B36" s="224" t="str">
        <f>RIGHT(data!$C$96,4)</f>
        <v>2022</v>
      </c>
      <c r="C36" s="16">
        <f>data!AK$55</f>
        <v>7310</v>
      </c>
      <c r="D36" s="16" t="s">
        <v>1123</v>
      </c>
      <c r="E36" s="222">
        <f>ROUND(data!AK59,0)</f>
        <v>40900</v>
      </c>
      <c r="F36" s="212">
        <f>ROUND(data!AK60,2)</f>
        <v>33.4</v>
      </c>
      <c r="G36" s="222">
        <f>ROUND(data!AK61,0)</f>
        <v>4155261</v>
      </c>
      <c r="H36" s="222">
        <f>ROUND(data!AK62,0)</f>
        <v>894899</v>
      </c>
      <c r="I36" s="222">
        <f>ROUND(data!AK63,0)</f>
        <v>0</v>
      </c>
      <c r="J36" s="222">
        <f>ROUND(data!AK64,0)</f>
        <v>48732</v>
      </c>
      <c r="K36" s="222">
        <f>ROUND(data!AK65,0)</f>
        <v>63917</v>
      </c>
      <c r="L36" s="222">
        <f>ROUND(data!AK66,0)</f>
        <v>657540</v>
      </c>
      <c r="M36" s="66">
        <f>ROUND(data!AK67,0)</f>
        <v>313700</v>
      </c>
      <c r="N36" s="222">
        <f>ROUND(data!AK68,0)</f>
        <v>63012</v>
      </c>
      <c r="O36" s="222">
        <f>ROUND(data!AK69,0)</f>
        <v>23310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23310</v>
      </c>
      <c r="AD36" s="222">
        <f>ROUND(data!AK84,0)</f>
        <v>15344</v>
      </c>
      <c r="AE36" s="222">
        <f>ROUND(data!AK89,0)</f>
        <v>12292194</v>
      </c>
      <c r="AF36" s="222">
        <f>ROUND(data!AK87,0)</f>
        <v>751073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1224</v>
      </c>
      <c r="AK36" s="212">
        <f>IF(data!AK94&gt;0,ROUND(data!AK94,2),0)</f>
        <v>1.96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175</v>
      </c>
      <c r="B37" s="224" t="str">
        <f>RIGHT(data!$C$96,4)</f>
        <v>2022</v>
      </c>
      <c r="C37" s="16">
        <f>data!AL$55</f>
        <v>7320</v>
      </c>
      <c r="D37" s="16" t="s">
        <v>1123</v>
      </c>
      <c r="E37" s="222">
        <f>ROUND(data!AL59,0)</f>
        <v>57200</v>
      </c>
      <c r="F37" s="212">
        <f>ROUND(data!AL60,2)</f>
        <v>21.15</v>
      </c>
      <c r="G37" s="222">
        <f>ROUND(data!AL61,0)</f>
        <v>2201504</v>
      </c>
      <c r="H37" s="222">
        <f>ROUND(data!AL62,0)</f>
        <v>536726</v>
      </c>
      <c r="I37" s="222">
        <f>ROUND(data!AL63,0)</f>
        <v>0</v>
      </c>
      <c r="J37" s="222">
        <f>ROUND(data!AL64,0)</f>
        <v>59859</v>
      </c>
      <c r="K37" s="222">
        <f>ROUND(data!AL65,0)</f>
        <v>28473</v>
      </c>
      <c r="L37" s="222">
        <f>ROUND(data!AL66,0)</f>
        <v>548211</v>
      </c>
      <c r="M37" s="66">
        <f>ROUND(data!AL67,0)</f>
        <v>48936</v>
      </c>
      <c r="N37" s="222">
        <f>ROUND(data!AL68,0)</f>
        <v>0</v>
      </c>
      <c r="O37" s="222">
        <f>ROUND(data!AL69,0)</f>
        <v>-1787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-1787</v>
      </c>
      <c r="AD37" s="222">
        <f>ROUND(data!AL84,0)</f>
        <v>34573</v>
      </c>
      <c r="AE37" s="222">
        <f>ROUND(data!AL89,0)</f>
        <v>6606497</v>
      </c>
      <c r="AF37" s="222">
        <f>ROUND(data!AL87,0)</f>
        <v>228424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666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175</v>
      </c>
      <c r="B38" s="224" t="str">
        <f>RIGHT(data!$C$96,4)</f>
        <v>2022</v>
      </c>
      <c r="C38" s="16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175</v>
      </c>
      <c r="B39" s="224" t="str">
        <f>RIGHT(data!$C$96,4)</f>
        <v>2022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175</v>
      </c>
      <c r="B40" s="224" t="str">
        <f>RIGHT(data!$C$96,4)</f>
        <v>2022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175</v>
      </c>
      <c r="B41" s="224" t="str">
        <f>RIGHT(data!$C$96,4)</f>
        <v>2022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175</v>
      </c>
      <c r="B42" s="224" t="str">
        <f>RIGHT(data!$C$96,4)</f>
        <v>2022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175</v>
      </c>
      <c r="B43" s="224" t="str">
        <f>RIGHT(data!$C$96,4)</f>
        <v>2022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175</v>
      </c>
      <c r="B44" s="224" t="str">
        <f>RIGHT(data!$C$96,4)</f>
        <v>2022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175</v>
      </c>
      <c r="B45" s="224" t="str">
        <f>RIGHT(data!$C$96,4)</f>
        <v>2022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175</v>
      </c>
      <c r="B46" s="224" t="str">
        <f>RIGHT(data!$C$96,4)</f>
        <v>2022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175</v>
      </c>
      <c r="B47" s="224" t="str">
        <f>RIGHT(data!$C$96,4)</f>
        <v>2022</v>
      </c>
      <c r="C47" s="16">
        <f>data!AV$55</f>
        <v>7490</v>
      </c>
      <c r="D47" s="16" t="s">
        <v>1123</v>
      </c>
      <c r="E47" s="222"/>
      <c r="F47" s="212">
        <f>ROUND(data!AV60,2)</f>
        <v>189.8</v>
      </c>
      <c r="G47" s="222">
        <f>ROUND(data!AV61,0)</f>
        <v>32358579</v>
      </c>
      <c r="H47" s="222">
        <f>ROUND(data!AV62,0)</f>
        <v>5757108</v>
      </c>
      <c r="I47" s="222">
        <f>ROUND(data!AV63,0)</f>
        <v>773583</v>
      </c>
      <c r="J47" s="222">
        <f>ROUND(data!AV64,0)</f>
        <v>1720068</v>
      </c>
      <c r="K47" s="222">
        <f>ROUND(data!AV65,0)</f>
        <v>139607</v>
      </c>
      <c r="L47" s="222">
        <f>ROUND(data!AV66,0)</f>
        <v>13484539</v>
      </c>
      <c r="M47" s="66">
        <f>ROUND(data!AV67,0)</f>
        <v>593325</v>
      </c>
      <c r="N47" s="222">
        <f>ROUND(data!AV68,0)</f>
        <v>2579194</v>
      </c>
      <c r="O47" s="222">
        <f>ROUND(data!AV69,0)</f>
        <v>247521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247521</v>
      </c>
      <c r="AD47" s="222">
        <f>ROUND(data!AV84,0)</f>
        <v>3619654</v>
      </c>
      <c r="AE47" s="222">
        <f>ROUND(data!AV89,0)</f>
        <v>80903558</v>
      </c>
      <c r="AF47" s="222">
        <f>ROUND(data!AV87,0)</f>
        <v>3703852</v>
      </c>
      <c r="AG47" s="222">
        <f>IF(data!AV90&gt;0,ROUND(data!AV90,0),0)</f>
        <v>781</v>
      </c>
      <c r="AH47" s="222">
        <f>IF(data!AV91&gt;0,ROUND(data!AV91,0),0)</f>
        <v>64</v>
      </c>
      <c r="AI47" s="222">
        <f>IF(data!AV92&gt;0,ROUND(data!AV92,0),0)</f>
        <v>0</v>
      </c>
      <c r="AJ47" s="222">
        <f>IF(data!AV93&gt;0,ROUND(data!AV93,0),0)</f>
        <v>1951</v>
      </c>
      <c r="AK47" s="212">
        <f>IF(data!AV94&gt;0,ROUND(data!AV94,2),0)</f>
        <v>14.15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175</v>
      </c>
      <c r="B48" s="224" t="str">
        <f>RIGHT(data!$C$96,4)</f>
        <v>2022</v>
      </c>
      <c r="C48" s="16">
        <f>data!AW$55</f>
        <v>8200</v>
      </c>
      <c r="D48" s="16" t="s">
        <v>1123</v>
      </c>
      <c r="E48" s="222"/>
      <c r="F48" s="212">
        <f>ROUND(data!AW60,2)</f>
        <v>13.91</v>
      </c>
      <c r="G48" s="222">
        <f>ROUND(data!AW61,0)</f>
        <v>1155271</v>
      </c>
      <c r="H48" s="222">
        <f>ROUND(data!AW62,0)</f>
        <v>328147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428646</v>
      </c>
      <c r="M48" s="66">
        <f>ROUND(data!AW67,0)</f>
        <v>0</v>
      </c>
      <c r="N48" s="222">
        <f>ROUND(data!AW68,0)</f>
        <v>0</v>
      </c>
      <c r="O48" s="222">
        <f>ROUND(data!AW69,0)</f>
        <v>14993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14993</v>
      </c>
      <c r="AD48" s="222">
        <f>ROUND(data!AW84,0)</f>
        <v>2171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0.31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175</v>
      </c>
      <c r="B49" s="224" t="str">
        <f>RIGHT(data!$C$96,4)</f>
        <v>2022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175</v>
      </c>
      <c r="B50" s="224" t="str">
        <f>RIGHT(data!$C$96,4)</f>
        <v>2022</v>
      </c>
      <c r="C50" s="16">
        <f>data!AY$55</f>
        <v>8320</v>
      </c>
      <c r="D50" s="16" t="s">
        <v>1123</v>
      </c>
      <c r="E50" s="222">
        <f>ROUND(data!AY59,0)</f>
        <v>47488</v>
      </c>
      <c r="F50" s="212">
        <f>ROUND(data!AY60,2)</f>
        <v>1.56</v>
      </c>
      <c r="G50" s="222">
        <f>ROUND(data!AY61,0)</f>
        <v>68831</v>
      </c>
      <c r="H50" s="222">
        <f>ROUND(data!AY62,0)</f>
        <v>32072</v>
      </c>
      <c r="I50" s="222">
        <f>ROUND(data!AY63,0)</f>
        <v>0</v>
      </c>
      <c r="J50" s="222">
        <f>ROUND(data!AY64,0)</f>
        <v>109252</v>
      </c>
      <c r="K50" s="222">
        <f>ROUND(data!AY65,0)</f>
        <v>0</v>
      </c>
      <c r="L50" s="222">
        <f>ROUND(data!AY66,0)</f>
        <v>11512</v>
      </c>
      <c r="M50" s="66">
        <f>ROUND(data!AY67,0)</f>
        <v>299</v>
      </c>
      <c r="N50" s="222">
        <f>ROUND(data!AY68,0)</f>
        <v>0</v>
      </c>
      <c r="O50" s="222">
        <f>ROUND(data!AY69,0)</f>
        <v>-601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-601</v>
      </c>
      <c r="AD50" s="222">
        <f>ROUND(data!AY84,0)</f>
        <v>229945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325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175</v>
      </c>
      <c r="B51" s="224" t="str">
        <f>RIGHT(data!$C$96,4)</f>
        <v>2022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175</v>
      </c>
      <c r="B52" s="224" t="str">
        <f>RIGHT(data!$C$96,4)</f>
        <v>2022</v>
      </c>
      <c r="C52" s="16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175</v>
      </c>
      <c r="B53" s="224" t="str">
        <f>RIGHT(data!$C$96,4)</f>
        <v>2022</v>
      </c>
      <c r="C53" s="16">
        <f>data!BB$55</f>
        <v>8360</v>
      </c>
      <c r="D53" s="16" t="s">
        <v>1123</v>
      </c>
      <c r="E53" s="222"/>
      <c r="F53" s="212">
        <f>ROUND(data!BB60,2)</f>
        <v>16.55</v>
      </c>
      <c r="G53" s="222">
        <f>ROUND(data!BB61,0)</f>
        <v>1748612</v>
      </c>
      <c r="H53" s="222">
        <f>ROUND(data!BB62,0)</f>
        <v>418443</v>
      </c>
      <c r="I53" s="222">
        <f>ROUND(data!BB63,0)</f>
        <v>0</v>
      </c>
      <c r="J53" s="222">
        <f>ROUND(data!BB64,0)</f>
        <v>22788</v>
      </c>
      <c r="K53" s="222">
        <f>ROUND(data!BB65,0)</f>
        <v>7368</v>
      </c>
      <c r="L53" s="222">
        <f>ROUND(data!BB66,0)</f>
        <v>1338</v>
      </c>
      <c r="M53" s="66">
        <f>ROUND(data!BB67,0)</f>
        <v>2810</v>
      </c>
      <c r="N53" s="222">
        <f>ROUND(data!BB68,0)</f>
        <v>0</v>
      </c>
      <c r="O53" s="222">
        <f>ROUND(data!BB69,0)</f>
        <v>1281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1281</v>
      </c>
      <c r="AD53" s="222">
        <f>ROUND(data!BB84,0)</f>
        <v>773382</v>
      </c>
      <c r="AE53" s="222"/>
      <c r="AF53" s="222"/>
      <c r="AG53" s="222">
        <f>IF(data!BB90&gt;0,ROUND(data!BB90,0),0)</f>
        <v>219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175</v>
      </c>
      <c r="B54" s="224" t="str">
        <f>RIGHT(data!$C$96,4)</f>
        <v>2022</v>
      </c>
      <c r="C54" s="16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175</v>
      </c>
      <c r="B55" s="224" t="str">
        <f>RIGHT(data!$C$96,4)</f>
        <v>2022</v>
      </c>
      <c r="C55" s="16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175</v>
      </c>
      <c r="B56" s="224" t="str">
        <f>RIGHT(data!$C$96,4)</f>
        <v>2022</v>
      </c>
      <c r="C56" s="16">
        <f>data!BE$55</f>
        <v>8430</v>
      </c>
      <c r="D56" s="16" t="s">
        <v>1123</v>
      </c>
      <c r="E56" s="222">
        <f>ROUND(data!BE59,0)</f>
        <v>177381</v>
      </c>
      <c r="F56" s="212">
        <f>ROUND(data!BE60,2)</f>
        <v>0</v>
      </c>
      <c r="G56" s="222">
        <f>ROUND(data!BE61,0)</f>
        <v>0</v>
      </c>
      <c r="H56" s="222">
        <f>ROUND(data!BE62,0)</f>
        <v>0</v>
      </c>
      <c r="I56" s="222">
        <f>ROUND(data!BE63,0)</f>
        <v>0</v>
      </c>
      <c r="J56" s="222">
        <f>ROUND(data!BE64,0)</f>
        <v>0</v>
      </c>
      <c r="K56" s="222">
        <f>ROUND(data!BE65,0)</f>
        <v>0</v>
      </c>
      <c r="L56" s="222">
        <f>ROUND(data!BE66,0)</f>
        <v>0</v>
      </c>
      <c r="M56" s="66">
        <f>ROUND(data!BE67,0)</f>
        <v>0</v>
      </c>
      <c r="N56" s="222">
        <f>ROUND(data!BE68,0)</f>
        <v>0</v>
      </c>
      <c r="O56" s="222">
        <f>ROUND(data!BE69,0)</f>
        <v>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175</v>
      </c>
      <c r="B57" s="224" t="str">
        <f>RIGHT(data!$C$96,4)</f>
        <v>2022</v>
      </c>
      <c r="C57" s="16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175</v>
      </c>
      <c r="B58" s="224" t="str">
        <f>RIGHT(data!$C$96,4)</f>
        <v>2022</v>
      </c>
      <c r="C58" s="16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175</v>
      </c>
      <c r="B59" s="224" t="str">
        <f>RIGHT(data!$C$96,4)</f>
        <v>2022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175</v>
      </c>
      <c r="B60" s="224" t="str">
        <f>RIGHT(data!$C$96,4)</f>
        <v>2022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175</v>
      </c>
      <c r="B61" s="224" t="str">
        <f>RIGHT(data!$C$96,4)</f>
        <v>2022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175</v>
      </c>
      <c r="B62" s="224" t="str">
        <f>RIGHT(data!$C$96,4)</f>
        <v>2022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175</v>
      </c>
      <c r="B63" s="224" t="str">
        <f>RIGHT(data!$C$96,4)</f>
        <v>2022</v>
      </c>
      <c r="C63" s="16">
        <f>data!BL$55</f>
        <v>8560</v>
      </c>
      <c r="D63" s="16" t="s">
        <v>1123</v>
      </c>
      <c r="E63" s="222"/>
      <c r="F63" s="212">
        <f>ROUND(data!BL60,2)</f>
        <v>42.01</v>
      </c>
      <c r="G63" s="222">
        <f>ROUND(data!BL61,0)</f>
        <v>2244759</v>
      </c>
      <c r="H63" s="222">
        <f>ROUND(data!BL62,0)</f>
        <v>887648</v>
      </c>
      <c r="I63" s="222">
        <f>ROUND(data!BL63,0)</f>
        <v>0</v>
      </c>
      <c r="J63" s="222">
        <f>ROUND(data!BL64,0)</f>
        <v>19284</v>
      </c>
      <c r="K63" s="222">
        <f>ROUND(data!BL65,0)</f>
        <v>0</v>
      </c>
      <c r="L63" s="222">
        <f>ROUND(data!BL66,0)</f>
        <v>300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175</v>
      </c>
      <c r="B64" s="224" t="str">
        <f>RIGHT(data!$C$96,4)</f>
        <v>2022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175</v>
      </c>
      <c r="B65" s="224" t="str">
        <f>RIGHT(data!$C$96,4)</f>
        <v>2022</v>
      </c>
      <c r="C65" s="16">
        <f>data!BN$55</f>
        <v>8610</v>
      </c>
      <c r="D65" s="16" t="s">
        <v>1123</v>
      </c>
      <c r="E65" s="222"/>
      <c r="F65" s="212">
        <f>ROUND(data!BN60,2)</f>
        <v>16.649999999999999</v>
      </c>
      <c r="G65" s="222">
        <f>ROUND(data!BN61,0)</f>
        <v>3181468</v>
      </c>
      <c r="H65" s="222">
        <f>ROUND(data!BN62,0)</f>
        <v>527503</v>
      </c>
      <c r="I65" s="222">
        <f>ROUND(data!BN63,0)</f>
        <v>242761</v>
      </c>
      <c r="J65" s="222">
        <f>ROUND(data!BN64,0)</f>
        <v>62699</v>
      </c>
      <c r="K65" s="222">
        <f>ROUND(data!BN65,0)</f>
        <v>41820</v>
      </c>
      <c r="L65" s="222">
        <f>ROUND(data!BN66,0)</f>
        <v>3898730</v>
      </c>
      <c r="M65" s="66">
        <f>ROUND(data!BN67,0)</f>
        <v>668456</v>
      </c>
      <c r="N65" s="222">
        <f>ROUND(data!BN68,0)</f>
        <v>63499</v>
      </c>
      <c r="O65" s="222">
        <f>ROUND(data!BN69,0)</f>
        <v>1207439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1207439</v>
      </c>
      <c r="AD65" s="222">
        <f>ROUND(data!BN84,0)</f>
        <v>41120</v>
      </c>
      <c r="AE65" s="222"/>
      <c r="AF65" s="222"/>
      <c r="AG65" s="222">
        <f>IF(data!BN90&gt;0,ROUND(data!BN90,0),0)</f>
        <v>3724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175</v>
      </c>
      <c r="B66" s="224" t="str">
        <f>RIGHT(data!$C$96,4)</f>
        <v>2022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175</v>
      </c>
      <c r="B67" s="224" t="str">
        <f>RIGHT(data!$C$96,4)</f>
        <v>2022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175</v>
      </c>
      <c r="B68" s="224" t="str">
        <f>RIGHT(data!$C$96,4)</f>
        <v>2022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175</v>
      </c>
      <c r="B69" s="224" t="str">
        <f>RIGHT(data!$C$96,4)</f>
        <v>2022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175</v>
      </c>
      <c r="B70" s="224" t="str">
        <f>RIGHT(data!$C$96,4)</f>
        <v>2022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175</v>
      </c>
      <c r="B71" s="224" t="str">
        <f>RIGHT(data!$C$96,4)</f>
        <v>2022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175</v>
      </c>
      <c r="B72" s="224" t="str">
        <f>RIGHT(data!$C$96,4)</f>
        <v>2022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175</v>
      </c>
      <c r="B73" s="224" t="str">
        <f>RIGHT(data!$C$96,4)</f>
        <v>2022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175</v>
      </c>
      <c r="B74" s="224" t="str">
        <f>RIGHT(data!$C$96,4)</f>
        <v>2022</v>
      </c>
      <c r="C74" s="16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175</v>
      </c>
      <c r="B75" s="224" t="str">
        <f>RIGHT(data!$C$96,4)</f>
        <v>2022</v>
      </c>
      <c r="C75" s="16">
        <f>data!BX$55</f>
        <v>8710</v>
      </c>
      <c r="D75" s="16" t="s">
        <v>1123</v>
      </c>
      <c r="E75" s="222"/>
      <c r="F75" s="212">
        <f>ROUND(data!BX60,2)</f>
        <v>5.33</v>
      </c>
      <c r="G75" s="222">
        <f>ROUND(data!BX61,0)</f>
        <v>720092</v>
      </c>
      <c r="H75" s="222">
        <f>ROUND(data!BX62,0)</f>
        <v>148876</v>
      </c>
      <c r="I75" s="222">
        <f>ROUND(data!BX63,0)</f>
        <v>0</v>
      </c>
      <c r="J75" s="222">
        <f>ROUND(data!BX64,0)</f>
        <v>0</v>
      </c>
      <c r="K75" s="222">
        <f>ROUND(data!BX65,0)</f>
        <v>1493</v>
      </c>
      <c r="L75" s="222">
        <f>ROUND(data!BX66,0)</f>
        <v>0</v>
      </c>
      <c r="M75" s="66">
        <f>ROUND(data!BX67,0)</f>
        <v>1047</v>
      </c>
      <c r="N75" s="222">
        <f>ROUND(data!BX68,0)</f>
        <v>0</v>
      </c>
      <c r="O75" s="222">
        <f>ROUND(data!BX69,0)</f>
        <v>52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52</v>
      </c>
      <c r="AD75" s="222">
        <f>ROUND(data!BX84,0)</f>
        <v>0</v>
      </c>
      <c r="AE75" s="222"/>
      <c r="AF75" s="222"/>
      <c r="AG75" s="222">
        <f>IF(data!BX90&gt;0,ROUND(data!BX90,0),0)</f>
        <v>82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0.02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175</v>
      </c>
      <c r="B76" s="224" t="str">
        <f>RIGHT(data!$C$96,4)</f>
        <v>2022</v>
      </c>
      <c r="C76" s="16">
        <f>data!BY$55</f>
        <v>8720</v>
      </c>
      <c r="D76" s="16" t="s">
        <v>1123</v>
      </c>
      <c r="E76" s="222"/>
      <c r="F76" s="212">
        <f>ROUND(data!BY60,2)</f>
        <v>4.9800000000000004</v>
      </c>
      <c r="G76" s="222">
        <f>ROUND(data!BY61,0)</f>
        <v>867620</v>
      </c>
      <c r="H76" s="222">
        <f>ROUND(data!BY62,0)</f>
        <v>152165</v>
      </c>
      <c r="I76" s="222">
        <f>ROUND(data!BY63,0)</f>
        <v>0</v>
      </c>
      <c r="J76" s="222">
        <f>ROUND(data!BY64,0)</f>
        <v>204</v>
      </c>
      <c r="K76" s="222">
        <f>ROUND(data!BY65,0)</f>
        <v>1084</v>
      </c>
      <c r="L76" s="222">
        <f>ROUND(data!BY66,0)</f>
        <v>711</v>
      </c>
      <c r="M76" s="66">
        <f>ROUND(data!BY67,0)</f>
        <v>3303</v>
      </c>
      <c r="N76" s="222">
        <f>ROUND(data!BY68,0)</f>
        <v>0</v>
      </c>
      <c r="O76" s="222">
        <f>ROUND(data!BY69,0)</f>
        <v>49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49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0.03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175</v>
      </c>
      <c r="B77" s="224" t="str">
        <f>RIGHT(data!$C$96,4)</f>
        <v>2022</v>
      </c>
      <c r="C77" s="16">
        <f>data!BZ$55</f>
        <v>8730</v>
      </c>
      <c r="D77" s="16" t="s">
        <v>1123</v>
      </c>
      <c r="E77" s="222"/>
      <c r="F77" s="212">
        <f>ROUND(data!BZ60,2)</f>
        <v>32.04</v>
      </c>
      <c r="G77" s="222">
        <f>ROUND(data!BZ61,0)</f>
        <v>2674871</v>
      </c>
      <c r="H77" s="222">
        <f>ROUND(data!BZ62,0)</f>
        <v>635705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-2137627</v>
      </c>
      <c r="M77" s="66">
        <f>ROUND(data!BZ67,0)</f>
        <v>0</v>
      </c>
      <c r="N77" s="222">
        <f>ROUND(data!BZ68,0)</f>
        <v>0</v>
      </c>
      <c r="O77" s="222">
        <f>ROUND(data!BZ69,0)</f>
        <v>86404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86404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3.83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175</v>
      </c>
      <c r="B78" s="224" t="str">
        <f>RIGHT(data!$C$96,4)</f>
        <v>2022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175</v>
      </c>
      <c r="B79" s="224" t="str">
        <f>RIGHT(data!$C$96,4)</f>
        <v>2022</v>
      </c>
      <c r="C79" s="16">
        <f>data!CB$55</f>
        <v>8770</v>
      </c>
      <c r="D79" s="16" t="s">
        <v>1123</v>
      </c>
      <c r="E79" s="222"/>
      <c r="F79" s="212">
        <f>ROUND(data!CB60,2)</f>
        <v>2.58</v>
      </c>
      <c r="G79" s="222">
        <f>ROUND(data!CB61,0)</f>
        <v>225527</v>
      </c>
      <c r="H79" s="222">
        <f>ROUND(data!CB62,0)</f>
        <v>61400</v>
      </c>
      <c r="I79" s="222">
        <f>ROUND(data!CB63,0)</f>
        <v>0</v>
      </c>
      <c r="J79" s="222">
        <f>ROUND(data!CB64,0)</f>
        <v>3946</v>
      </c>
      <c r="K79" s="222">
        <f>ROUND(data!CB65,0)</f>
        <v>2287</v>
      </c>
      <c r="L79" s="222">
        <f>ROUND(data!CB66,0)</f>
        <v>11907</v>
      </c>
      <c r="M79" s="66">
        <f>ROUND(data!CB67,0)</f>
        <v>14905</v>
      </c>
      <c r="N79" s="222">
        <f>ROUND(data!CB68,0)</f>
        <v>0</v>
      </c>
      <c r="O79" s="222">
        <f>ROUND(data!CB69,0)</f>
        <v>7421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7421</v>
      </c>
      <c r="AD79" s="222">
        <f>ROUND(data!CB84,0)</f>
        <v>364948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175</v>
      </c>
      <c r="B80" s="224" t="str">
        <f>RIGHT(data!$C$96,4)</f>
        <v>2022</v>
      </c>
      <c r="C80" s="16">
        <f>data!CC$55</f>
        <v>8790</v>
      </c>
      <c r="D80" s="16" t="s">
        <v>1123</v>
      </c>
      <c r="E80" s="222"/>
      <c r="F80" s="212">
        <f>ROUND(data!CC60,2)</f>
        <v>58.45</v>
      </c>
      <c r="G80" s="222">
        <f>ROUND(data!CC61,0)</f>
        <v>9083245</v>
      </c>
      <c r="H80" s="222">
        <f>ROUND(data!CC62,0)</f>
        <v>1463543</v>
      </c>
      <c r="I80" s="222">
        <f>ROUND(data!CC63,0)</f>
        <v>65799</v>
      </c>
      <c r="J80" s="222">
        <f>ROUND(data!CC64,0)</f>
        <v>188915</v>
      </c>
      <c r="K80" s="222">
        <f>ROUND(data!CC65,0)</f>
        <v>49689</v>
      </c>
      <c r="L80" s="222">
        <f>ROUND(data!CC66,0)</f>
        <v>89591075</v>
      </c>
      <c r="M80" s="66">
        <f>ROUND(data!CC67,0)</f>
        <v>336576</v>
      </c>
      <c r="N80" s="222">
        <f>ROUND(data!CC68,0)</f>
        <v>670644</v>
      </c>
      <c r="O80" s="222">
        <f>ROUND(data!CC69,0)</f>
        <v>9508123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9508123</v>
      </c>
      <c r="AD80" s="222">
        <f>ROUND(data!CC84,0)</f>
        <v>6314232</v>
      </c>
      <c r="AE80" s="222"/>
      <c r="AF80" s="222"/>
      <c r="AG80" s="222">
        <f>IF(data!CC90&gt;0,ROUND(data!CC90,0),0)</f>
        <v>88775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1265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22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Mary Bridge Children's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H-175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311 South L Street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Tacoma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37" zoomScaleNormal="100" workbookViewId="0">
      <selection activeCell="I63" sqref="I6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175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7158135.6999999993</v>
      </c>
      <c r="C15" s="274">
        <f>data!C85</f>
        <v>8625297.8499999996</v>
      </c>
      <c r="D15" s="274">
        <f>'Prior Year'!C60</f>
        <v>2539</v>
      </c>
      <c r="E15" s="1">
        <f>data!C59</f>
        <v>2623</v>
      </c>
      <c r="F15" s="238">
        <f t="shared" ref="F15:F59" si="0">IF(B15=0,"",IF(D15=0,"",B15/D15))</f>
        <v>2819.2736116581327</v>
      </c>
      <c r="G15" s="238">
        <f t="shared" ref="G15:G29" si="1">IF(C15=0,"",IF(E15=0,"",C15/E15))</f>
        <v>3288.3331490659548</v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10256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4">
        <f>'Prior Year'!E86</f>
        <v>12453120.309999999</v>
      </c>
      <c r="C17" s="274">
        <f>data!E85</f>
        <v>16983628.369999997</v>
      </c>
      <c r="D17" s="274">
        <f>'Prior Year'!E60</f>
        <v>0</v>
      </c>
      <c r="E17" s="1">
        <f>data!E59</f>
        <v>12801</v>
      </c>
      <c r="F17" s="238" t="str">
        <f t="shared" si="0"/>
        <v/>
      </c>
      <c r="G17" s="238">
        <f t="shared" si="1"/>
        <v>1326.7423146629167</v>
      </c>
      <c r="H17" s="6" t="str">
        <f t="shared" si="2"/>
        <v/>
      </c>
      <c r="I17" s="274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14887059.050000001</v>
      </c>
      <c r="C28" s="274">
        <f>data!P85</f>
        <v>17224081.769999996</v>
      </c>
      <c r="D28" s="274">
        <f>'Prior Year'!P60</f>
        <v>1271945</v>
      </c>
      <c r="E28" s="1">
        <f>data!P59</f>
        <v>1083660</v>
      </c>
      <c r="F28" s="238">
        <f t="shared" si="0"/>
        <v>11.704168851640599</v>
      </c>
      <c r="G28" s="238">
        <f t="shared" si="1"/>
        <v>15.894359642323234</v>
      </c>
      <c r="H28" s="6">
        <f t="shared" si="2"/>
        <v>0.35800840228781272</v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0</v>
      </c>
      <c r="C31" s="274">
        <f>data!S85</f>
        <v>0</v>
      </c>
      <c r="D31" s="274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4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4">
        <f>'Prior Year'!T86</f>
        <v>6478531.040000001</v>
      </c>
      <c r="C32" s="274">
        <f>data!T85</f>
        <v>6358925.3899999997</v>
      </c>
      <c r="D32" s="274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4" t="e">
        <f t="shared" si="3"/>
        <v>#VALUE!</v>
      </c>
      <c r="M32" s="7"/>
    </row>
    <row r="33" spans="1:13" x14ac:dyDescent="0.35">
      <c r="A33" s="1" t="s">
        <v>727</v>
      </c>
      <c r="B33" s="274">
        <f>'Prior Year'!U86</f>
        <v>0</v>
      </c>
      <c r="C33" s="274">
        <f>data!U85</f>
        <v>2499.9999999995343</v>
      </c>
      <c r="D33" s="274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4">
        <f>'Prior Year'!V86</f>
        <v>5430</v>
      </c>
      <c r="C34" s="274">
        <f>data!V85</f>
        <v>10776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24607.06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4">
        <f>'Prior Year'!X86</f>
        <v>-7951.76</v>
      </c>
      <c r="C36" s="274">
        <f>data!X85</f>
        <v>1425.65</v>
      </c>
      <c r="D36" s="274">
        <f>'Prior Year'!X60</f>
        <v>13810.02</v>
      </c>
      <c r="E36" s="1">
        <f>data!X59</f>
        <v>0</v>
      </c>
      <c r="F36" s="238">
        <f t="shared" si="0"/>
        <v>-0.57579641448745189</v>
      </c>
      <c r="G36" s="238" t="str">
        <f t="shared" si="5"/>
        <v/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4">
        <f>'Prior Year'!Y86</f>
        <v>331072.44</v>
      </c>
      <c r="C37" s="274">
        <f>data!Y85</f>
        <v>364125.19</v>
      </c>
      <c r="D37" s="274">
        <f>'Prior Year'!Y60</f>
        <v>45577.600000000006</v>
      </c>
      <c r="E37" s="1">
        <f>data!Y59</f>
        <v>0</v>
      </c>
      <c r="F37" s="238">
        <f t="shared" si="0"/>
        <v>7.2639287720283638</v>
      </c>
      <c r="G37" s="238" t="str">
        <f t="shared" si="5"/>
        <v/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79</v>
      </c>
      <c r="C39" s="274">
        <f>data!AA85</f>
        <v>0</v>
      </c>
      <c r="D39" s="274">
        <f>'Prior Year'!AA60</f>
        <v>1834.66</v>
      </c>
      <c r="E39" s="1">
        <f>data!AA59</f>
        <v>0</v>
      </c>
      <c r="F39" s="238">
        <f t="shared" si="0"/>
        <v>4.3059749490368789E-2</v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4">
        <f>'Prior Year'!AB86</f>
        <v>17397793.940000001</v>
      </c>
      <c r="C40" s="274">
        <f>data!AB85</f>
        <v>27019561.479999993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35">
      <c r="A41" s="1" t="s">
        <v>735</v>
      </c>
      <c r="B41" s="274">
        <f>'Prior Year'!AC86</f>
        <v>2775485.08</v>
      </c>
      <c r="C41" s="274">
        <f>data!AC85</f>
        <v>2467682.98</v>
      </c>
      <c r="D41" s="274">
        <f>'Prior Year'!AC60</f>
        <v>15505.74</v>
      </c>
      <c r="E41" s="1">
        <f>data!AC59</f>
        <v>41854.67</v>
      </c>
      <c r="F41" s="238">
        <f t="shared" si="0"/>
        <v>178.9972668186104</v>
      </c>
      <c r="G41" s="238">
        <f t="shared" si="5"/>
        <v>58.958366652992368</v>
      </c>
      <c r="H41" s="6">
        <f t="shared" si="2"/>
        <v>-0.67061862060308042</v>
      </c>
      <c r="I41" s="274" t="str">
        <f t="shared" si="3"/>
        <v/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4">
        <f>'Prior Year'!AE86</f>
        <v>2781221.35</v>
      </c>
      <c r="C43" s="274">
        <f>data!AE85</f>
        <v>3576205.42</v>
      </c>
      <c r="D43" s="274">
        <f>'Prior Year'!AE60</f>
        <v>57136</v>
      </c>
      <c r="E43" s="1">
        <f>data!AE59</f>
        <v>36649</v>
      </c>
      <c r="F43" s="238">
        <f t="shared" si="0"/>
        <v>48.6772148907869</v>
      </c>
      <c r="G43" s="238">
        <f t="shared" si="5"/>
        <v>97.579890856503582</v>
      </c>
      <c r="H43" s="6">
        <f t="shared" si="2"/>
        <v>1.0046317579063557</v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4">
        <f>'Prior Year'!AG86</f>
        <v>16485418.52</v>
      </c>
      <c r="C45" s="274">
        <f>data!AG85</f>
        <v>23303078.800000001</v>
      </c>
      <c r="D45" s="274">
        <f>'Prior Year'!AG60</f>
        <v>96362.99</v>
      </c>
      <c r="E45" s="1">
        <f>data!AG59</f>
        <v>0</v>
      </c>
      <c r="F45" s="238">
        <f t="shared" si="0"/>
        <v>171.0762453510419</v>
      </c>
      <c r="G45" s="238" t="str">
        <f t="shared" si="5"/>
        <v/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4">
        <f>'Prior Year'!AJ86</f>
        <v>56522607.930000007</v>
      </c>
      <c r="C48" s="274">
        <f>data!AJ85</f>
        <v>63845043.790000014</v>
      </c>
      <c r="D48" s="274">
        <f>'Prior Year'!AJ60</f>
        <v>54232.42</v>
      </c>
      <c r="E48" s="1">
        <f>data!AJ59</f>
        <v>0</v>
      </c>
      <c r="F48" s="238">
        <f t="shared" si="0"/>
        <v>1042.2291302877506</v>
      </c>
      <c r="G48" s="238" t="str">
        <f t="shared" si="5"/>
        <v/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4913470.5699999994</v>
      </c>
      <c r="C49" s="274">
        <f>data!AK85</f>
        <v>6205027.5799999991</v>
      </c>
      <c r="D49" s="274">
        <f>'Prior Year'!AK60</f>
        <v>60775</v>
      </c>
      <c r="E49" s="1">
        <f>data!AK59</f>
        <v>40900</v>
      </c>
      <c r="F49" s="238">
        <f t="shared" si="0"/>
        <v>80.846903661044834</v>
      </c>
      <c r="G49" s="238">
        <f t="shared" si="5"/>
        <v>151.71216577017114</v>
      </c>
      <c r="H49" s="6">
        <f t="shared" si="2"/>
        <v>0.87653650170985986</v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2467895.7700000005</v>
      </c>
      <c r="C50" s="274">
        <f>data!AL85</f>
        <v>3387348.62</v>
      </c>
      <c r="D50" s="274">
        <f>'Prior Year'!AL60</f>
        <v>58415</v>
      </c>
      <c r="E50" s="1">
        <f>data!AL59</f>
        <v>57200</v>
      </c>
      <c r="F50" s="238">
        <f t="shared" si="0"/>
        <v>42.247637935461789</v>
      </c>
      <c r="G50" s="238">
        <f t="shared" si="5"/>
        <v>59.219381468531473</v>
      </c>
      <c r="H50" s="6">
        <f t="shared" si="2"/>
        <v>0.40172053071927971</v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50554275.819999993</v>
      </c>
      <c r="C60" s="274">
        <f>data!AV85</f>
        <v>54033869.899999999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675688.52</v>
      </c>
      <c r="C61" s="274">
        <f>data!AW85</f>
        <v>1924885.3900000001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757</v>
      </c>
      <c r="B63" s="274">
        <f>'Prior Year'!AY86</f>
        <v>-28072.26999999999</v>
      </c>
      <c r="C63" s="274">
        <f>data!AY85</f>
        <v>-8579.6700000000419</v>
      </c>
      <c r="D63" s="274">
        <f>'Prior Year'!AY60</f>
        <v>45034</v>
      </c>
      <c r="E63" s="1">
        <f>data!AY59</f>
        <v>47488</v>
      </c>
      <c r="F63" s="238">
        <f>IF(B63=0,"",IF(D63=0,"",B63/D63))</f>
        <v>-0.62335724119554092</v>
      </c>
      <c r="G63" s="238">
        <f t="shared" si="5"/>
        <v>-0.18067027459568821</v>
      </c>
      <c r="H63" s="6">
        <f>IF(B63=0,"",IF(C63=0,"",IF(D63=0,"",IF(E63=0,"",IF(G63/F63-1&lt;-0.25,G63/F63-1,IF(G63/F63-1&gt;0.25,G63/F63-1,""))))))</f>
        <v>-0.71016575623765998</v>
      </c>
      <c r="I63" s="274" t="str">
        <f t="shared" si="6"/>
        <v/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0</v>
      </c>
      <c r="C65" s="274">
        <f>data!BA85</f>
        <v>0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1700935.26</v>
      </c>
      <c r="C66" s="274">
        <f>data!BB85</f>
        <v>1429257.1800000002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0</v>
      </c>
      <c r="C68" s="274">
        <f>data!BD85</f>
        <v>0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0</v>
      </c>
      <c r="C69" s="274">
        <f>data!BE85</f>
        <v>0</v>
      </c>
      <c r="D69" s="274">
        <f>'Prior Year'!BE60</f>
        <v>181220.55499999999</v>
      </c>
      <c r="E69" s="1">
        <f>data!BE59</f>
        <v>177381.27499999997</v>
      </c>
      <c r="F69" s="238" t="str">
        <f>IF(B69=0,"",IF(D69=0,"",B69/D69))</f>
        <v/>
      </c>
      <c r="G69" s="238" t="str">
        <f t="shared" si="5"/>
        <v/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0</v>
      </c>
      <c r="C70" s="274">
        <f>data!BF85</f>
        <v>0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0</v>
      </c>
      <c r="C71" s="274">
        <f>data!BG85</f>
        <v>0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0</v>
      </c>
      <c r="C72" s="274">
        <f>data!BH85</f>
        <v>0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0</v>
      </c>
      <c r="C74" s="274">
        <f>data!BJ85</f>
        <v>0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0</v>
      </c>
      <c r="C75" s="274">
        <f>data!BK85</f>
        <v>0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2011684.0099999998</v>
      </c>
      <c r="C76" s="274">
        <f>data!BL85</f>
        <v>3151991.1900000004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5826404.2599999998</v>
      </c>
      <c r="C78" s="274">
        <f>data!BN85</f>
        <v>9853254.6100000013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0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0</v>
      </c>
      <c r="C82" s="274">
        <f>data!BR85</f>
        <v>0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0</v>
      </c>
      <c r="C86" s="274">
        <f>data!BV85</f>
        <v>0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614690.27000000014</v>
      </c>
      <c r="C88" s="274">
        <f>data!BX85</f>
        <v>871560.51000000013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979458.96999999986</v>
      </c>
      <c r="C89" s="274">
        <f>data!BY85</f>
        <v>1025136.9600000001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2374168.75</v>
      </c>
      <c r="C90" s="274">
        <f>data!BZ85</f>
        <v>1259353.2399999998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0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29741.690000000031</v>
      </c>
      <c r="C92" s="274">
        <f>data!CB85</f>
        <v>-37554.709999999963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60997189.720000006</v>
      </c>
      <c r="C93" s="274">
        <f>data!CC85</f>
        <v>104643377.23999999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11906110.35</v>
      </c>
      <c r="C94" s="274">
        <f>data!CD85</f>
        <v>12102889.360000001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1" t="s">
        <v>1348</v>
      </c>
    </row>
    <row r="3" spans="1:4" x14ac:dyDescent="0.35">
      <c r="A3" s="11" t="s">
        <v>789</v>
      </c>
    </row>
    <row r="4" spans="1:4" x14ac:dyDescent="0.35">
      <c r="A4" s="319" t="s">
        <v>1346</v>
      </c>
    </row>
    <row r="5" spans="1:4" x14ac:dyDescent="0.35">
      <c r="A5" s="320" t="s">
        <v>1344</v>
      </c>
    </row>
    <row r="6" spans="1:4" x14ac:dyDescent="0.35">
      <c r="A6" s="318"/>
    </row>
    <row r="7" spans="1:4" x14ac:dyDescent="0.35">
      <c r="A7" s="319" t="s">
        <v>1347</v>
      </c>
    </row>
    <row r="8" spans="1:4" x14ac:dyDescent="0.35">
      <c r="A8" s="320" t="s">
        <v>1345</v>
      </c>
    </row>
    <row r="11" spans="1:4" x14ac:dyDescent="0.35">
      <c r="A11" s="13" t="s">
        <v>790</v>
      </c>
      <c r="D11" s="275">
        <f>data!C380</f>
        <v>16111456.140000001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12283151.029999999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H-175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Mary Bridge Children's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98405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Pierce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(253) 403-1000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(253) 459-7859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4284</v>
      </c>
      <c r="G23" s="81">
        <f>data!D127</f>
        <v>16051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22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60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82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82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Mary Bridge Children's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0</v>
      </c>
      <c r="C7" s="141">
        <f>data!B155</f>
        <v>0</v>
      </c>
      <c r="D7" s="141">
        <f>data!B156</f>
        <v>154</v>
      </c>
      <c r="E7" s="141">
        <f>data!B157</f>
        <v>40651.196862189201</v>
      </c>
      <c r="F7" s="141">
        <f>data!B158</f>
        <v>100607.65925170819</v>
      </c>
      <c r="G7" s="141">
        <f>data!B157+data!B158</f>
        <v>141258.8561138974</v>
      </c>
    </row>
    <row r="8" spans="1:7" ht="20.149999999999999" customHeight="1" x14ac:dyDescent="0.35">
      <c r="A8" s="77" t="s">
        <v>331</v>
      </c>
      <c r="B8" s="141">
        <f>data!C154</f>
        <v>2447</v>
      </c>
      <c r="C8" s="141">
        <f>data!C155</f>
        <v>10795</v>
      </c>
      <c r="D8" s="141">
        <f>data!C156</f>
        <v>77739</v>
      </c>
      <c r="E8" s="141">
        <f>data!C157</f>
        <v>166886080.29973787</v>
      </c>
      <c r="F8" s="141">
        <f>data!C158</f>
        <v>413026409.96201754</v>
      </c>
      <c r="G8" s="141">
        <f>data!C157+data!C158</f>
        <v>579912490.26175547</v>
      </c>
    </row>
    <row r="9" spans="1:7" ht="20.149999999999999" customHeight="1" x14ac:dyDescent="0.35">
      <c r="A9" s="77" t="s">
        <v>829</v>
      </c>
      <c r="B9" s="141">
        <f>data!D154</f>
        <v>1837</v>
      </c>
      <c r="C9" s="141">
        <f>data!D155</f>
        <v>5256</v>
      </c>
      <c r="D9" s="141">
        <f>data!D156</f>
        <v>60972</v>
      </c>
      <c r="E9" s="141">
        <f>data!D157</f>
        <v>124693266.14340003</v>
      </c>
      <c r="F9" s="141">
        <f>data!D158</f>
        <v>308603401.60873085</v>
      </c>
      <c r="G9" s="141">
        <f>data!D157+data!D158</f>
        <v>433296667.75213087</v>
      </c>
    </row>
    <row r="10" spans="1:7" ht="20.149999999999999" customHeight="1" x14ac:dyDescent="0.35">
      <c r="A10" s="92" t="s">
        <v>215</v>
      </c>
      <c r="B10" s="141">
        <f>data!E154</f>
        <v>4284</v>
      </c>
      <c r="C10" s="141">
        <f>data!E155</f>
        <v>16051</v>
      </c>
      <c r="D10" s="141">
        <f>data!E156</f>
        <v>138865</v>
      </c>
      <c r="E10" s="141">
        <f>data!E157</f>
        <v>291619997.6400001</v>
      </c>
      <c r="F10" s="141">
        <f>data!E158</f>
        <v>721730419.23000002</v>
      </c>
      <c r="G10" s="141">
        <f>E10+F10</f>
        <v>1013350416.8700001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Mary Bridge Children's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8952027.3899999987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12627476.210000001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5172238.4999999991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30991.69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26782733.790000003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6022194.25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18334.96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6040529.21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5598566.9400000004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5598566.9400000004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255854.16999999998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3524184.33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3780038.5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2724283.92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2724283.92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Mary Bridge Children's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774202</v>
      </c>
      <c r="D7" s="81">
        <f>data!C225</f>
        <v>9947.0600000000013</v>
      </c>
      <c r="E7" s="81">
        <f>data!D225</f>
        <v>0</v>
      </c>
      <c r="F7" s="81">
        <f>data!E211</f>
        <v>774202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472407.19</v>
      </c>
      <c r="D8" s="81">
        <f>data!C226</f>
        <v>1896775.1400000018</v>
      </c>
      <c r="E8" s="81">
        <f>data!D226</f>
        <v>0</v>
      </c>
      <c r="F8" s="81">
        <f>data!E212</f>
        <v>472407.19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140656008.25</v>
      </c>
      <c r="D9" s="81">
        <f>data!C227</f>
        <v>0</v>
      </c>
      <c r="E9" s="81">
        <f>data!D227</f>
        <v>0</v>
      </c>
      <c r="F9" s="81">
        <f>data!E213</f>
        <v>141549709.83000001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68404.679999999993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2442391.4599999995</v>
      </c>
      <c r="D11" s="81">
        <f>data!C229</f>
        <v>1875365.3900000013</v>
      </c>
      <c r="E11" s="81">
        <f>data!D229</f>
        <v>3571847.8</v>
      </c>
      <c r="F11" s="81">
        <f>data!E215</f>
        <v>2493871.3899999997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39019486.230000004</v>
      </c>
      <c r="D12" s="81">
        <f>data!C230</f>
        <v>0</v>
      </c>
      <c r="E12" s="81">
        <f>data!D230</f>
        <v>0</v>
      </c>
      <c r="F12" s="81">
        <f>data!E216</f>
        <v>37581148.800000004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1987741.4399999992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10987022.950000001</v>
      </c>
      <c r="D14" s="81">
        <f>data!C232</f>
        <v>0</v>
      </c>
      <c r="E14" s="81">
        <f>data!D232</f>
        <v>0</v>
      </c>
      <c r="F14" s="81">
        <f>data!E218</f>
        <v>15752053.040000001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5838233.7100000028</v>
      </c>
      <c r="E15" s="81">
        <f>data!D233</f>
        <v>3571847.8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194351518.07999998</v>
      </c>
      <c r="D16" s="81">
        <f>data!C234</f>
        <v>0</v>
      </c>
      <c r="E16" s="81">
        <f>data!D234</f>
        <v>0</v>
      </c>
      <c r="F16" s="81">
        <f>data!E220</f>
        <v>198623392.25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415820.35</v>
      </c>
      <c r="D24" s="81">
        <f>data!C225</f>
        <v>9947.0600000000013</v>
      </c>
      <c r="E24" s="81">
        <f>data!D225</f>
        <v>0</v>
      </c>
      <c r="F24" s="81">
        <f>data!E225</f>
        <v>425767.41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56264368.379999995</v>
      </c>
      <c r="D25" s="81">
        <f>data!C226</f>
        <v>1896775.1400000018</v>
      </c>
      <c r="E25" s="81">
        <f>data!D226</f>
        <v>0</v>
      </c>
      <c r="F25" s="81">
        <f>data!E226</f>
        <v>58161143.519999996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2270686.3699999996</v>
      </c>
      <c r="D27" s="81">
        <f>data!C228</f>
        <v>68404.679999999993</v>
      </c>
      <c r="E27" s="81">
        <f>data!D228</f>
        <v>0</v>
      </c>
      <c r="F27" s="81">
        <f>data!E228</f>
        <v>2339091.0499999998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29559529.749999996</v>
      </c>
      <c r="D28" s="81">
        <f>data!C229</f>
        <v>1875365.3900000013</v>
      </c>
      <c r="E28" s="81">
        <f>data!D229</f>
        <v>3571847.8</v>
      </c>
      <c r="F28" s="81">
        <f>data!E229</f>
        <v>27863047.339999996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4155546.59</v>
      </c>
      <c r="D30" s="81">
        <f>data!C231</f>
        <v>1987741.4399999992</v>
      </c>
      <c r="E30" s="81">
        <f>data!D231</f>
        <v>0</v>
      </c>
      <c r="F30" s="81">
        <f>data!E231</f>
        <v>6143288.0299999993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92665951.439999998</v>
      </c>
      <c r="D32" s="81">
        <f>data!C233</f>
        <v>5838233.7100000028</v>
      </c>
      <c r="E32" s="81">
        <f>data!D233</f>
        <v>3571847.8</v>
      </c>
      <c r="F32" s="81">
        <f>data!E233</f>
        <v>94932337.349999994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Mary Bridge Children's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8343628.9400000004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86072.614974230892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353355434.59874284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172382.45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66899284.155374393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196947017.10090846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617460190.91999996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2943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1558057.1368388627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3856036.0731611378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5414093.2100000009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5917113.2000000002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5917113.2000000002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