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B2A23B62-2FC6-42EB-B7CA-346D7BD02695}" xr6:coauthVersionLast="47" xr6:coauthVersionMax="47" xr10:uidLastSave="{00000000-0000-0000-0000-000000000000}"/>
  <workbookProtection workbookAlgorithmName="SHA-512" workbookHashValue="j+X4r2bx7jWRvki+HGIihY1NUMlmrDQgpWvosRHxpKQ53mG9ujkbwf9JcomGLZbgQXUhLxTe6QksNtXKrAnVww==" workbookSaltValue="nWsYAButxGDhOpDjw4FI2A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5" i="24" l="1"/>
  <c r="C390" i="24"/>
  <c r="F258" i="24" l="1"/>
  <c r="F256" i="24"/>
  <c r="F252" i="24"/>
  <c r="F245" i="24"/>
  <c r="F237" i="24"/>
  <c r="F206" i="24"/>
  <c r="F202" i="24"/>
  <c r="F197" i="24"/>
  <c r="F193" i="24"/>
  <c r="F189" i="24"/>
  <c r="CG63" i="24"/>
  <c r="CG64" i="24"/>
  <c r="CG65" i="24"/>
  <c r="CG66" i="24"/>
  <c r="CG68" i="24"/>
  <c r="CG86" i="24"/>
  <c r="CG61" i="24"/>
  <c r="CF62" i="24"/>
  <c r="CG62" i="24" s="1"/>
  <c r="CF63" i="24"/>
  <c r="CF64" i="24"/>
  <c r="CF65" i="24"/>
  <c r="CF66" i="24"/>
  <c r="CF67" i="24"/>
  <c r="CG67" i="24" s="1"/>
  <c r="CF68" i="24"/>
  <c r="CF61" i="24"/>
  <c r="BZ89" i="24"/>
  <c r="BC89" i="24"/>
  <c r="L156" i="24" l="1"/>
  <c r="O88" i="24"/>
  <c r="CF88" i="24"/>
  <c r="CF87" i="24"/>
  <c r="O87" i="24"/>
  <c r="BZ94" i="24"/>
  <c r="G414" i="24" l="1"/>
  <c r="F414" i="24"/>
  <c r="G399" i="24"/>
  <c r="F399" i="24"/>
  <c r="G390" i="24"/>
  <c r="G391" i="24"/>
  <c r="G392" i="24"/>
  <c r="G393" i="24"/>
  <c r="G394" i="24"/>
  <c r="G395" i="24"/>
  <c r="G396" i="24"/>
  <c r="G389" i="24"/>
  <c r="F390" i="24"/>
  <c r="F391" i="24"/>
  <c r="F392" i="24"/>
  <c r="F393" i="24"/>
  <c r="F394" i="24"/>
  <c r="F395" i="24"/>
  <c r="F396" i="24"/>
  <c r="F389" i="24"/>
  <c r="CC66" i="24" l="1"/>
  <c r="CF59" i="24" l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AE6" i="31" s="1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E38" i="31" s="1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E46" i="31" s="1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E157" i="24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CG88" i="24" s="1"/>
  <c r="CE87" i="24"/>
  <c r="CG87" i="24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I377" i="32" l="1"/>
  <c r="F158" i="24"/>
  <c r="F359" i="24"/>
  <c r="G359" i="24" s="1"/>
  <c r="I376" i="32"/>
  <c r="F157" i="24"/>
  <c r="G157" i="24" s="1"/>
  <c r="F358" i="24"/>
  <c r="G358" i="24" s="1"/>
  <c r="F10" i="4"/>
  <c r="G158" i="24"/>
  <c r="E10" i="4"/>
  <c r="G10" i="4" s="1"/>
  <c r="E58" i="32"/>
  <c r="F90" i="32"/>
  <c r="F218" i="32"/>
  <c r="AU48" i="24"/>
  <c r="AU62" i="24" s="1"/>
  <c r="H46" i="31" s="1"/>
  <c r="G48" i="24"/>
  <c r="G62" i="24" s="1"/>
  <c r="G12" i="32" s="1"/>
  <c r="W48" i="24"/>
  <c r="W62" i="24" s="1"/>
  <c r="BK48" i="24"/>
  <c r="BK62" i="24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R48" i="24"/>
  <c r="R62" i="24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268" i="32"/>
  <c r="H7" i="31"/>
  <c r="H65" i="31"/>
  <c r="C300" i="32"/>
  <c r="E32" i="6"/>
  <c r="E15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F300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AV52" i="24"/>
  <c r="AV67" i="24" s="1"/>
  <c r="D22" i="7"/>
  <c r="D258" i="24"/>
  <c r="H17" i="31"/>
  <c r="D76" i="32"/>
  <c r="H37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X52" i="24"/>
  <c r="X67" i="24" s="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I1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AC86" i="25" s="1"/>
  <c r="CE68" i="25"/>
  <c r="E234" i="25"/>
  <c r="CE70" i="25"/>
  <c r="CE53" i="25"/>
  <c r="D342" i="25"/>
  <c r="D351" i="25" s="1"/>
  <c r="E236" i="32" l="1"/>
  <c r="G332" i="32"/>
  <c r="D204" i="32"/>
  <c r="F44" i="32"/>
  <c r="H18" i="31"/>
  <c r="H23" i="31"/>
  <c r="C236" i="32"/>
  <c r="H71" i="31"/>
  <c r="G76" i="32"/>
  <c r="H39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S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E85" i="24" l="1"/>
  <c r="E21" i="32" s="1"/>
  <c r="E17" i="32"/>
  <c r="M61" i="3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E85" i="32"/>
  <c r="C31" i="15"/>
  <c r="G31" i="15" s="1"/>
  <c r="C684" i="24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F20" i="15"/>
  <c r="M50" i="31"/>
  <c r="I209" i="32"/>
  <c r="AY85" i="24"/>
  <c r="F82" i="15"/>
  <c r="F29" i="15"/>
  <c r="G94" i="15"/>
  <c r="H94" i="15" s="1"/>
  <c r="I94" i="15" s="1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H72" i="15"/>
  <c r="I72" i="15" s="1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H277" i="32" l="1"/>
  <c r="H27" i="15"/>
  <c r="I27" i="15" s="1"/>
  <c r="H54" i="15"/>
  <c r="I54" i="15" s="1"/>
  <c r="H36" i="15"/>
  <c r="I36" i="15" s="1"/>
  <c r="C670" i="24"/>
  <c r="C17" i="15"/>
  <c r="G17" i="15" s="1"/>
  <c r="I117" i="32"/>
  <c r="C695" i="24"/>
  <c r="C74" i="15"/>
  <c r="G74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17" i="15" l="1"/>
  <c r="I17" i="15" s="1"/>
  <c r="H50" i="15"/>
  <c r="I50" i="15" s="1"/>
  <c r="H76" i="15"/>
  <c r="I76" i="15" s="1"/>
  <c r="G16" i="15"/>
  <c r="H16" i="15" s="1"/>
  <c r="I16" i="15" s="1"/>
  <c r="G30" i="15"/>
  <c r="H30" i="15"/>
  <c r="I30" i="15" s="1"/>
  <c r="G47" i="15"/>
  <c r="H47" i="15"/>
  <c r="I47" i="15" s="1"/>
  <c r="H40" i="15"/>
  <c r="I40" i="15" s="1"/>
  <c r="G18" i="15"/>
  <c r="H18" i="15"/>
  <c r="I18" i="15" s="1"/>
  <c r="H69" i="15"/>
  <c r="I69" i="15" s="1"/>
  <c r="G20" i="15"/>
  <c r="H20" i="15"/>
  <c r="I20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 s="1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C177" i="8" l="1"/>
  <c r="D428" i="24"/>
  <c r="H15" i="15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M710" i="25" s="1"/>
  <c r="K702" i="25"/>
  <c r="K694" i="25"/>
  <c r="M694" i="25" s="1"/>
  <c r="K686" i="25"/>
  <c r="K707" i="25"/>
  <c r="M707" i="25" s="1"/>
  <c r="K699" i="25"/>
  <c r="M699" i="25" s="1"/>
  <c r="K691" i="25"/>
  <c r="M691" i="25" s="1"/>
  <c r="K683" i="25"/>
  <c r="K712" i="25"/>
  <c r="K704" i="25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M672" i="25" s="1"/>
  <c r="K690" i="25"/>
  <c r="M690" i="25" s="1"/>
  <c r="K677" i="25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L696" i="24" l="1"/>
  <c r="L684" i="24"/>
  <c r="L702" i="24"/>
  <c r="L687" i="24"/>
  <c r="L680" i="24"/>
  <c r="L713" i="24"/>
  <c r="L679" i="24"/>
  <c r="L688" i="24"/>
  <c r="L703" i="24"/>
  <c r="L691" i="24"/>
  <c r="L692" i="24"/>
  <c r="L675" i="24"/>
  <c r="L712" i="24"/>
  <c r="L709" i="24"/>
  <c r="L705" i="24"/>
  <c r="L674" i="24"/>
  <c r="L689" i="24"/>
  <c r="L697" i="24"/>
  <c r="L698" i="24"/>
  <c r="L706" i="24"/>
  <c r="L678" i="24"/>
  <c r="L704" i="24"/>
  <c r="L668" i="24"/>
  <c r="L670" i="24"/>
  <c r="L699" i="24"/>
  <c r="L707" i="24"/>
  <c r="L683" i="24"/>
  <c r="L710" i="24"/>
  <c r="L672" i="24"/>
  <c r="L685" i="24"/>
  <c r="L673" i="24"/>
  <c r="L671" i="24"/>
  <c r="L711" i="24"/>
  <c r="L716" i="24"/>
  <c r="L694" i="24"/>
  <c r="L690" i="24"/>
  <c r="L676" i="24"/>
  <c r="L677" i="24"/>
  <c r="L669" i="24"/>
  <c r="L700" i="24"/>
  <c r="L686" i="24"/>
  <c r="L695" i="24"/>
  <c r="L701" i="24"/>
  <c r="L681" i="24"/>
  <c r="L682" i="24"/>
  <c r="L693" i="24"/>
  <c r="M677" i="25"/>
  <c r="M683" i="25"/>
  <c r="M692" i="25"/>
  <c r="M704" i="25"/>
  <c r="M686" i="25"/>
  <c r="M693" i="25"/>
  <c r="M681" i="25"/>
  <c r="M689" i="25"/>
  <c r="M684" i="25"/>
  <c r="M714" i="25"/>
  <c r="M674" i="25"/>
  <c r="M706" i="25"/>
  <c r="M697" i="25"/>
  <c r="M708" i="25"/>
  <c r="M696" i="25"/>
  <c r="M678" i="25"/>
  <c r="M702" i="25"/>
  <c r="M682" i="25"/>
  <c r="L716" i="25"/>
  <c r="M709" i="25"/>
  <c r="M712" i="25"/>
  <c r="K713" i="24"/>
  <c r="K703" i="24"/>
  <c r="K695" i="24"/>
  <c r="M695" i="24" s="1"/>
  <c r="I119" i="32" s="1"/>
  <c r="K712" i="24"/>
  <c r="K711" i="24"/>
  <c r="K707" i="24"/>
  <c r="K699" i="24"/>
  <c r="K691" i="24"/>
  <c r="M691" i="24" s="1"/>
  <c r="E119" i="32" s="1"/>
  <c r="K683" i="24"/>
  <c r="K694" i="24"/>
  <c r="M694" i="24" s="1"/>
  <c r="H119" i="32" s="1"/>
  <c r="K689" i="24"/>
  <c r="K684" i="24"/>
  <c r="M684" i="24" s="1"/>
  <c r="E87" i="32" s="1"/>
  <c r="K679" i="24"/>
  <c r="K672" i="24"/>
  <c r="K693" i="24"/>
  <c r="K688" i="24"/>
  <c r="K669" i="24"/>
  <c r="K716" i="24"/>
  <c r="K678" i="24"/>
  <c r="K674" i="24"/>
  <c r="K708" i="24"/>
  <c r="M708" i="24" s="1"/>
  <c r="H183" i="32" s="1"/>
  <c r="K668" i="24"/>
  <c r="K701" i="24"/>
  <c r="K706" i="24"/>
  <c r="K705" i="24"/>
  <c r="K704" i="24"/>
  <c r="K686" i="24"/>
  <c r="K681" i="24"/>
  <c r="M681" i="24" s="1"/>
  <c r="I55" i="32" s="1"/>
  <c r="K676" i="24"/>
  <c r="M676" i="24" s="1"/>
  <c r="D55" i="32" s="1"/>
  <c r="K673" i="24"/>
  <c r="K709" i="24"/>
  <c r="K702" i="24"/>
  <c r="M702" i="24" s="1"/>
  <c r="I151" i="32" s="1"/>
  <c r="K700" i="24"/>
  <c r="K696" i="24"/>
  <c r="K677" i="24"/>
  <c r="M677" i="24" s="1"/>
  <c r="E55" i="32" s="1"/>
  <c r="K675" i="24"/>
  <c r="M675" i="24" s="1"/>
  <c r="C55" i="32" s="1"/>
  <c r="K671" i="24"/>
  <c r="M671" i="24" s="1"/>
  <c r="F23" i="32" s="1"/>
  <c r="K690" i="24"/>
  <c r="K692" i="24"/>
  <c r="K685" i="24"/>
  <c r="K710" i="24"/>
  <c r="M710" i="24" s="1"/>
  <c r="C215" i="32" s="1"/>
  <c r="K698" i="24"/>
  <c r="M698" i="24" s="1"/>
  <c r="E151" i="32" s="1"/>
  <c r="K687" i="24"/>
  <c r="M687" i="24" s="1"/>
  <c r="H87" i="32" s="1"/>
  <c r="K670" i="24"/>
  <c r="K680" i="24"/>
  <c r="M680" i="24" s="1"/>
  <c r="H55" i="32" s="1"/>
  <c r="K697" i="24"/>
  <c r="K682" i="24"/>
  <c r="K716" i="25"/>
  <c r="M669" i="25"/>
  <c r="M711" i="24" l="1"/>
  <c r="D215" i="32" s="1"/>
  <c r="M686" i="24"/>
  <c r="G87" i="32" s="1"/>
  <c r="M678" i="24"/>
  <c r="F55" i="32" s="1"/>
  <c r="M689" i="24"/>
  <c r="C119" i="32" s="1"/>
  <c r="M696" i="24"/>
  <c r="C151" i="32" s="1"/>
  <c r="M679" i="24"/>
  <c r="G55" i="32" s="1"/>
  <c r="M703" i="24"/>
  <c r="C183" i="32" s="1"/>
  <c r="M697" i="24"/>
  <c r="D151" i="32" s="1"/>
  <c r="M706" i="24"/>
  <c r="F183" i="32" s="1"/>
  <c r="M712" i="24"/>
  <c r="E215" i="32" s="1"/>
  <c r="L715" i="24"/>
  <c r="M690" i="24"/>
  <c r="D119" i="32" s="1"/>
  <c r="M705" i="24"/>
  <c r="E183" i="32" s="1"/>
  <c r="M669" i="24"/>
  <c r="D23" i="32" s="1"/>
  <c r="M683" i="24"/>
  <c r="D87" i="32" s="1"/>
  <c r="M682" i="24"/>
  <c r="C87" i="32" s="1"/>
  <c r="M692" i="24"/>
  <c r="F119" i="32" s="1"/>
  <c r="M701" i="24"/>
  <c r="H151" i="32" s="1"/>
  <c r="M673" i="24"/>
  <c r="H23" i="32" s="1"/>
  <c r="M668" i="24"/>
  <c r="C23" i="32" s="1"/>
  <c r="M704" i="24"/>
  <c r="D183" i="32" s="1"/>
  <c r="M713" i="24"/>
  <c r="F215" i="32" s="1"/>
  <c r="M685" i="24"/>
  <c r="F87" i="32" s="1"/>
  <c r="M709" i="24"/>
  <c r="I183" i="32" s="1"/>
  <c r="M693" i="24"/>
  <c r="G119" i="32" s="1"/>
  <c r="M672" i="24"/>
  <c r="G23" i="32" s="1"/>
  <c r="M707" i="24"/>
  <c r="G183" i="32" s="1"/>
  <c r="M670" i="24"/>
  <c r="E23" i="32" s="1"/>
  <c r="M674" i="24"/>
  <c r="I23" i="32" s="1"/>
  <c r="M700" i="24"/>
  <c r="G151" i="32" s="1"/>
  <c r="M688" i="24"/>
  <c r="I87" i="32" s="1"/>
  <c r="M699" i="24"/>
  <c r="F151" i="32" s="1"/>
  <c r="M716" i="25"/>
  <c r="K715" i="24"/>
  <c r="M715" i="24" l="1"/>
</calcChain>
</file>

<file path=xl/sharedStrings.xml><?xml version="1.0" encoding="utf-8"?>
<sst xmlns="http://schemas.openxmlformats.org/spreadsheetml/2006/main" count="5612" uniqueCount="1378">
  <si>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</si>
  <si>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</si>
  <si>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</si>
  <si>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</si>
  <si>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</si>
  <si>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</si>
  <si>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</si>
  <si>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</si>
  <si>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</si>
  <si>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</si>
  <si>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</si>
  <si>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</si>
  <si>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</si>
  <si>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</si>
  <si>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</si>
  <si>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</si>
  <si>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</si>
  <si>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</si>
  <si>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</si>
  <si>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</si>
  <si>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</si>
  <si>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</si>
  <si>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</si>
  <si>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</si>
  <si>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</si>
  <si>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</si>
  <si>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</si>
  <si>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</si>
  <si>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</si>
  <si>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</si>
  <si>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</si>
  <si>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</si>
  <si>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</si>
  <si>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</si>
  <si>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</si>
  <si>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</si>
  <si>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</si>
  <si>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</si>
  <si>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</si>
  <si>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</si>
  <si>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</si>
  <si>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</si>
  <si>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</si>
  <si>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</si>
  <si>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</si>
  <si>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</si>
  <si>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</si>
  <si>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</si>
  <si>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</si>
  <si>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</si>
  <si>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</si>
  <si>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</si>
  <si>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</si>
  <si>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</si>
  <si>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</si>
  <si>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</si>
  <si>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</si>
  <si>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</si>
  <si>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</si>
  <si>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</si>
  <si>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</si>
  <si>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</si>
  <si>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</si>
  <si>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</si>
  <si>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</si>
  <si>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</si>
  <si>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</si>
  <si>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</si>
  <si>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</si>
  <si>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</si>
  <si>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</si>
  <si>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</si>
  <si>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</si>
  <si>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</si>
  <si>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</si>
  <si>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</si>
  <si>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</si>
  <si>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</si>
  <si>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</si>
  <si>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</si>
  <si>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</si>
  <si>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</si>
  <si>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</si>
  <si>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</si>
  <si>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</si>
  <si>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</si>
  <si>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</si>
  <si>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</si>
  <si>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</si>
  <si>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</si>
  <si>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</si>
  <si>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</si>
  <si>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</si>
  <si>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</si>
  <si>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</si>
  <si>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</si>
  <si>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</si>
  <si>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</si>
  <si>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</si>
  <si>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</si>
  <si>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</si>
  <si>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</si>
  <si>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</si>
  <si>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</si>
  <si>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</si>
  <si>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</si>
  <si>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</si>
  <si>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</si>
  <si>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</si>
  <si>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</si>
  <si>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</si>
  <si>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</si>
  <si>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</si>
  <si>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</si>
  <si>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</si>
  <si>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</si>
  <si>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</si>
  <si>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</si>
  <si>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</si>
  <si>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</si>
  <si>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</si>
  <si>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</si>
  <si>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</si>
  <si>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</si>
  <si>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</si>
  <si>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</si>
  <si>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</si>
  <si>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</si>
  <si>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</si>
  <si>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</si>
  <si>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</si>
  <si>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</si>
  <si>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</si>
  <si>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</si>
  <si>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</si>
  <si>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</si>
  <si>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</si>
  <si>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</si>
  <si>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</si>
  <si>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</si>
  <si>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</si>
  <si>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</si>
  <si>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</si>
  <si>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</si>
  <si>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</si>
  <si>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</si>
  <si>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</si>
  <si>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</si>
  <si>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</si>
  <si>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</si>
  <si>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</si>
  <si>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</si>
  <si>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</si>
  <si>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</si>
  <si>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</si>
  <si>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</si>
  <si>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</si>
  <si>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</si>
  <si>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</si>
  <si>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</si>
  <si>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</si>
  <si>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</si>
  <si>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</si>
  <si>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</si>
  <si>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</si>
  <si>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</si>
  <si>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</si>
  <si>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</si>
  <si>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</si>
  <si>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</si>
  <si>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</si>
  <si>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</si>
  <si>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</si>
  <si>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</si>
  <si>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</si>
  <si>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</si>
  <si>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</si>
  <si>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</si>
  <si>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</si>
  <si>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</si>
  <si>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</si>
  <si>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</si>
  <si>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</si>
  <si>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</si>
  <si>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</si>
  <si>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</si>
  <si>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</si>
  <si>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</si>
  <si>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</si>
  <si>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</si>
  <si>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</si>
  <si>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</si>
  <si>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</si>
  <si>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</si>
  <si>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</si>
  <si>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</si>
  <si>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</si>
  <si>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</si>
  <si>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</si>
  <si>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</si>
  <si>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</si>
  <si>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</si>
  <si>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</si>
  <si>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</si>
  <si>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</si>
  <si>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</si>
  <si>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</si>
  <si>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</si>
  <si>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</si>
  <si>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</si>
  <si>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</si>
  <si>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</si>
  <si>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</si>
  <si>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</si>
  <si>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</si>
  <si>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</si>
  <si>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</si>
  <si>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</si>
  <si>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</si>
  <si>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</si>
  <si>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</si>
  <si>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</si>
  <si>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</si>
  <si>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</si>
  <si>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</si>
  <si>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</si>
  <si>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</si>
  <si>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</si>
  <si>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</si>
  <si>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</si>
  <si>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</si>
  <si>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</si>
  <si>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</si>
  <si>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</si>
  <si>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</si>
  <si>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</si>
  <si>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</si>
  <si>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</si>
  <si>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</si>
  <si>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</si>
  <si>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</si>
  <si>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</si>
  <si>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</si>
  <si>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</si>
  <si>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</si>
  <si>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</si>
  <si>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</si>
  <si>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</si>
  <si>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</si>
  <si>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</si>
  <si>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</si>
  <si>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</si>
  <si>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</si>
  <si>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</si>
  <si>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</si>
  <si>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</si>
  <si>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</si>
  <si>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</si>
  <si>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</si>
  <si>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</si>
  <si>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</si>
  <si>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</si>
  <si>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</si>
  <si>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</si>
  <si>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</si>
  <si>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</si>
  <si>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</si>
  <si>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</si>
  <si>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</si>
  <si>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</si>
  <si>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</si>
  <si>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</si>
  <si>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</si>
  <si>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</si>
  <si>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</si>
  <si>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</si>
  <si>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</si>
  <si>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</si>
  <si>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</si>
  <si>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</si>
  <si>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</si>
  <si>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</si>
  <si>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</si>
  <si>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</si>
  <si>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</si>
  <si>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</si>
  <si>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</si>
  <si>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</si>
  <si>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</si>
  <si>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</si>
  <si>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</si>
  <si>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</si>
  <si>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</si>
  <si>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</si>
  <si>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</si>
  <si>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</si>
  <si>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</si>
  <si>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</si>
  <si>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</si>
  <si>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</si>
  <si>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</si>
  <si>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</si>
  <si>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</si>
  <si>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</si>
  <si>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</si>
  <si>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</si>
  <si>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</si>
  <si>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</si>
  <si>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</si>
  <si>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</si>
  <si>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</si>
  <si>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</si>
  <si>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</si>
  <si>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</si>
  <si>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</si>
  <si>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</si>
  <si>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</si>
  <si>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</si>
  <si>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</si>
  <si>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</si>
  <si>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</si>
  <si>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</si>
  <si>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</si>
  <si>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</si>
  <si>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</si>
  <si>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</si>
  <si>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</si>
  <si>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</si>
  <si>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</si>
  <si>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</si>
  <si>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</si>
  <si>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</si>
  <si>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</si>
  <si>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</si>
  <si>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</si>
  <si>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</si>
  <si>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</si>
  <si>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</si>
  <si>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</si>
  <si>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</si>
  <si>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</si>
  <si>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</si>
  <si>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</si>
  <si>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</si>
  <si>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</si>
  <si>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</si>
  <si>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</si>
  <si>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</si>
  <si>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</si>
  <si>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</si>
  <si>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</si>
  <si>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</si>
  <si>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</si>
  <si>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</si>
  <si>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</si>
  <si>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</si>
  <si>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</si>
  <si>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</si>
  <si>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</si>
  <si>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</si>
  <si>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</si>
  <si>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</si>
  <si>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</si>
  <si>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</si>
  <si>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</si>
  <si>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</si>
  <si>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</si>
  <si>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</si>
  <si>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</si>
  <si>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</si>
  <si>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</si>
  <si>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</si>
  <si>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</si>
  <si>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</si>
  <si>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</si>
  <si>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</si>
  <si>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</si>
  <si>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</si>
  <si>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</si>
  <si>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</si>
  <si>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</si>
  <si>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</si>
  <si>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</si>
  <si>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</si>
  <si>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</si>
  <si>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</si>
  <si>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</si>
  <si>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</si>
  <si>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</si>
  <si>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</si>
  <si>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</si>
  <si>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</si>
  <si>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</si>
  <si>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</si>
  <si>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</si>
  <si>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</si>
  <si>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</si>
  <si>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</si>
  <si>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</si>
  <si>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</si>
  <si>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</si>
  <si>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</si>
  <si>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</si>
  <si>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</si>
  <si>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</si>
  <si>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</si>
  <si>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</si>
  <si>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</si>
  <si>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</si>
  <si>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</si>
  <si>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</si>
  <si>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</si>
  <si>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</si>
  <si>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</si>
  <si>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</si>
  <si>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</si>
  <si>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</si>
  <si>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</si>
  <si>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</si>
  <si>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</si>
  <si>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</si>
  <si>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</si>
  <si>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</si>
  <si>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</si>
  <si>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</si>
  <si>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</si>
  <si>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</si>
  <si>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</si>
  <si>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</si>
  <si>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</si>
  <si>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</si>
  <si>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</si>
  <si>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</si>
  <si>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</si>
  <si>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</si>
  <si>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</si>
  <si>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</si>
  <si>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</si>
  <si>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</si>
  <si>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</si>
  <si>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</si>
  <si>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</si>
  <si>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</si>
  <si>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</si>
  <si>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</si>
  <si>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</si>
  <si>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</si>
  <si>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</si>
  <si>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</si>
  <si>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</si>
  <si>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</si>
  <si>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</si>
  <si>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</si>
  <si>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</si>
  <si>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</si>
  <si>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</si>
  <si>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</si>
  <si>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</si>
  <si>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</si>
  <si>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</si>
  <si>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</si>
  <si>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</si>
  <si>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</si>
  <si>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</si>
  <si>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</si>
  <si>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</si>
  <si>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</si>
  <si>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</si>
  <si>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</si>
  <si>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</si>
  <si>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</si>
  <si>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</si>
  <si>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</si>
  <si>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</si>
  <si>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</si>
  <si>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</si>
  <si>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</si>
  <si>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</si>
  <si>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</si>
  <si>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</si>
  <si>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</si>
  <si>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</si>
  <si>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</si>
  <si>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</si>
  <si>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</si>
  <si>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</si>
  <si>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</si>
  <si>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</si>
  <si>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</si>
  <si>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</si>
  <si>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</si>
  <si>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</si>
  <si>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</si>
  <si>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</si>
  <si>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</si>
  <si>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</si>
  <si>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</si>
  <si>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</si>
  <si>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</si>
  <si>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</si>
  <si>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</si>
  <si>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</si>
  <si>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</si>
  <si>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</si>
  <si>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</si>
  <si>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</si>
  <si>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</si>
  <si>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</si>
  <si>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</si>
  <si>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</si>
  <si>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</si>
  <si>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</si>
  <si>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</si>
  <si>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</si>
  <si>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</si>
  <si>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</si>
  <si>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</si>
  <si>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</si>
  <si>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</si>
  <si>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</si>
  <si>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</si>
  <si>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</si>
  <si>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</si>
  <si>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</si>
  <si>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</si>
  <si>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</si>
  <si>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</si>
  <si>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</si>
  <si>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</si>
  <si>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</si>
  <si>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</si>
  <si>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</si>
  <si>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</si>
  <si>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</si>
  <si>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</si>
  <si>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</si>
  <si>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</si>
  <si>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</si>
  <si>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</si>
  <si>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</si>
  <si>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</si>
  <si>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</si>
  <si>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</si>
  <si>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</si>
  <si>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</si>
  <si>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</si>
  <si>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</si>
  <si>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</si>
  <si>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</si>
  <si>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</si>
  <si>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</si>
  <si>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</si>
  <si>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</si>
  <si>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</si>
  <si>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</si>
  <si>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</si>
  <si>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</si>
  <si>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</si>
  <si>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</si>
  <si>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</si>
  <si>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</si>
  <si>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</si>
  <si>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</si>
  <si>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</si>
  <si>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</si>
  <si>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</si>
  <si>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</si>
  <si>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</si>
  <si>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</si>
  <si>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</si>
  <si>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</si>
  <si>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</si>
  <si>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</si>
  <si>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</si>
  <si>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</si>
  <si>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</si>
  <si>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</si>
  <si>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</si>
  <si>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</si>
  <si>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</si>
  <si>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</si>
  <si>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</si>
  <si>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</si>
  <si>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</si>
  <si>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</si>
  <si>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</si>
  <si>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</si>
  <si>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</si>
  <si>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</si>
  <si>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</si>
  <si>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</si>
  <si>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</si>
  <si>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</si>
  <si>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</si>
  <si>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</si>
  <si>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</si>
  <si>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</si>
  <si>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</si>
  <si>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</si>
  <si>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</si>
  <si>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</si>
  <si>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</si>
  <si>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</si>
  <si>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</si>
  <si>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</si>
  <si>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</si>
  <si>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</si>
  <si>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</si>
  <si>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</si>
  <si>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</si>
  <si>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</si>
  <si>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</si>
  <si>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</si>
  <si>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</si>
  <si>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</si>
  <si>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</si>
  <si>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</si>
  <si>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</si>
  <si>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</si>
  <si>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</si>
  <si>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</si>
  <si>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</si>
  <si>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</si>
  <si>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</si>
  <si>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</si>
  <si>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</si>
  <si>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</si>
  <si>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</si>
  <si>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</si>
  <si>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</si>
  <si>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</si>
  <si>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</si>
  <si>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</si>
  <si>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</si>
  <si>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</si>
  <si>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</si>
  <si>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</si>
  <si>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</si>
  <si>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</si>
  <si>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</si>
  <si>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</si>
  <si>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</si>
  <si>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</si>
  <si>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</si>
  <si>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</si>
  <si>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</si>
  <si>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</si>
  <si>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</si>
  <si>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</si>
  <si>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</si>
  <si>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</si>
  <si>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</si>
  <si>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</si>
  <si>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</si>
  <si>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</si>
  <si>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</si>
  <si>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</si>
  <si>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</si>
  <si>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</si>
  <si>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</si>
  <si>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</si>
  <si>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</si>
  <si>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</si>
  <si>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</si>
  <si>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</si>
  <si>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</si>
  <si>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</si>
  <si>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</si>
  <si>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</si>
  <si>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</si>
  <si>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</si>
  <si>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</si>
  <si>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</si>
  <si>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</si>
  <si>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</si>
  <si>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</si>
  <si>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</si>
  <si>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</si>
  <si>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</si>
  <si>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</si>
  <si>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</si>
  <si>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</si>
  <si>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</si>
  <si>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</si>
  <si>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</si>
  <si>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</si>
  <si>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</si>
  <si>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</si>
  <si>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</si>
  <si>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</si>
  <si>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</si>
  <si>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</si>
  <si>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</si>
  <si>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</si>
  <si>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</si>
  <si>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</si>
  <si>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</si>
  <si>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</si>
  <si>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</si>
  <si>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</si>
  <si>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</si>
  <si>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</si>
  <si>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</si>
  <si>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</si>
  <si>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</si>
  <si>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</si>
  <si>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</si>
  <si>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</si>
  <si>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</si>
  <si>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</si>
  <si>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</si>
  <si>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</si>
  <si>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</si>
  <si>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</si>
  <si>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</si>
  <si>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</si>
  <si>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</si>
  <si>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</si>
  <si>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</si>
  <si>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</si>
  <si>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</si>
  <si>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</si>
  <si>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</si>
  <si>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</si>
  <si>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</si>
  <si>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</si>
  <si>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</si>
  <si>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</si>
  <si>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</si>
  <si>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</si>
  <si>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</si>
  <si>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</si>
  <si>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</si>
  <si>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</si>
  <si>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</si>
  <si>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</si>
  <si>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</si>
  <si>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</si>
  <si>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</si>
  <si>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</si>
  <si>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</si>
  <si>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</si>
  <si>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</si>
  <si>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</si>
  <si>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</si>
  <si>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</si>
  <si>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</si>
  <si>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</si>
  <si>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</si>
  <si>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</si>
  <si>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</si>
  <si>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</si>
  <si>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</si>
  <si>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</si>
  <si>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</si>
  <si>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</si>
  <si>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</si>
  <si>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</si>
  <si>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</si>
  <si>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</si>
  <si>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</si>
  <si>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</si>
  <si>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</si>
  <si>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</si>
  <si>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</si>
  <si>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</si>
  <si>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</si>
  <si>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</si>
  <si>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</si>
  <si>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</si>
  <si>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</si>
  <si>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</si>
  <si>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</si>
  <si>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</si>
  <si>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</si>
  <si>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</si>
  <si>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</si>
  <si>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</si>
  <si>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</si>
  <si>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</si>
  <si>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</si>
  <si>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</si>
  <si>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</si>
  <si>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</si>
  <si>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</si>
  <si>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</si>
  <si>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</si>
  <si>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</si>
  <si>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</si>
  <si>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</si>
  <si>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</si>
  <si>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</si>
  <si>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</si>
  <si>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</si>
  <si>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</si>
  <si>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</si>
  <si>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</si>
  <si>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</si>
  <si>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</si>
  <si>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</si>
  <si>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</si>
  <si>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</si>
  <si>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</si>
  <si>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</si>
  <si>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</si>
  <si>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</si>
  <si>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</si>
  <si>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</si>
  <si>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</si>
  <si>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</si>
  <si>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</si>
  <si>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</si>
  <si>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</si>
  <si>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</si>
  <si>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</si>
  <si>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</si>
  <si>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</si>
  <si>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</si>
  <si>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</si>
  <si>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</si>
  <si>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</si>
  <si>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</si>
  <si>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</si>
  <si>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</si>
  <si>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</si>
  <si>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</si>
  <si>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</si>
  <si>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</si>
  <si>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</si>
  <si>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</si>
  <si>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</si>
  <si>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</si>
  <si>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</si>
  <si>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</si>
  <si>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</si>
  <si>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</si>
  <si>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</si>
  <si>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</si>
  <si>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</si>
  <si>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</si>
  <si>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</si>
  <si>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</si>
  <si>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</si>
  <si>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</si>
  <si>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</si>
  <si>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</si>
  <si>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</si>
  <si>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</si>
  <si>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</si>
  <si>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</si>
  <si>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</si>
  <si>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</si>
  <si>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</si>
  <si>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</si>
  <si>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</si>
  <si>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</si>
  <si>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</si>
  <si>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</si>
  <si>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</si>
  <si>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</si>
  <si>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</si>
  <si>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</si>
  <si>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</si>
  <si>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</si>
  <si>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</si>
  <si>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</si>
  <si>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</si>
  <si>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</si>
  <si>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</si>
  <si>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</si>
  <si>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</si>
  <si>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</si>
  <si>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</si>
  <si>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</si>
  <si>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</si>
  <si>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</si>
  <si>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</si>
  <si>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</si>
  <si>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</si>
  <si>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</si>
  <si>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</si>
  <si>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</si>
  <si>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</si>
  <si>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</si>
  <si>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</si>
  <si>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</si>
  <si>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</si>
  <si>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</si>
  <si>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</si>
  <si>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</si>
  <si>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</si>
  <si>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</si>
  <si>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</si>
  <si>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</si>
  <si>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</si>
  <si>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</si>
  <si>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</si>
  <si>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</si>
  <si>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</si>
  <si>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</si>
  <si>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</si>
  <si>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</si>
  <si>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</si>
  <si>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</si>
  <si>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</si>
  <si>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</si>
  <si>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</si>
  <si>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</si>
  <si>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</si>
  <si>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</si>
  <si>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</si>
  <si>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</si>
  <si>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</si>
  <si>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</si>
  <si>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</si>
  <si>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</si>
  <si>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</si>
  <si>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</si>
  <si>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</si>
  <si>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</si>
  <si>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</si>
  <si>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</si>
  <si>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</si>
  <si>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</si>
  <si>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</si>
  <si>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</si>
  <si>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</si>
  <si>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</si>
  <si>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</si>
  <si>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</si>
  <si>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</si>
  <si>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</si>
  <si>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</si>
  <si>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</si>
  <si>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</si>
  <si>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</si>
  <si>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</si>
  <si>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</si>
  <si>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</si>
  <si>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</si>
  <si>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</si>
  <si>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</si>
  <si>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</si>
  <si>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</si>
  <si>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</si>
  <si>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</si>
  <si>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</si>
  <si>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</si>
  <si>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</si>
  <si>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</si>
  <si>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</si>
  <si>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</si>
  <si>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</si>
  <si>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</si>
  <si>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</si>
  <si>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</si>
  <si>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</si>
  <si>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</si>
  <si>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</si>
  <si>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</si>
  <si>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</si>
  <si>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</si>
  <si>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</si>
  <si>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</si>
  <si>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</si>
  <si>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</si>
  <si>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</si>
  <si>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</si>
  <si>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</si>
  <si>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</si>
  <si>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</si>
  <si>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</si>
  <si>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</si>
  <si>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</si>
  <si>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</si>
  <si>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</si>
  <si>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</si>
  <si>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</si>
  <si>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</si>
  <si>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</si>
  <si>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</si>
  <si>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</si>
  <si>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</si>
  <si>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</si>
  <si>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</si>
  <si>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</si>
  <si>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</si>
  <si>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</si>
  <si>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</si>
  <si>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</si>
  <si>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</si>
  <si>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</si>
  <si>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</si>
  <si>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</si>
  <si>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</si>
  <si>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</si>
  <si>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</si>
  <si>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</si>
  <si>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</si>
  <si>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</si>
  <si>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</si>
  <si>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</si>
  <si>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</si>
  <si>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</si>
  <si>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</si>
  <si>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</si>
  <si>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</si>
  <si>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</si>
  <si>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</si>
  <si>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</si>
  <si>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</si>
  <si>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</si>
  <si>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</si>
  <si>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</si>
  <si>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</si>
  <si>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</si>
  <si>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</si>
  <si>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</si>
  <si>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</si>
  <si>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</si>
  <si>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</si>
  <si>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</si>
  <si>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</si>
  <si>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</si>
  <si>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</si>
  <si>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</si>
  <si>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</si>
  <si>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</si>
  <si>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</si>
  <si>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</si>
  <si>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</si>
  <si>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</si>
  <si>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</si>
  <si>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</si>
  <si>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</si>
  <si>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</si>
  <si>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</si>
  <si>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</si>
  <si>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</si>
  <si>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</si>
  <si>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</si>
  <si>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</si>
  <si>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</si>
  <si>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</si>
  <si>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</si>
  <si>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</si>
  <si>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</si>
  <si>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</si>
  <si>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</si>
  <si>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</si>
  <si>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</si>
  <si>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</si>
  <si>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</si>
  <si>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</si>
  <si>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</si>
  <si>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</si>
  <si>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</si>
  <si>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</si>
  <si>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</si>
  <si>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</si>
  <si>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</si>
  <si>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</si>
  <si>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</si>
  <si>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</si>
  <si>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</si>
  <si>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</si>
  <si>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</si>
  <si>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</si>
  <si>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</si>
  <si>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</si>
  <si>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</si>
  <si>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</si>
  <si>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</si>
  <si>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</si>
  <si>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</si>
  <si>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</si>
  <si>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</si>
  <si>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</si>
  <si>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</si>
  <si>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</si>
  <si>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</si>
  <si>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</si>
  <si>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</si>
  <si>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</si>
  <si>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</si>
  <si>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</si>
  <si>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</si>
  <si>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</si>
  <si>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</si>
  <si>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</si>
  <si>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</si>
  <si>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</si>
  <si>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</si>
  <si>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</si>
  <si>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</si>
  <si>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</si>
  <si>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</si>
  <si>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</si>
  <si>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</si>
  <si>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</si>
  <si>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</si>
  <si>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</si>
  <si>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</si>
  <si>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</si>
  <si>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</si>
  <si>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</si>
  <si>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</si>
  <si>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</si>
  <si>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</si>
  <si>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</si>
  <si>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</si>
  <si>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</si>
  <si>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</si>
  <si>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</si>
  <si>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</si>
  <si>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</si>
  <si>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</si>
  <si>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</si>
  <si>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</si>
  <si>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</si>
  <si>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</si>
  <si>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</si>
  <si>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</si>
  <si>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</si>
  <si>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</si>
  <si>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</si>
  <si>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</si>
  <si>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</si>
  <si>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</si>
  <si>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</si>
  <si>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</si>
  <si>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</si>
  <si>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</si>
  <si>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</si>
  <si>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</si>
  <si>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</si>
  <si>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</si>
  <si>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</si>
  <si>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</si>
  <si>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</si>
  <si>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</si>
  <si>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</si>
  <si>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</si>
  <si>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</si>
  <si>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</si>
  <si>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</si>
  <si>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</si>
  <si>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</si>
  <si>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</si>
  <si>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</si>
  <si>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</si>
  <si>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</si>
  <si>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</si>
  <si>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</si>
  <si>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</si>
  <si>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</si>
  <si>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</si>
  <si>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</si>
  <si>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</si>
  <si>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</si>
  <si>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</si>
  <si>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</si>
  <si>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</si>
  <si>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</si>
  <si>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</si>
  <si>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</si>
  <si>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</si>
  <si>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</si>
  <si>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</si>
  <si>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</si>
  <si>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</si>
  <si>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</si>
  <si>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</si>
  <si>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</si>
  <si>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</si>
  <si>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</si>
  <si>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</si>
  <si>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</si>
  <si>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</si>
  <si>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</si>
  <si>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</si>
  <si>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</si>
  <si>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</si>
  <si>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</si>
  <si>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</si>
  <si>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</si>
  <si>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</si>
  <si>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</si>
  <si>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</si>
  <si>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</si>
  <si>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</si>
  <si>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</si>
  <si>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</si>
  <si>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</si>
  <si>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</si>
  <si>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</si>
  <si>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</si>
  <si>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</si>
  <si>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</si>
  <si>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</si>
  <si>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</si>
  <si>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</si>
  <si>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</si>
  <si>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</si>
  <si>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</si>
  <si>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</si>
  <si>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</si>
  <si>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</si>
  <si>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</si>
  <si>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</si>
  <si>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</si>
  <si>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</si>
  <si>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</si>
  <si>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</si>
  <si>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</si>
  <si>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</si>
  <si>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</si>
  <si>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</si>
  <si>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</si>
  <si>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</si>
  <si>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</si>
  <si>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</si>
  <si>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</si>
  <si>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</si>
  <si>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</si>
  <si>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</si>
  <si>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</si>
  <si>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</si>
  <si>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</si>
  <si>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</si>
  <si>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</si>
  <si>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</si>
  <si>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</si>
  <si>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</si>
  <si>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</si>
  <si>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</si>
  <si>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</si>
  <si>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</si>
  <si>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</si>
  <si>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</si>
  <si>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</si>
  <si>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</si>
  <si>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</si>
  <si>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</si>
  <si>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</si>
  <si>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</si>
  <si>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</si>
  <si>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</si>
  <si>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</si>
  <si>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</si>
  <si>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</si>
  <si>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</si>
  <si>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</si>
  <si>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</si>
  <si>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</si>
  <si>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</si>
  <si>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</si>
  <si>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</si>
  <si>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</si>
  <si>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</si>
  <si>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</si>
  <si>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</si>
  <si>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</si>
  <si>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</si>
  <si>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</si>
  <si>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</si>
  <si>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</si>
  <si>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</si>
  <si>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</si>
  <si>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</si>
  <si>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</si>
  <si>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</si>
  <si>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</si>
  <si>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</si>
  <si>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</si>
  <si>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</si>
  <si>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</si>
  <si>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</si>
  <si>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</si>
  <si>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</si>
  <si>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</si>
  <si>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</si>
  <si>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</si>
  <si>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</si>
  <si>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</si>
  <si>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</si>
  <si>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</si>
  <si>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</si>
  <si>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</si>
  <si>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</si>
  <si>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</si>
  <si>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</si>
  <si>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</si>
  <si>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</si>
  <si>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</si>
  <si>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</si>
  <si>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</si>
  <si>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</si>
  <si>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</si>
  <si>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</si>
  <si>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</si>
  <si>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</si>
  <si>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</si>
  <si>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</si>
  <si>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</si>
  <si>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</si>
  <si>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</si>
  <si>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</si>
  <si>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</si>
  <si>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</si>
  <si>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</si>
  <si>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</si>
  <si>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</si>
  <si>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</si>
  <si>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</si>
  <si>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</si>
  <si>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</si>
  <si>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</si>
  <si>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</si>
  <si>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</si>
  <si>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</si>
  <si>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</si>
  <si>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</si>
  <si>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</si>
  <si>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</si>
  <si>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</si>
  <si>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</si>
  <si>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</si>
  <si>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</si>
  <si>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</si>
  <si>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</si>
  <si>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</si>
  <si>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</si>
  <si>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</si>
  <si>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</si>
  <si>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</si>
  <si>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</si>
  <si>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</si>
  <si>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</si>
  <si>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</si>
  <si>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</si>
  <si>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</si>
  <si>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</si>
  <si>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</si>
  <si>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</si>
  <si>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</si>
  <si>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</si>
  <si>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</si>
  <si>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</si>
  <si>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</si>
  <si>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</si>
  <si>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</si>
  <si>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</si>
  <si>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</si>
  <si>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</si>
  <si>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</si>
  <si>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</si>
  <si>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</si>
  <si>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</si>
  <si>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</si>
  <si>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</si>
  <si>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</si>
  <si>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</si>
  <si>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</si>
  <si>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176</t>
  </si>
  <si>
    <t>Tacoma General / Allenmore</t>
  </si>
  <si>
    <t xml:space="preserve">Tacoma  </t>
  </si>
  <si>
    <t>WA</t>
  </si>
  <si>
    <t>Pierce</t>
  </si>
  <si>
    <t>Bill Robertson</t>
  </si>
  <si>
    <t>James Lee</t>
  </si>
  <si>
    <t>John Wiborg</t>
  </si>
  <si>
    <t>12/31/2022</t>
  </si>
  <si>
    <t>PY</t>
  </si>
  <si>
    <t>Per Axiom PnL</t>
  </si>
  <si>
    <t>Variance (plugs in Benefits and Depr)</t>
  </si>
  <si>
    <t>Dan Wickens</t>
  </si>
  <si>
    <t>dan.wickens@multicare.org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</si>
</sst>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  <numFmt numFmtId="170" formatCode="_(* #,##0.0000_);_(* \(#,##0.0000\);_(* &quot;-&quot;??_);_(@_)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5" fillId="0" borderId="0" xfId="1"/>
    <xf numFmtId="169" fontId="5" fillId="0" borderId="0" xfId="1" applyNumberFormat="1"/>
    <xf numFmtId="170" fontId="5" fillId="0" borderId="0" xfId="1" applyNumberFormat="1"/>
    <xf numFmtId="37" fontId="15" fillId="8" borderId="1" xfId="0" quotePrefix="1" applyFont="1" applyFill="1" applyBorder="1" applyProtection="1">
      <protection locked="0"/>
    </xf>
    <xf numFmtId="38" fontId="15" fillId="8" borderId="14" xfId="0" applyNumberFormat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n.wickens@multicar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40" transitionEvaluation="1" transitionEntry="1" codeName="Sheet1">
    <tabColor rgb="FF92D050"/>
    <pageSetUpPr autoPageBreaks="0" fitToPage="1"/>
  </sheetPr>
  <dimension ref="A1:CG716"/>
  <sheetViews>
    <sheetView tabSelected="1" topLeftCell="A40" zoomScale="85" zoomScaleNormal="85" workbookViewId="0">
      <selection activeCell="C109" sqref="C109:C110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27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28" t="s">
        <v>18</v>
      </c>
      <c r="B36" s="329"/>
      <c r="C36" s="330"/>
      <c r="D36" s="329"/>
      <c r="E36" s="329"/>
      <c r="F36" s="329"/>
      <c r="G36" s="329"/>
    </row>
    <row r="37" spans="1:83" x14ac:dyDescent="0.35">
      <c r="A37" s="331" t="s">
        <v>1342</v>
      </c>
      <c r="B37" s="332"/>
      <c r="C37" s="330"/>
      <c r="D37" s="329"/>
      <c r="E37" s="329"/>
      <c r="F37" s="329"/>
      <c r="G37" s="329"/>
    </row>
    <row r="38" spans="1:83" x14ac:dyDescent="0.35">
      <c r="A38" s="335" t="s">
        <v>1361</v>
      </c>
      <c r="B38" s="332"/>
      <c r="C38" s="330"/>
      <c r="D38" s="329"/>
      <c r="E38" s="329"/>
      <c r="F38" s="329"/>
      <c r="G38" s="329"/>
    </row>
    <row r="39" spans="1:83" x14ac:dyDescent="0.35">
      <c r="A39" s="334" t="s">
        <v>1343</v>
      </c>
      <c r="B39" s="329"/>
      <c r="C39" s="330"/>
      <c r="D39" s="329"/>
      <c r="E39" s="329"/>
      <c r="F39" s="329"/>
      <c r="G39" s="329"/>
    </row>
    <row r="40" spans="1:83" x14ac:dyDescent="0.35">
      <c r="A40" s="335" t="s">
        <v>1362</v>
      </c>
      <c r="B40" s="329"/>
      <c r="C40" s="330"/>
      <c r="D40" s="329"/>
      <c r="E40" s="329"/>
      <c r="F40" s="329"/>
      <c r="G40" s="329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338">
        <v>6010</v>
      </c>
      <c r="D44" s="338">
        <v>6030</v>
      </c>
      <c r="E44" s="338">
        <v>6070</v>
      </c>
      <c r="F44" s="338">
        <v>6100</v>
      </c>
      <c r="G44" s="338">
        <v>6120</v>
      </c>
      <c r="H44" s="338">
        <v>6140</v>
      </c>
      <c r="I44" s="338">
        <v>6150</v>
      </c>
      <c r="J44" s="338">
        <v>6170</v>
      </c>
      <c r="K44" s="338">
        <v>6200</v>
      </c>
      <c r="L44" s="338">
        <v>6210</v>
      </c>
      <c r="M44" s="338">
        <v>6330</v>
      </c>
      <c r="N44" s="338">
        <v>6400</v>
      </c>
      <c r="O44" s="338">
        <v>7010</v>
      </c>
      <c r="P44" s="338">
        <v>7020</v>
      </c>
      <c r="Q44" s="338">
        <v>7030</v>
      </c>
      <c r="R44" s="338">
        <v>7040</v>
      </c>
      <c r="S44" s="338">
        <v>7050</v>
      </c>
      <c r="T44" s="338">
        <v>7060</v>
      </c>
      <c r="U44" s="338">
        <v>7070</v>
      </c>
      <c r="V44" s="338">
        <v>7110</v>
      </c>
      <c r="W44" s="338">
        <v>7120</v>
      </c>
      <c r="X44" s="338">
        <v>7130</v>
      </c>
      <c r="Y44" s="338">
        <v>7140</v>
      </c>
      <c r="Z44" s="338">
        <v>7150</v>
      </c>
      <c r="AA44" s="338">
        <v>7160</v>
      </c>
      <c r="AB44" s="338">
        <v>7170</v>
      </c>
      <c r="AC44" s="338">
        <v>7180</v>
      </c>
      <c r="AD44" s="338">
        <v>7190</v>
      </c>
      <c r="AE44" s="338">
        <v>7200</v>
      </c>
      <c r="AF44" s="338">
        <v>7220</v>
      </c>
      <c r="AG44" s="338">
        <v>7230</v>
      </c>
      <c r="AH44" s="338">
        <v>7240</v>
      </c>
      <c r="AI44" s="338">
        <v>7250</v>
      </c>
      <c r="AJ44" s="338">
        <v>7260</v>
      </c>
      <c r="AK44" s="338">
        <v>7310</v>
      </c>
      <c r="AL44" s="338">
        <v>7320</v>
      </c>
      <c r="AM44" s="338">
        <v>7330</v>
      </c>
      <c r="AN44" s="338">
        <v>7340</v>
      </c>
      <c r="AO44" s="338">
        <v>7350</v>
      </c>
      <c r="AP44" s="338">
        <v>7380</v>
      </c>
      <c r="AQ44" s="338">
        <v>7390</v>
      </c>
      <c r="AR44" s="338">
        <v>7400</v>
      </c>
      <c r="AS44" s="338">
        <v>7410</v>
      </c>
      <c r="AT44" s="338">
        <v>7420</v>
      </c>
      <c r="AU44" s="338">
        <v>7430</v>
      </c>
      <c r="AV44" s="338">
        <v>7490</v>
      </c>
      <c r="AW44" s="338">
        <v>8200</v>
      </c>
      <c r="AX44" s="338">
        <v>8310</v>
      </c>
      <c r="AY44" s="338">
        <v>8320</v>
      </c>
      <c r="AZ44" s="338">
        <v>8330</v>
      </c>
      <c r="BA44" s="338">
        <v>8350</v>
      </c>
      <c r="BB44" s="338">
        <v>8360</v>
      </c>
      <c r="BC44" s="338">
        <v>8370</v>
      </c>
      <c r="BD44" s="338">
        <v>8420</v>
      </c>
      <c r="BE44" s="338">
        <v>8430</v>
      </c>
      <c r="BF44" s="338">
        <v>8460</v>
      </c>
      <c r="BG44" s="338">
        <v>8470</v>
      </c>
      <c r="BH44" s="338">
        <v>8480</v>
      </c>
      <c r="BI44" s="338">
        <v>8490</v>
      </c>
      <c r="BJ44" s="338">
        <v>8510</v>
      </c>
      <c r="BK44" s="338">
        <v>8530</v>
      </c>
      <c r="BL44" s="338">
        <v>8560</v>
      </c>
      <c r="BM44" s="338">
        <v>8590</v>
      </c>
      <c r="BN44" s="338">
        <v>8610</v>
      </c>
      <c r="BO44" s="338">
        <v>8620</v>
      </c>
      <c r="BP44" s="338">
        <v>8630</v>
      </c>
      <c r="BQ44" s="338">
        <v>8640</v>
      </c>
      <c r="BR44" s="338">
        <v>8650</v>
      </c>
      <c r="BS44" s="338">
        <v>8660</v>
      </c>
      <c r="BT44" s="338">
        <v>8670</v>
      </c>
      <c r="BU44" s="338">
        <v>8680</v>
      </c>
      <c r="BV44" s="338">
        <v>8690</v>
      </c>
      <c r="BW44" s="338">
        <v>8700</v>
      </c>
      <c r="BX44" s="338">
        <v>8710</v>
      </c>
      <c r="BY44" s="338">
        <v>8720</v>
      </c>
      <c r="BZ44" s="338">
        <v>8730</v>
      </c>
      <c r="CA44" s="338">
        <v>8740</v>
      </c>
      <c r="CB44" s="338">
        <v>8770</v>
      </c>
      <c r="CC44" s="338">
        <v>8790</v>
      </c>
      <c r="CD44" s="22" t="s">
        <v>100</v>
      </c>
      <c r="CE44" s="338">
        <v>9999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>
        <v>10649386.970000001</v>
      </c>
      <c r="D47" s="24">
        <v>3388824.75</v>
      </c>
      <c r="E47" s="24">
        <v>4816176.74</v>
      </c>
      <c r="F47" s="24">
        <v>1035594.44</v>
      </c>
      <c r="G47" s="24">
        <v>0</v>
      </c>
      <c r="H47" s="24">
        <v>1397981.8199999998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1926765.6900000002</v>
      </c>
      <c r="P47" s="24">
        <v>5615205.4800000004</v>
      </c>
      <c r="Q47" s="24">
        <v>0</v>
      </c>
      <c r="R47" s="24">
        <v>2243694.94</v>
      </c>
      <c r="S47" s="24">
        <v>1019507.04</v>
      </c>
      <c r="T47" s="24">
        <v>559492.26</v>
      </c>
      <c r="U47" s="24">
        <v>5606757.8599999994</v>
      </c>
      <c r="V47" s="24">
        <v>0</v>
      </c>
      <c r="W47" s="24">
        <v>644497.81000000006</v>
      </c>
      <c r="X47" s="24">
        <v>524610.17999999993</v>
      </c>
      <c r="Y47" s="24">
        <v>2274408.7000000002</v>
      </c>
      <c r="Z47" s="24">
        <v>786471.85</v>
      </c>
      <c r="AA47" s="24">
        <v>138073.15</v>
      </c>
      <c r="AB47" s="24">
        <v>3617673.2399999998</v>
      </c>
      <c r="AC47" s="24">
        <v>1571501.2</v>
      </c>
      <c r="AD47" s="24">
        <v>0</v>
      </c>
      <c r="AE47" s="24">
        <v>722837.83</v>
      </c>
      <c r="AF47" s="24">
        <v>0</v>
      </c>
      <c r="AG47" s="24">
        <v>4389703.0999999996</v>
      </c>
      <c r="AH47" s="24">
        <v>0</v>
      </c>
      <c r="AI47" s="24">
        <v>752587.42</v>
      </c>
      <c r="AJ47" s="24">
        <v>9684878.3600000013</v>
      </c>
      <c r="AK47" s="24">
        <v>28386.189999999995</v>
      </c>
      <c r="AL47" s="24">
        <v>178796.14</v>
      </c>
      <c r="AM47" s="24">
        <v>0</v>
      </c>
      <c r="AN47" s="24">
        <v>0</v>
      </c>
      <c r="AO47" s="24">
        <v>0</v>
      </c>
      <c r="AP47" s="24">
        <v>1322219.27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6161239.9500000002</v>
      </c>
      <c r="AW47" s="24">
        <v>2726917.2199999997</v>
      </c>
      <c r="AX47" s="24">
        <v>0</v>
      </c>
      <c r="AY47" s="24">
        <v>291080.43999999994</v>
      </c>
      <c r="AZ47" s="24">
        <v>0</v>
      </c>
      <c r="BA47" s="24">
        <v>0</v>
      </c>
      <c r="BB47" s="24">
        <v>694921.05999999994</v>
      </c>
      <c r="BC47" s="24">
        <v>452405.30999999994</v>
      </c>
      <c r="BD47" s="24">
        <v>183465.27000000002</v>
      </c>
      <c r="BE47" s="24">
        <v>256462.65</v>
      </c>
      <c r="BF47" s="24">
        <v>475091.47000000003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677086.78999999992</v>
      </c>
      <c r="BM47" s="24">
        <v>0</v>
      </c>
      <c r="BN47" s="24">
        <v>280674.39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855950.37000000011</v>
      </c>
      <c r="BY47" s="24">
        <v>406577.26999999996</v>
      </c>
      <c r="BZ47" s="24">
        <v>476632.11</v>
      </c>
      <c r="CA47" s="24">
        <v>0</v>
      </c>
      <c r="CB47" s="24">
        <v>0</v>
      </c>
      <c r="CC47" s="24">
        <v>580813.96</v>
      </c>
      <c r="CD47" s="20"/>
      <c r="CE47" s="32">
        <f>SUM(C47:CC47)</f>
        <v>79415350.690000027</v>
      </c>
    </row>
    <row r="48" spans="1:83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5" x14ac:dyDescent="0.35">
      <c r="A49" s="20" t="s">
        <v>218</v>
      </c>
      <c r="B49" s="32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5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5" x14ac:dyDescent="0.35">
      <c r="A51" s="26" t="s">
        <v>219</v>
      </c>
      <c r="B51" s="24"/>
      <c r="C51" s="24">
        <v>1805526.8199999996</v>
      </c>
      <c r="D51" s="24">
        <v>669940.98</v>
      </c>
      <c r="E51" s="24">
        <v>653587.73</v>
      </c>
      <c r="F51" s="24">
        <v>0</v>
      </c>
      <c r="G51" s="24">
        <v>0</v>
      </c>
      <c r="H51" s="24">
        <v>235049.3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817431.58000000007</v>
      </c>
      <c r="P51" s="24">
        <v>3142045.7899999996</v>
      </c>
      <c r="Q51" s="24">
        <v>0</v>
      </c>
      <c r="R51" s="24">
        <v>234947.41</v>
      </c>
      <c r="S51" s="24">
        <v>484953.22</v>
      </c>
      <c r="T51" s="24">
        <v>28342.6</v>
      </c>
      <c r="U51" s="24">
        <v>647187.44000000006</v>
      </c>
      <c r="V51" s="24">
        <v>0</v>
      </c>
      <c r="W51" s="24">
        <v>236307.06999999998</v>
      </c>
      <c r="X51" s="24">
        <v>244322.01</v>
      </c>
      <c r="Y51" s="24">
        <v>1108165.2699999998</v>
      </c>
      <c r="Z51" s="24">
        <v>841490</v>
      </c>
      <c r="AA51" s="24">
        <v>23282.370000000003</v>
      </c>
      <c r="AB51" s="24">
        <v>322047.44999999995</v>
      </c>
      <c r="AC51" s="24">
        <v>268029.10000000003</v>
      </c>
      <c r="AD51" s="24">
        <v>4196.28</v>
      </c>
      <c r="AE51" s="24">
        <v>52247.199999999997</v>
      </c>
      <c r="AF51" s="24">
        <v>0</v>
      </c>
      <c r="AG51" s="24">
        <v>1391732.28</v>
      </c>
      <c r="AH51" s="24">
        <v>0</v>
      </c>
      <c r="AI51" s="24">
        <v>153832.99000000002</v>
      </c>
      <c r="AJ51" s="24">
        <v>1721182.63</v>
      </c>
      <c r="AK51" s="24">
        <v>0</v>
      </c>
      <c r="AL51" s="24">
        <v>1666.27</v>
      </c>
      <c r="AM51" s="24">
        <v>0</v>
      </c>
      <c r="AN51" s="24">
        <v>0</v>
      </c>
      <c r="AO51" s="24">
        <v>0</v>
      </c>
      <c r="AP51" s="24">
        <v>106079.44999999998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1459778.54</v>
      </c>
      <c r="AW51" s="24">
        <v>45446.48</v>
      </c>
      <c r="AX51" s="24">
        <v>0</v>
      </c>
      <c r="AY51" s="24">
        <v>142592.56</v>
      </c>
      <c r="AZ51" s="24">
        <v>0</v>
      </c>
      <c r="BA51" s="24">
        <v>0</v>
      </c>
      <c r="BB51" s="24">
        <v>10341.960000000001</v>
      </c>
      <c r="BC51" s="24">
        <v>3263.1699999999996</v>
      </c>
      <c r="BD51" s="24">
        <v>28011.69</v>
      </c>
      <c r="BE51" s="24">
        <v>313688.77999999997</v>
      </c>
      <c r="BF51" s="24">
        <v>30204.2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19583.79</v>
      </c>
      <c r="BM51" s="24">
        <v>0</v>
      </c>
      <c r="BN51" s="24">
        <v>583801.74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32493.88</v>
      </c>
      <c r="BY51" s="24">
        <v>42462.89</v>
      </c>
      <c r="BZ51" s="24">
        <v>24929.58</v>
      </c>
      <c r="CA51" s="24">
        <v>0</v>
      </c>
      <c r="CB51" s="24">
        <v>0</v>
      </c>
      <c r="CC51" s="24">
        <v>529553.45000000205</v>
      </c>
      <c r="CD51" s="20"/>
      <c r="CE51" s="32">
        <f>SUM(C51:CD51)</f>
        <v>18459745.949999996</v>
      </c>
    </row>
    <row r="52" spans="1:85" x14ac:dyDescent="0.35">
      <c r="A52" s="39" t="s">
        <v>220</v>
      </c>
      <c r="B52" s="31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5" x14ac:dyDescent="0.35">
      <c r="A53" s="20" t="s">
        <v>218</v>
      </c>
      <c r="B53" s="32">
        <f>B51+B52</f>
        <v>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5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5" x14ac:dyDescent="0.35">
      <c r="A55" s="26" t="s">
        <v>221</v>
      </c>
      <c r="B55" s="20"/>
      <c r="C55" s="338">
        <v>6010</v>
      </c>
      <c r="D55" s="338">
        <v>6030</v>
      </c>
      <c r="E55" s="338">
        <v>6070</v>
      </c>
      <c r="F55" s="338">
        <v>6100</v>
      </c>
      <c r="G55" s="338">
        <v>6120</v>
      </c>
      <c r="H55" s="338">
        <v>6140</v>
      </c>
      <c r="I55" s="338">
        <v>6150</v>
      </c>
      <c r="J55" s="338">
        <v>6170</v>
      </c>
      <c r="K55" s="338">
        <v>6200</v>
      </c>
      <c r="L55" s="338">
        <v>6210</v>
      </c>
      <c r="M55" s="338">
        <v>6330</v>
      </c>
      <c r="N55" s="338">
        <v>6400</v>
      </c>
      <c r="O55" s="338">
        <v>7010</v>
      </c>
      <c r="P55" s="338">
        <v>7020</v>
      </c>
      <c r="Q55" s="338">
        <v>7030</v>
      </c>
      <c r="R55" s="338">
        <v>7040</v>
      </c>
      <c r="S55" s="338">
        <v>7050</v>
      </c>
      <c r="T55" s="338">
        <v>7060</v>
      </c>
      <c r="U55" s="338">
        <v>7070</v>
      </c>
      <c r="V55" s="338">
        <v>7110</v>
      </c>
      <c r="W55" s="338">
        <v>7120</v>
      </c>
      <c r="X55" s="338">
        <v>7130</v>
      </c>
      <c r="Y55" s="338">
        <v>7140</v>
      </c>
      <c r="Z55" s="338">
        <v>7150</v>
      </c>
      <c r="AA55" s="338">
        <v>7160</v>
      </c>
      <c r="AB55" s="338">
        <v>7170</v>
      </c>
      <c r="AC55" s="338">
        <v>7180</v>
      </c>
      <c r="AD55" s="338">
        <v>7190</v>
      </c>
      <c r="AE55" s="338">
        <v>7200</v>
      </c>
      <c r="AF55" s="338">
        <v>7220</v>
      </c>
      <c r="AG55" s="338">
        <v>7230</v>
      </c>
      <c r="AH55" s="338">
        <v>7240</v>
      </c>
      <c r="AI55" s="338">
        <v>7250</v>
      </c>
      <c r="AJ55" s="338">
        <v>7260</v>
      </c>
      <c r="AK55" s="338">
        <v>7310</v>
      </c>
      <c r="AL55" s="338">
        <v>7320</v>
      </c>
      <c r="AM55" s="338">
        <v>7330</v>
      </c>
      <c r="AN55" s="338">
        <v>7340</v>
      </c>
      <c r="AO55" s="338">
        <v>7350</v>
      </c>
      <c r="AP55" s="338">
        <v>7380</v>
      </c>
      <c r="AQ55" s="338">
        <v>7390</v>
      </c>
      <c r="AR55" s="338">
        <v>7400</v>
      </c>
      <c r="AS55" s="338">
        <v>7410</v>
      </c>
      <c r="AT55" s="338">
        <v>7420</v>
      </c>
      <c r="AU55" s="338">
        <v>7430</v>
      </c>
      <c r="AV55" s="338">
        <v>7490</v>
      </c>
      <c r="AW55" s="338">
        <v>8200</v>
      </c>
      <c r="AX55" s="338">
        <v>8310</v>
      </c>
      <c r="AY55" s="338">
        <v>8320</v>
      </c>
      <c r="AZ55" s="338">
        <v>8330</v>
      </c>
      <c r="BA55" s="338">
        <v>8350</v>
      </c>
      <c r="BB55" s="338">
        <v>8360</v>
      </c>
      <c r="BC55" s="338">
        <v>8370</v>
      </c>
      <c r="BD55" s="338">
        <v>8420</v>
      </c>
      <c r="BE55" s="338">
        <v>8430</v>
      </c>
      <c r="BF55" s="338">
        <v>8460</v>
      </c>
      <c r="BG55" s="338">
        <v>8470</v>
      </c>
      <c r="BH55" s="338">
        <v>8480</v>
      </c>
      <c r="BI55" s="338">
        <v>8490</v>
      </c>
      <c r="BJ55" s="338">
        <v>8510</v>
      </c>
      <c r="BK55" s="338">
        <v>8530</v>
      </c>
      <c r="BL55" s="338">
        <v>8560</v>
      </c>
      <c r="BM55" s="338">
        <v>8590</v>
      </c>
      <c r="BN55" s="338">
        <v>8610</v>
      </c>
      <c r="BO55" s="338">
        <v>8620</v>
      </c>
      <c r="BP55" s="338">
        <v>8630</v>
      </c>
      <c r="BQ55" s="338">
        <v>8640</v>
      </c>
      <c r="BR55" s="338">
        <v>8650</v>
      </c>
      <c r="BS55" s="338">
        <v>8660</v>
      </c>
      <c r="BT55" s="338">
        <v>8670</v>
      </c>
      <c r="BU55" s="338">
        <v>8680</v>
      </c>
      <c r="BV55" s="338">
        <v>8690</v>
      </c>
      <c r="BW55" s="338">
        <v>8700</v>
      </c>
      <c r="BX55" s="338">
        <v>8710</v>
      </c>
      <c r="BY55" s="338">
        <v>8720</v>
      </c>
      <c r="BZ55" s="338">
        <v>8730</v>
      </c>
      <c r="CA55" s="338">
        <v>8740</v>
      </c>
      <c r="CB55" s="338">
        <v>8770</v>
      </c>
      <c r="CC55" s="338">
        <v>8790</v>
      </c>
      <c r="CD55" s="22" t="s">
        <v>100</v>
      </c>
      <c r="CE55" s="338">
        <v>9999</v>
      </c>
    </row>
    <row r="56" spans="1:85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5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5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5" x14ac:dyDescent="0.35">
      <c r="A59" s="39" t="s">
        <v>246</v>
      </c>
      <c r="B59" s="32"/>
      <c r="C59" s="24">
        <v>46158</v>
      </c>
      <c r="D59" s="24">
        <v>23145</v>
      </c>
      <c r="E59" s="24">
        <v>40031</v>
      </c>
      <c r="F59" s="24">
        <v>3871</v>
      </c>
      <c r="G59" s="24">
        <v>0</v>
      </c>
      <c r="H59" s="24">
        <v>7884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2992340</v>
      </c>
      <c r="Q59" s="24">
        <v>0</v>
      </c>
      <c r="R59" s="24">
        <v>2843175</v>
      </c>
      <c r="S59" s="314"/>
      <c r="T59" s="24">
        <v>25127.859999999997</v>
      </c>
      <c r="U59" s="24">
        <v>0</v>
      </c>
      <c r="V59" s="24">
        <v>48639</v>
      </c>
      <c r="W59" s="24">
        <v>183872.96</v>
      </c>
      <c r="X59" s="24">
        <v>409970.73</v>
      </c>
      <c r="Y59" s="24">
        <v>258068.95</v>
      </c>
      <c r="Z59" s="24">
        <v>0</v>
      </c>
      <c r="AA59" s="24">
        <v>23006.350000000002</v>
      </c>
      <c r="AB59" s="314"/>
      <c r="AC59" s="24">
        <v>238920.99</v>
      </c>
      <c r="AD59" s="24">
        <v>0</v>
      </c>
      <c r="AE59" s="24">
        <v>128990</v>
      </c>
      <c r="AF59" s="24">
        <v>0</v>
      </c>
      <c r="AG59" s="24">
        <v>0</v>
      </c>
      <c r="AH59" s="24">
        <v>0</v>
      </c>
      <c r="AI59" s="24">
        <v>0</v>
      </c>
      <c r="AJ59" s="24">
        <v>30182</v>
      </c>
      <c r="AK59" s="24">
        <v>3995</v>
      </c>
      <c r="AL59" s="24">
        <v>33552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314"/>
      <c r="AW59" s="314"/>
      <c r="AX59" s="314"/>
      <c r="AY59" s="30">
        <v>410155</v>
      </c>
      <c r="AZ59" s="30"/>
      <c r="BA59" s="314"/>
      <c r="BB59" s="314"/>
      <c r="BC59" s="314"/>
      <c r="BD59" s="314"/>
      <c r="BE59" s="30">
        <v>552104.41499999992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  <c r="CF59" s="12">
        <f>SUM(C59:CD59)</f>
        <v>8303189.2550000008</v>
      </c>
    </row>
    <row r="60" spans="1:85" s="225" customFormat="1" x14ac:dyDescent="0.35">
      <c r="A60" s="241" t="s">
        <v>247</v>
      </c>
      <c r="B60" s="242"/>
      <c r="C60" s="315">
        <v>450.38533623967322</v>
      </c>
      <c r="D60" s="315">
        <v>162.05442052574597</v>
      </c>
      <c r="E60" s="315">
        <v>238.28583489886495</v>
      </c>
      <c r="F60" s="315">
        <v>39.011958898765485</v>
      </c>
      <c r="G60" s="315">
        <v>0</v>
      </c>
      <c r="H60" s="315">
        <v>56.423183553914633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85.490093823905468</v>
      </c>
      <c r="P60" s="315">
        <v>240.72030544647666</v>
      </c>
      <c r="Q60" s="315">
        <v>0</v>
      </c>
      <c r="R60" s="315">
        <v>109.61354656032692</v>
      </c>
      <c r="S60" s="315">
        <v>47.43912465103574</v>
      </c>
      <c r="T60" s="315">
        <v>20.593113010877655</v>
      </c>
      <c r="U60" s="315">
        <v>250.80218010262985</v>
      </c>
      <c r="V60" s="315">
        <v>0</v>
      </c>
      <c r="W60" s="315">
        <v>24.987363010275704</v>
      </c>
      <c r="X60" s="315">
        <v>21.849972599746582</v>
      </c>
      <c r="Y60" s="315">
        <v>91.79309998742562</v>
      </c>
      <c r="Z60" s="315">
        <v>26.838642462076898</v>
      </c>
      <c r="AA60" s="315">
        <v>4.9075801363140297</v>
      </c>
      <c r="AB60" s="315">
        <v>139.12152395354499</v>
      </c>
      <c r="AC60" s="315">
        <v>62.856826018786741</v>
      </c>
      <c r="AD60" s="315">
        <v>0</v>
      </c>
      <c r="AE60" s="315">
        <v>29.65032670826708</v>
      </c>
      <c r="AF60" s="315">
        <v>0</v>
      </c>
      <c r="AG60" s="315">
        <v>240.08605750135808</v>
      </c>
      <c r="AH60" s="315">
        <v>0</v>
      </c>
      <c r="AI60" s="315">
        <v>31.53982807787126</v>
      </c>
      <c r="AJ60" s="315">
        <v>349.93991022603564</v>
      </c>
      <c r="AK60" s="315">
        <v>1.0865006847826713</v>
      </c>
      <c r="AL60" s="315">
        <v>6.588385615535838</v>
      </c>
      <c r="AM60" s="315">
        <v>0</v>
      </c>
      <c r="AN60" s="315">
        <v>0</v>
      </c>
      <c r="AO60" s="315">
        <v>0</v>
      </c>
      <c r="AP60" s="315">
        <v>46.389958897754802</v>
      </c>
      <c r="AQ60" s="315">
        <v>0</v>
      </c>
      <c r="AR60" s="315">
        <v>0</v>
      </c>
      <c r="AS60" s="315">
        <v>0</v>
      </c>
      <c r="AT60" s="315">
        <v>0</v>
      </c>
      <c r="AU60" s="315">
        <v>0</v>
      </c>
      <c r="AV60" s="315">
        <v>222.70054585990405</v>
      </c>
      <c r="AW60" s="315">
        <v>109.31603217680605</v>
      </c>
      <c r="AX60" s="315">
        <v>0</v>
      </c>
      <c r="AY60" s="315">
        <v>13.353430135157064</v>
      </c>
      <c r="AZ60" s="315">
        <v>0</v>
      </c>
      <c r="BA60" s="315">
        <v>0</v>
      </c>
      <c r="BB60" s="315">
        <v>27.132824653817423</v>
      </c>
      <c r="BC60" s="315">
        <v>18.334136298858336</v>
      </c>
      <c r="BD60" s="315">
        <v>8.5410595878710875</v>
      </c>
      <c r="BE60" s="315">
        <v>10.112060957518898</v>
      </c>
      <c r="BF60" s="315">
        <v>22.727024654420958</v>
      </c>
      <c r="BG60" s="315">
        <v>0</v>
      </c>
      <c r="BH60" s="315">
        <v>0</v>
      </c>
      <c r="BI60" s="315">
        <v>0</v>
      </c>
      <c r="BJ60" s="315">
        <v>0</v>
      </c>
      <c r="BK60" s="315">
        <v>0</v>
      </c>
      <c r="BL60" s="315">
        <v>31.608686981971417</v>
      </c>
      <c r="BM60" s="315">
        <v>0</v>
      </c>
      <c r="BN60" s="315">
        <v>12.975914381784122</v>
      </c>
      <c r="BO60" s="315">
        <v>0</v>
      </c>
      <c r="BP60" s="315">
        <v>0</v>
      </c>
      <c r="BQ60" s="315">
        <v>0</v>
      </c>
      <c r="BR60" s="315">
        <v>0</v>
      </c>
      <c r="BS60" s="315">
        <v>0</v>
      </c>
      <c r="BT60" s="315">
        <v>0</v>
      </c>
      <c r="BU60" s="315">
        <v>0</v>
      </c>
      <c r="BV60" s="315">
        <v>0</v>
      </c>
      <c r="BW60" s="315">
        <v>0</v>
      </c>
      <c r="BX60" s="315">
        <v>34.238797940515241</v>
      </c>
      <c r="BY60" s="315">
        <v>13.337099998173001</v>
      </c>
      <c r="BZ60" s="315">
        <v>22.171133558606694</v>
      </c>
      <c r="CA60" s="315">
        <v>0</v>
      </c>
      <c r="CB60" s="315">
        <v>0</v>
      </c>
      <c r="CC60" s="315">
        <v>22.01562807917594</v>
      </c>
      <c r="CD60" s="247" t="s">
        <v>233</v>
      </c>
      <c r="CE60" s="268">
        <f t="shared" ref="CE60:CE68" si="4">SUM(C60:CD60)</f>
        <v>3347.0194488565721</v>
      </c>
    </row>
    <row r="61" spans="1:85" x14ac:dyDescent="0.35">
      <c r="A61" s="39" t="s">
        <v>248</v>
      </c>
      <c r="B61" s="20"/>
      <c r="C61" s="24">
        <v>57903325.909999996</v>
      </c>
      <c r="D61" s="24">
        <v>21458249.379999999</v>
      </c>
      <c r="E61" s="24">
        <v>31057132.66</v>
      </c>
      <c r="F61" s="24">
        <v>4311428.29</v>
      </c>
      <c r="G61" s="24">
        <v>0</v>
      </c>
      <c r="H61" s="24">
        <v>5968595.5300000003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13896736.999999998</v>
      </c>
      <c r="P61" s="24">
        <v>28347769.02</v>
      </c>
      <c r="Q61" s="24">
        <v>0</v>
      </c>
      <c r="R61" s="24">
        <v>17675170.32</v>
      </c>
      <c r="S61" s="24">
        <v>3474679.37</v>
      </c>
      <c r="T61" s="24">
        <v>2687764.2199999997</v>
      </c>
      <c r="U61" s="24">
        <v>18719528.420000002</v>
      </c>
      <c r="V61" s="24">
        <v>0</v>
      </c>
      <c r="W61" s="24">
        <v>3206842.14</v>
      </c>
      <c r="X61" s="24">
        <v>2905594.6199999996</v>
      </c>
      <c r="Y61" s="24">
        <v>11381611.790000001</v>
      </c>
      <c r="Z61" s="24">
        <v>5080918.43</v>
      </c>
      <c r="AA61" s="24">
        <v>718622.97</v>
      </c>
      <c r="AB61" s="24">
        <v>16625370.6</v>
      </c>
      <c r="AC61" s="24">
        <v>7060330.4299999988</v>
      </c>
      <c r="AD61" s="24">
        <v>0</v>
      </c>
      <c r="AE61" s="24">
        <v>3054895.21</v>
      </c>
      <c r="AF61" s="24">
        <v>0</v>
      </c>
      <c r="AG61" s="24">
        <v>35317722.530000001</v>
      </c>
      <c r="AH61" s="24">
        <v>0</v>
      </c>
      <c r="AI61" s="24">
        <v>4456484.8900000006</v>
      </c>
      <c r="AJ61" s="24">
        <v>59620586.32</v>
      </c>
      <c r="AK61" s="24">
        <v>125491.81</v>
      </c>
      <c r="AL61" s="24">
        <v>841595.12000000011</v>
      </c>
      <c r="AM61" s="24">
        <v>0</v>
      </c>
      <c r="AN61" s="24">
        <v>0</v>
      </c>
      <c r="AO61" s="24">
        <v>0</v>
      </c>
      <c r="AP61" s="24">
        <v>9954967.9499999993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37443335.850000001</v>
      </c>
      <c r="AW61" s="24">
        <v>10491022.85</v>
      </c>
      <c r="AX61" s="24">
        <v>0</v>
      </c>
      <c r="AY61" s="24">
        <v>789728.76000000013</v>
      </c>
      <c r="AZ61" s="24">
        <v>0</v>
      </c>
      <c r="BA61" s="24">
        <v>0</v>
      </c>
      <c r="BB61" s="24">
        <v>2934304.02</v>
      </c>
      <c r="BC61" s="24">
        <v>1806419.6900000002</v>
      </c>
      <c r="BD61" s="24">
        <v>475319.64999999997</v>
      </c>
      <c r="BE61" s="24">
        <v>1061423.46</v>
      </c>
      <c r="BF61" s="24">
        <v>1140732.3600000001</v>
      </c>
      <c r="BG61" s="24">
        <v>0</v>
      </c>
      <c r="BH61" s="24">
        <v>0</v>
      </c>
      <c r="BI61" s="24">
        <v>0</v>
      </c>
      <c r="BJ61" s="24">
        <v>0</v>
      </c>
      <c r="BK61" s="24">
        <v>0</v>
      </c>
      <c r="BL61" s="24">
        <v>1823747.62</v>
      </c>
      <c r="BM61" s="24">
        <v>0</v>
      </c>
      <c r="BN61" s="24">
        <v>3765817.34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0</v>
      </c>
      <c r="BW61" s="24">
        <v>0</v>
      </c>
      <c r="BX61" s="24">
        <v>4660958.87</v>
      </c>
      <c r="BY61" s="24">
        <v>2920437.13</v>
      </c>
      <c r="BZ61" s="24">
        <v>3487894.5399999996</v>
      </c>
      <c r="CA61" s="24">
        <v>0</v>
      </c>
      <c r="CB61" s="24">
        <v>0</v>
      </c>
      <c r="CC61" s="24">
        <v>10629146.310000001</v>
      </c>
      <c r="CD61" s="29" t="s">
        <v>233</v>
      </c>
      <c r="CE61" s="32">
        <f t="shared" si="4"/>
        <v>449281703.38</v>
      </c>
      <c r="CF61" s="12">
        <f>C389</f>
        <v>449281703.38</v>
      </c>
      <c r="CG61" s="12">
        <f>CF61-CE61</f>
        <v>0</v>
      </c>
    </row>
    <row r="62" spans="1:85" x14ac:dyDescent="0.35">
      <c r="A62" s="39" t="s">
        <v>9</v>
      </c>
      <c r="B62" s="20"/>
      <c r="C62" s="32">
        <f>ROUND(C47+C48,0)</f>
        <v>10649387</v>
      </c>
      <c r="D62" s="32">
        <f t="shared" ref="D62:BO62" si="5">ROUND(D47+D48,0)</f>
        <v>3388825</v>
      </c>
      <c r="E62" s="32">
        <f t="shared" si="5"/>
        <v>4816177</v>
      </c>
      <c r="F62" s="32">
        <f t="shared" si="5"/>
        <v>1035594</v>
      </c>
      <c r="G62" s="32">
        <f t="shared" si="5"/>
        <v>0</v>
      </c>
      <c r="H62" s="32">
        <f t="shared" si="5"/>
        <v>1397982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1926766</v>
      </c>
      <c r="P62" s="32">
        <f t="shared" si="5"/>
        <v>5615205</v>
      </c>
      <c r="Q62" s="32">
        <f t="shared" si="5"/>
        <v>0</v>
      </c>
      <c r="R62" s="32">
        <f t="shared" si="5"/>
        <v>2243695</v>
      </c>
      <c r="S62" s="32">
        <f t="shared" si="5"/>
        <v>1019507</v>
      </c>
      <c r="T62" s="32">
        <f t="shared" si="5"/>
        <v>559492</v>
      </c>
      <c r="U62" s="32">
        <f t="shared" si="5"/>
        <v>5606758</v>
      </c>
      <c r="V62" s="32">
        <f t="shared" si="5"/>
        <v>0</v>
      </c>
      <c r="W62" s="32">
        <f t="shared" si="5"/>
        <v>644498</v>
      </c>
      <c r="X62" s="32">
        <f t="shared" si="5"/>
        <v>524610</v>
      </c>
      <c r="Y62" s="32">
        <f t="shared" si="5"/>
        <v>2274409</v>
      </c>
      <c r="Z62" s="32">
        <f t="shared" si="5"/>
        <v>786472</v>
      </c>
      <c r="AA62" s="32">
        <f t="shared" si="5"/>
        <v>138073</v>
      </c>
      <c r="AB62" s="32">
        <f t="shared" si="5"/>
        <v>3617673</v>
      </c>
      <c r="AC62" s="32">
        <f t="shared" si="5"/>
        <v>1571501</v>
      </c>
      <c r="AD62" s="32">
        <f t="shared" si="5"/>
        <v>0</v>
      </c>
      <c r="AE62" s="32">
        <f t="shared" si="5"/>
        <v>722838</v>
      </c>
      <c r="AF62" s="32">
        <f t="shared" si="5"/>
        <v>0</v>
      </c>
      <c r="AG62" s="32">
        <f t="shared" si="5"/>
        <v>4389703</v>
      </c>
      <c r="AH62" s="32">
        <f t="shared" si="5"/>
        <v>0</v>
      </c>
      <c r="AI62" s="32">
        <f t="shared" si="5"/>
        <v>752587</v>
      </c>
      <c r="AJ62" s="32">
        <f t="shared" si="5"/>
        <v>9684878</v>
      </c>
      <c r="AK62" s="32">
        <f t="shared" si="5"/>
        <v>28386</v>
      </c>
      <c r="AL62" s="32">
        <f t="shared" si="5"/>
        <v>178796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1322219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6161240</v>
      </c>
      <c r="AW62" s="32">
        <f t="shared" si="5"/>
        <v>2726917</v>
      </c>
      <c r="AX62" s="32">
        <f t="shared" si="5"/>
        <v>0</v>
      </c>
      <c r="AY62" s="32">
        <f t="shared" si="5"/>
        <v>291080</v>
      </c>
      <c r="AZ62" s="32">
        <f t="shared" si="5"/>
        <v>0</v>
      </c>
      <c r="BA62" s="32">
        <f t="shared" si="5"/>
        <v>0</v>
      </c>
      <c r="BB62" s="32">
        <f t="shared" si="5"/>
        <v>694921</v>
      </c>
      <c r="BC62" s="32">
        <f t="shared" si="5"/>
        <v>452405</v>
      </c>
      <c r="BD62" s="32">
        <f t="shared" si="5"/>
        <v>183465</v>
      </c>
      <c r="BE62" s="32">
        <f t="shared" si="5"/>
        <v>256463</v>
      </c>
      <c r="BF62" s="32">
        <f t="shared" si="5"/>
        <v>475091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677087</v>
      </c>
      <c r="BM62" s="32">
        <f t="shared" si="5"/>
        <v>0</v>
      </c>
      <c r="BN62" s="32">
        <f t="shared" si="5"/>
        <v>280674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855950</v>
      </c>
      <c r="BY62" s="32">
        <f t="shared" si="6"/>
        <v>406577</v>
      </c>
      <c r="BZ62" s="32">
        <f t="shared" si="6"/>
        <v>476632</v>
      </c>
      <c r="CA62" s="32">
        <f t="shared" si="6"/>
        <v>0</v>
      </c>
      <c r="CB62" s="32">
        <f t="shared" si="6"/>
        <v>0</v>
      </c>
      <c r="CC62" s="32">
        <f t="shared" si="6"/>
        <v>580814</v>
      </c>
      <c r="CD62" s="29" t="s">
        <v>233</v>
      </c>
      <c r="CE62" s="32">
        <f t="shared" si="4"/>
        <v>79415347</v>
      </c>
      <c r="CF62" s="12">
        <f t="shared" ref="CF62:CF68" si="7">C390</f>
        <v>79415347</v>
      </c>
      <c r="CG62" s="12">
        <f t="shared" ref="CG62:CG86" si="8">CF62-CE62</f>
        <v>0</v>
      </c>
    </row>
    <row r="63" spans="1:85" x14ac:dyDescent="0.35">
      <c r="A63" s="39" t="s">
        <v>249</v>
      </c>
      <c r="B63" s="20"/>
      <c r="C63" s="24">
        <v>181264.62000000002</v>
      </c>
      <c r="D63" s="24">
        <v>0</v>
      </c>
      <c r="E63" s="24">
        <v>0</v>
      </c>
      <c r="F63" s="24">
        <v>287287.96000000002</v>
      </c>
      <c r="G63" s="24">
        <v>0</v>
      </c>
      <c r="H63" s="24">
        <v>1070218.8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762746.07000000007</v>
      </c>
      <c r="P63" s="24">
        <v>10745422.24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209587.19000000003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7048673.6100000003</v>
      </c>
      <c r="AH63" s="24">
        <v>0</v>
      </c>
      <c r="AI63" s="24">
        <v>0</v>
      </c>
      <c r="AJ63" s="24">
        <v>-1766.16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1859999.73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286121.17000000004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102</v>
      </c>
      <c r="BY63" s="24">
        <v>12000</v>
      </c>
      <c r="BZ63" s="24">
        <v>0</v>
      </c>
      <c r="CA63" s="24">
        <v>0</v>
      </c>
      <c r="CB63" s="24">
        <v>0</v>
      </c>
      <c r="CC63" s="24">
        <v>18839582.030000001</v>
      </c>
      <c r="CD63" s="29" t="s">
        <v>233</v>
      </c>
      <c r="CE63" s="32">
        <f t="shared" si="4"/>
        <v>41301239.260000005</v>
      </c>
      <c r="CF63" s="12">
        <f t="shared" si="7"/>
        <v>41301239.260000005</v>
      </c>
      <c r="CG63" s="12">
        <f t="shared" si="8"/>
        <v>0</v>
      </c>
    </row>
    <row r="64" spans="1:85" x14ac:dyDescent="0.35">
      <c r="A64" s="39" t="s">
        <v>250</v>
      </c>
      <c r="B64" s="20"/>
      <c r="C64" s="24">
        <v>7545939.75</v>
      </c>
      <c r="D64" s="24">
        <v>1800914.89</v>
      </c>
      <c r="E64" s="24">
        <v>1910991.34</v>
      </c>
      <c r="F64" s="24">
        <v>228722.85</v>
      </c>
      <c r="G64" s="24">
        <v>0</v>
      </c>
      <c r="H64" s="24">
        <v>108095.24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1615765.5099999998</v>
      </c>
      <c r="P64" s="24">
        <v>60284734.609999999</v>
      </c>
      <c r="Q64" s="24">
        <v>0</v>
      </c>
      <c r="R64" s="24">
        <v>846444.89</v>
      </c>
      <c r="S64" s="24">
        <v>1478882.74</v>
      </c>
      <c r="T64" s="24">
        <v>16567453.539999999</v>
      </c>
      <c r="U64" s="24">
        <v>19589412.330000002</v>
      </c>
      <c r="V64" s="24">
        <v>0</v>
      </c>
      <c r="W64" s="24">
        <v>805512.39</v>
      </c>
      <c r="X64" s="24">
        <v>773735.35000000009</v>
      </c>
      <c r="Y64" s="24">
        <v>19291382.289999999</v>
      </c>
      <c r="Z64" s="24">
        <v>4864917.8100000005</v>
      </c>
      <c r="AA64" s="24">
        <v>636540.59</v>
      </c>
      <c r="AB64" s="24">
        <v>73605199.159999996</v>
      </c>
      <c r="AC64" s="24">
        <v>1609686.6199999999</v>
      </c>
      <c r="AD64" s="24">
        <v>30492.98</v>
      </c>
      <c r="AE64" s="24">
        <v>12200.96</v>
      </c>
      <c r="AF64" s="24">
        <v>0</v>
      </c>
      <c r="AG64" s="24">
        <v>4561236.59</v>
      </c>
      <c r="AH64" s="24">
        <v>0</v>
      </c>
      <c r="AI64" s="24">
        <v>406844.18000000005</v>
      </c>
      <c r="AJ64" s="24">
        <v>4438765.1500000004</v>
      </c>
      <c r="AK64" s="24">
        <v>2128.0500000000002</v>
      </c>
      <c r="AL64" s="24">
        <v>13655.75</v>
      </c>
      <c r="AM64" s="24">
        <v>0</v>
      </c>
      <c r="AN64" s="24">
        <v>0</v>
      </c>
      <c r="AO64" s="24">
        <v>0</v>
      </c>
      <c r="AP64" s="24">
        <v>383025.64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5087477.5500000007</v>
      </c>
      <c r="AW64" s="24">
        <v>51719.5</v>
      </c>
      <c r="AX64" s="24">
        <v>0</v>
      </c>
      <c r="AY64" s="24">
        <v>396495.92</v>
      </c>
      <c r="AZ64" s="24">
        <v>0</v>
      </c>
      <c r="BA64" s="24">
        <v>0</v>
      </c>
      <c r="BB64" s="24">
        <v>20092.61</v>
      </c>
      <c r="BC64" s="24">
        <v>16977.490000000002</v>
      </c>
      <c r="BD64" s="24">
        <v>-9026.9999999999982</v>
      </c>
      <c r="BE64" s="24">
        <v>9925.6</v>
      </c>
      <c r="BF64" s="24">
        <v>123531.65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32539.97</v>
      </c>
      <c r="BM64" s="24">
        <v>0</v>
      </c>
      <c r="BN64" s="24">
        <v>282830.83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33240.800000000003</v>
      </c>
      <c r="BY64" s="24">
        <v>12497.59</v>
      </c>
      <c r="BZ64" s="24">
        <v>5038</v>
      </c>
      <c r="CA64" s="24">
        <v>0</v>
      </c>
      <c r="CB64" s="24">
        <v>0</v>
      </c>
      <c r="CC64" s="24">
        <v>5571910.5200000005</v>
      </c>
      <c r="CD64" s="29" t="s">
        <v>233</v>
      </c>
      <c r="CE64" s="32">
        <f t="shared" si="4"/>
        <v>235047932.23000005</v>
      </c>
      <c r="CF64" s="12">
        <f t="shared" si="7"/>
        <v>235047932.23000005</v>
      </c>
      <c r="CG64" s="12">
        <f t="shared" si="8"/>
        <v>0</v>
      </c>
    </row>
    <row r="65" spans="1:85" x14ac:dyDescent="0.35">
      <c r="A65" s="39" t="s">
        <v>251</v>
      </c>
      <c r="B65" s="20"/>
      <c r="C65" s="24">
        <v>315876.01</v>
      </c>
      <c r="D65" s="24">
        <v>125590.01000000001</v>
      </c>
      <c r="E65" s="24">
        <v>151169.11000000002</v>
      </c>
      <c r="F65" s="24">
        <v>0</v>
      </c>
      <c r="G65" s="24">
        <v>0</v>
      </c>
      <c r="H65" s="24">
        <v>55700.58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205352.74999999997</v>
      </c>
      <c r="P65" s="24">
        <v>315973.68</v>
      </c>
      <c r="Q65" s="24">
        <v>0</v>
      </c>
      <c r="R65" s="24">
        <v>65766.16</v>
      </c>
      <c r="S65" s="24">
        <v>60935.47</v>
      </c>
      <c r="T65" s="24">
        <v>6715.4999999999991</v>
      </c>
      <c r="U65" s="24">
        <v>112033.60999999999</v>
      </c>
      <c r="V65" s="24">
        <v>0</v>
      </c>
      <c r="W65" s="24">
        <v>7007.5200000000013</v>
      </c>
      <c r="X65" s="24">
        <v>11526.4</v>
      </c>
      <c r="Y65" s="24">
        <v>117657.56</v>
      </c>
      <c r="Z65" s="24">
        <v>75377.289999999994</v>
      </c>
      <c r="AA65" s="24">
        <v>7029.51</v>
      </c>
      <c r="AB65" s="24">
        <v>71320.399999999994</v>
      </c>
      <c r="AC65" s="24">
        <v>13246.2</v>
      </c>
      <c r="AD65" s="24">
        <v>1169.01</v>
      </c>
      <c r="AE65" s="24">
        <v>10674.29</v>
      </c>
      <c r="AF65" s="24">
        <v>0</v>
      </c>
      <c r="AG65" s="24">
        <v>282944.07</v>
      </c>
      <c r="AH65" s="24">
        <v>0</v>
      </c>
      <c r="AI65" s="24">
        <v>37352.76</v>
      </c>
      <c r="AJ65" s="24">
        <v>164551.60999999999</v>
      </c>
      <c r="AK65" s="24">
        <v>0</v>
      </c>
      <c r="AL65" s="24">
        <v>1158.3599999999999</v>
      </c>
      <c r="AM65" s="24">
        <v>0</v>
      </c>
      <c r="AN65" s="24">
        <v>0</v>
      </c>
      <c r="AO65" s="24">
        <v>0</v>
      </c>
      <c r="AP65" s="24">
        <v>11746.51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208217.02000000002</v>
      </c>
      <c r="AW65" s="24">
        <v>18538.23</v>
      </c>
      <c r="AX65" s="24">
        <v>0</v>
      </c>
      <c r="AY65" s="24">
        <v>38951.800000000003</v>
      </c>
      <c r="AZ65" s="24">
        <v>0</v>
      </c>
      <c r="BA65" s="24">
        <v>0</v>
      </c>
      <c r="BB65" s="24">
        <v>4711.0600000000004</v>
      </c>
      <c r="BC65" s="24">
        <v>2866.1699999999996</v>
      </c>
      <c r="BD65" s="24">
        <v>10321.31</v>
      </c>
      <c r="BE65" s="24">
        <v>95320.82</v>
      </c>
      <c r="BF65" s="24">
        <v>12574.53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7724.0300000000007</v>
      </c>
      <c r="BM65" s="24">
        <v>0</v>
      </c>
      <c r="BN65" s="24">
        <v>55097.19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25409.609999999997</v>
      </c>
      <c r="BY65" s="24">
        <v>2455.42</v>
      </c>
      <c r="BZ65" s="24">
        <v>7572.07</v>
      </c>
      <c r="CA65" s="24">
        <v>0</v>
      </c>
      <c r="CB65" s="24">
        <v>0</v>
      </c>
      <c r="CC65" s="24">
        <v>39104.83</v>
      </c>
      <c r="CD65" s="29" t="s">
        <v>233</v>
      </c>
      <c r="CE65" s="32">
        <f t="shared" si="4"/>
        <v>2756738.4599999986</v>
      </c>
      <c r="CF65" s="12">
        <f t="shared" si="7"/>
        <v>2756738.4599999986</v>
      </c>
      <c r="CG65" s="12">
        <f t="shared" si="8"/>
        <v>0</v>
      </c>
    </row>
    <row r="66" spans="1:85" x14ac:dyDescent="0.35">
      <c r="A66" s="39" t="s">
        <v>252</v>
      </c>
      <c r="B66" s="20"/>
      <c r="C66" s="24">
        <v>1377144.88</v>
      </c>
      <c r="D66" s="24">
        <v>1417954.32</v>
      </c>
      <c r="E66" s="24">
        <v>3207340.2</v>
      </c>
      <c r="F66" s="24">
        <v>364907.17</v>
      </c>
      <c r="G66" s="24">
        <v>0</v>
      </c>
      <c r="H66" s="24">
        <v>35633.339999999997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601867.66</v>
      </c>
      <c r="P66" s="24">
        <v>8652762.1400000006</v>
      </c>
      <c r="Q66" s="24">
        <v>0</v>
      </c>
      <c r="R66" s="24">
        <v>911681.83</v>
      </c>
      <c r="S66" s="24">
        <v>-7112200.25</v>
      </c>
      <c r="T66" s="24">
        <v>28208.7</v>
      </c>
      <c r="U66" s="24">
        <v>78556242.920000002</v>
      </c>
      <c r="V66" s="24">
        <v>0</v>
      </c>
      <c r="W66" s="24">
        <v>965302.47</v>
      </c>
      <c r="X66" s="24">
        <v>996739.68</v>
      </c>
      <c r="Y66" s="24">
        <v>-665046.12</v>
      </c>
      <c r="Z66" s="24">
        <v>2499096.79</v>
      </c>
      <c r="AA66" s="24">
        <v>49671.39</v>
      </c>
      <c r="AB66" s="24">
        <v>894844.77</v>
      </c>
      <c r="AC66" s="24">
        <v>65099.62</v>
      </c>
      <c r="AD66" s="24">
        <v>2592860.94</v>
      </c>
      <c r="AE66" s="24">
        <v>1366.23</v>
      </c>
      <c r="AF66" s="24">
        <v>0</v>
      </c>
      <c r="AG66" s="24">
        <v>8437636.8200000003</v>
      </c>
      <c r="AH66" s="24">
        <v>0</v>
      </c>
      <c r="AI66" s="24">
        <v>138212.72</v>
      </c>
      <c r="AJ66" s="24">
        <v>2331727.0699999998</v>
      </c>
      <c r="AK66" s="24">
        <v>7543.28</v>
      </c>
      <c r="AL66" s="24">
        <v>0</v>
      </c>
      <c r="AM66" s="24">
        <v>0</v>
      </c>
      <c r="AN66" s="24">
        <v>0</v>
      </c>
      <c r="AO66" s="24">
        <v>0</v>
      </c>
      <c r="AP66" s="24">
        <v>49912.93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-860276.58</v>
      </c>
      <c r="AW66" s="24">
        <v>-2910155.25</v>
      </c>
      <c r="AX66" s="24">
        <v>0</v>
      </c>
      <c r="AY66" s="24">
        <v>15207.68</v>
      </c>
      <c r="AZ66" s="24">
        <v>0</v>
      </c>
      <c r="BA66" s="24">
        <v>0</v>
      </c>
      <c r="BB66" s="24">
        <v>17892.55</v>
      </c>
      <c r="BC66" s="24">
        <v>0</v>
      </c>
      <c r="BD66" s="24">
        <v>82969.09</v>
      </c>
      <c r="BE66" s="24">
        <v>794948.62</v>
      </c>
      <c r="BF66" s="24">
        <v>23525.29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90</v>
      </c>
      <c r="BM66" s="24">
        <v>0</v>
      </c>
      <c r="BN66" s="24">
        <v>11390662.060000001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170182.22</v>
      </c>
      <c r="BY66" s="24">
        <v>941691.41</v>
      </c>
      <c r="BZ66" s="24">
        <v>-319152.28999999998</v>
      </c>
      <c r="CA66" s="24">
        <v>0</v>
      </c>
      <c r="CB66" s="24">
        <v>0</v>
      </c>
      <c r="CC66" s="24">
        <f>57203202.32+157336968.63</f>
        <v>214540170.94999999</v>
      </c>
      <c r="CD66" s="29" t="s">
        <v>233</v>
      </c>
      <c r="CE66" s="32">
        <f t="shared" si="4"/>
        <v>330294267.25</v>
      </c>
      <c r="CF66" s="12">
        <f t="shared" si="7"/>
        <v>330294267.25000006</v>
      </c>
      <c r="CG66" s="12">
        <f t="shared" si="8"/>
        <v>0</v>
      </c>
    </row>
    <row r="67" spans="1:85" x14ac:dyDescent="0.35">
      <c r="A67" s="39" t="s">
        <v>11</v>
      </c>
      <c r="B67" s="20"/>
      <c r="C67" s="32">
        <f t="shared" ref="C67:BN67" si="9">ROUND(C51+C52,0)</f>
        <v>1805527</v>
      </c>
      <c r="D67" s="32">
        <f t="shared" si="9"/>
        <v>669941</v>
      </c>
      <c r="E67" s="32">
        <f t="shared" si="9"/>
        <v>653588</v>
      </c>
      <c r="F67" s="32">
        <f t="shared" si="9"/>
        <v>0</v>
      </c>
      <c r="G67" s="32">
        <f t="shared" si="9"/>
        <v>0</v>
      </c>
      <c r="H67" s="32">
        <f t="shared" si="9"/>
        <v>235049</v>
      </c>
      <c r="I67" s="32">
        <f t="shared" si="9"/>
        <v>0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0</v>
      </c>
      <c r="O67" s="32">
        <f t="shared" si="9"/>
        <v>817432</v>
      </c>
      <c r="P67" s="32">
        <f t="shared" si="9"/>
        <v>3142046</v>
      </c>
      <c r="Q67" s="32">
        <f t="shared" si="9"/>
        <v>0</v>
      </c>
      <c r="R67" s="32">
        <f t="shared" si="9"/>
        <v>234947</v>
      </c>
      <c r="S67" s="32">
        <f t="shared" si="9"/>
        <v>484953</v>
      </c>
      <c r="T67" s="32">
        <f t="shared" si="9"/>
        <v>28343</v>
      </c>
      <c r="U67" s="32">
        <f t="shared" si="9"/>
        <v>647187</v>
      </c>
      <c r="V67" s="32">
        <f t="shared" si="9"/>
        <v>0</v>
      </c>
      <c r="W67" s="32">
        <f t="shared" si="9"/>
        <v>236307</v>
      </c>
      <c r="X67" s="32">
        <f t="shared" si="9"/>
        <v>244322</v>
      </c>
      <c r="Y67" s="32">
        <f t="shared" si="9"/>
        <v>1108165</v>
      </c>
      <c r="Z67" s="32">
        <f t="shared" si="9"/>
        <v>841490</v>
      </c>
      <c r="AA67" s="32">
        <f t="shared" si="9"/>
        <v>23282</v>
      </c>
      <c r="AB67" s="32">
        <f t="shared" si="9"/>
        <v>322047</v>
      </c>
      <c r="AC67" s="32">
        <f t="shared" si="9"/>
        <v>268029</v>
      </c>
      <c r="AD67" s="32">
        <f t="shared" si="9"/>
        <v>4196</v>
      </c>
      <c r="AE67" s="32">
        <f t="shared" si="9"/>
        <v>52247</v>
      </c>
      <c r="AF67" s="32">
        <f t="shared" si="9"/>
        <v>0</v>
      </c>
      <c r="AG67" s="32">
        <f t="shared" si="9"/>
        <v>1391732</v>
      </c>
      <c r="AH67" s="32">
        <f t="shared" si="9"/>
        <v>0</v>
      </c>
      <c r="AI67" s="32">
        <f t="shared" si="9"/>
        <v>153833</v>
      </c>
      <c r="AJ67" s="32">
        <f t="shared" si="9"/>
        <v>1721183</v>
      </c>
      <c r="AK67" s="32">
        <f t="shared" si="9"/>
        <v>0</v>
      </c>
      <c r="AL67" s="32">
        <f t="shared" si="9"/>
        <v>1666</v>
      </c>
      <c r="AM67" s="32">
        <f t="shared" si="9"/>
        <v>0</v>
      </c>
      <c r="AN67" s="32">
        <f t="shared" si="9"/>
        <v>0</v>
      </c>
      <c r="AO67" s="32">
        <f t="shared" si="9"/>
        <v>0</v>
      </c>
      <c r="AP67" s="32">
        <f t="shared" si="9"/>
        <v>106079</v>
      </c>
      <c r="AQ67" s="32">
        <f t="shared" si="9"/>
        <v>0</v>
      </c>
      <c r="AR67" s="32">
        <f t="shared" si="9"/>
        <v>0</v>
      </c>
      <c r="AS67" s="32">
        <f t="shared" si="9"/>
        <v>0</v>
      </c>
      <c r="AT67" s="32">
        <f t="shared" si="9"/>
        <v>0</v>
      </c>
      <c r="AU67" s="32">
        <f t="shared" si="9"/>
        <v>0</v>
      </c>
      <c r="AV67" s="32">
        <f t="shared" si="9"/>
        <v>1459779</v>
      </c>
      <c r="AW67" s="32">
        <f t="shared" si="9"/>
        <v>45446</v>
      </c>
      <c r="AX67" s="32">
        <f t="shared" si="9"/>
        <v>0</v>
      </c>
      <c r="AY67" s="32">
        <f t="shared" si="9"/>
        <v>142593</v>
      </c>
      <c r="AZ67" s="32">
        <f t="shared" si="9"/>
        <v>0</v>
      </c>
      <c r="BA67" s="32">
        <f t="shared" si="9"/>
        <v>0</v>
      </c>
      <c r="BB67" s="32">
        <f t="shared" si="9"/>
        <v>10342</v>
      </c>
      <c r="BC67" s="32">
        <f t="shared" si="9"/>
        <v>3263</v>
      </c>
      <c r="BD67" s="32">
        <f t="shared" si="9"/>
        <v>28012</v>
      </c>
      <c r="BE67" s="32">
        <f t="shared" si="9"/>
        <v>313689</v>
      </c>
      <c r="BF67" s="32">
        <f t="shared" si="9"/>
        <v>30204</v>
      </c>
      <c r="BG67" s="32">
        <f t="shared" si="9"/>
        <v>0</v>
      </c>
      <c r="BH67" s="32">
        <f t="shared" si="9"/>
        <v>0</v>
      </c>
      <c r="BI67" s="32">
        <f t="shared" si="9"/>
        <v>0</v>
      </c>
      <c r="BJ67" s="32">
        <f t="shared" si="9"/>
        <v>0</v>
      </c>
      <c r="BK67" s="32">
        <f t="shared" si="9"/>
        <v>0</v>
      </c>
      <c r="BL67" s="32">
        <f t="shared" si="9"/>
        <v>19584</v>
      </c>
      <c r="BM67" s="32">
        <f t="shared" si="9"/>
        <v>0</v>
      </c>
      <c r="BN67" s="32">
        <f t="shared" si="9"/>
        <v>583802</v>
      </c>
      <c r="BO67" s="32">
        <f t="shared" ref="BO67:CC67" si="10">ROUND(BO51+BO52,0)</f>
        <v>0</v>
      </c>
      <c r="BP67" s="32">
        <f t="shared" si="10"/>
        <v>0</v>
      </c>
      <c r="BQ67" s="32">
        <f t="shared" si="10"/>
        <v>0</v>
      </c>
      <c r="BR67" s="32">
        <f t="shared" si="10"/>
        <v>0</v>
      </c>
      <c r="BS67" s="32">
        <f t="shared" si="10"/>
        <v>0</v>
      </c>
      <c r="BT67" s="32">
        <f t="shared" si="10"/>
        <v>0</v>
      </c>
      <c r="BU67" s="32">
        <f t="shared" si="10"/>
        <v>0</v>
      </c>
      <c r="BV67" s="32">
        <f t="shared" si="10"/>
        <v>0</v>
      </c>
      <c r="BW67" s="32">
        <f t="shared" si="10"/>
        <v>0</v>
      </c>
      <c r="BX67" s="32">
        <f t="shared" si="10"/>
        <v>32494</v>
      </c>
      <c r="BY67" s="32">
        <f t="shared" si="10"/>
        <v>42463</v>
      </c>
      <c r="BZ67" s="32">
        <f t="shared" si="10"/>
        <v>24930</v>
      </c>
      <c r="CA67" s="32">
        <f t="shared" si="10"/>
        <v>0</v>
      </c>
      <c r="CB67" s="32">
        <f t="shared" si="10"/>
        <v>0</v>
      </c>
      <c r="CC67" s="32">
        <f t="shared" si="10"/>
        <v>529553</v>
      </c>
      <c r="CD67" s="29" t="s">
        <v>233</v>
      </c>
      <c r="CE67" s="32">
        <f t="shared" si="4"/>
        <v>18459745</v>
      </c>
      <c r="CF67" s="12">
        <f t="shared" si="7"/>
        <v>18459745</v>
      </c>
      <c r="CG67" s="12">
        <f t="shared" si="8"/>
        <v>0</v>
      </c>
    </row>
    <row r="68" spans="1:85" x14ac:dyDescent="0.35">
      <c r="A68" s="39" t="s">
        <v>253</v>
      </c>
      <c r="B68" s="32"/>
      <c r="C68" s="24">
        <v>430846.98</v>
      </c>
      <c r="D68" s="24">
        <v>239902.34</v>
      </c>
      <c r="E68" s="24">
        <v>653927.61</v>
      </c>
      <c r="F68" s="24">
        <v>12900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58538.95</v>
      </c>
      <c r="P68" s="24">
        <v>1701445.3399999999</v>
      </c>
      <c r="Q68" s="24">
        <v>0</v>
      </c>
      <c r="R68" s="24">
        <v>231474.26000000004</v>
      </c>
      <c r="S68" s="24">
        <v>0</v>
      </c>
      <c r="T68" s="24">
        <v>804.8</v>
      </c>
      <c r="U68" s="24">
        <v>213837.85</v>
      </c>
      <c r="V68" s="24">
        <v>0</v>
      </c>
      <c r="W68" s="24">
        <v>0</v>
      </c>
      <c r="X68" s="24">
        <v>0</v>
      </c>
      <c r="Y68" s="24">
        <v>518373.94000000006</v>
      </c>
      <c r="Z68" s="24">
        <v>0</v>
      </c>
      <c r="AA68" s="24">
        <v>0</v>
      </c>
      <c r="AB68" s="24">
        <v>64613.7</v>
      </c>
      <c r="AC68" s="24">
        <v>17850.879999999997</v>
      </c>
      <c r="AD68" s="24">
        <v>0</v>
      </c>
      <c r="AE68" s="24">
        <v>0</v>
      </c>
      <c r="AF68" s="24">
        <v>0</v>
      </c>
      <c r="AG68" s="24">
        <v>1125166.8400000001</v>
      </c>
      <c r="AH68" s="24">
        <v>0</v>
      </c>
      <c r="AI68" s="24">
        <v>40372.5</v>
      </c>
      <c r="AJ68" s="24">
        <v>2723021.44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554386.72000000009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781206.32999999984</v>
      </c>
      <c r="AW68" s="24">
        <v>14280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200.51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28434.94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10496.25</v>
      </c>
      <c r="BZ68" s="24">
        <v>0</v>
      </c>
      <c r="CA68" s="24">
        <v>0</v>
      </c>
      <c r="CB68" s="24">
        <v>0</v>
      </c>
      <c r="CC68" s="24">
        <v>38430.97</v>
      </c>
      <c r="CD68" s="29" t="s">
        <v>233</v>
      </c>
      <c r="CE68" s="32">
        <f t="shared" si="4"/>
        <v>9460513.1500000004</v>
      </c>
      <c r="CF68" s="12">
        <f t="shared" si="7"/>
        <v>9460513.1500000004</v>
      </c>
      <c r="CG68" s="12">
        <f t="shared" si="8"/>
        <v>0</v>
      </c>
    </row>
    <row r="69" spans="1:85" x14ac:dyDescent="0.35">
      <c r="A69" s="39" t="s">
        <v>254</v>
      </c>
      <c r="B69" s="20"/>
      <c r="C69" s="32">
        <f t="shared" ref="C69:BN69" si="11">SUM(C70:C83)</f>
        <v>1018782.4900000002</v>
      </c>
      <c r="D69" s="32">
        <f t="shared" si="11"/>
        <v>308712.12000000005</v>
      </c>
      <c r="E69" s="32">
        <f t="shared" si="11"/>
        <v>228544.04000000007</v>
      </c>
      <c r="F69" s="32">
        <f t="shared" si="11"/>
        <v>5000</v>
      </c>
      <c r="G69" s="32">
        <f t="shared" si="11"/>
        <v>0</v>
      </c>
      <c r="H69" s="32">
        <f t="shared" si="11"/>
        <v>-3925.6000000000058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1"/>
        <v>0</v>
      </c>
      <c r="O69" s="32">
        <f t="shared" si="11"/>
        <v>98970.450000000041</v>
      </c>
      <c r="P69" s="32">
        <f t="shared" si="11"/>
        <v>683101.46999999951</v>
      </c>
      <c r="Q69" s="32">
        <f t="shared" si="11"/>
        <v>0</v>
      </c>
      <c r="R69" s="32">
        <f t="shared" si="11"/>
        <v>185275.13</v>
      </c>
      <c r="S69" s="32">
        <f t="shared" si="11"/>
        <v>10227.210000000006</v>
      </c>
      <c r="T69" s="32">
        <f t="shared" si="11"/>
        <v>22798.99000000002</v>
      </c>
      <c r="U69" s="32">
        <f t="shared" si="11"/>
        <v>184500.97999999998</v>
      </c>
      <c r="V69" s="32">
        <f t="shared" si="11"/>
        <v>0</v>
      </c>
      <c r="W69" s="32">
        <f t="shared" si="11"/>
        <v>17682.780000000002</v>
      </c>
      <c r="X69" s="32">
        <f t="shared" si="11"/>
        <v>16399.129999999997</v>
      </c>
      <c r="Y69" s="32">
        <f t="shared" si="11"/>
        <v>86674.26999999996</v>
      </c>
      <c r="Z69" s="32">
        <f t="shared" si="11"/>
        <v>-1667.3300000000017</v>
      </c>
      <c r="AA69" s="32">
        <f t="shared" si="11"/>
        <v>1268.6399999999976</v>
      </c>
      <c r="AB69" s="32">
        <f t="shared" si="11"/>
        <v>52472.020000000033</v>
      </c>
      <c r="AC69" s="32">
        <f t="shared" si="11"/>
        <v>253203.65999999997</v>
      </c>
      <c r="AD69" s="32">
        <f t="shared" si="11"/>
        <v>214.21999999999957</v>
      </c>
      <c r="AE69" s="32">
        <f t="shared" si="11"/>
        <v>3878.4599999999919</v>
      </c>
      <c r="AF69" s="32">
        <f t="shared" si="11"/>
        <v>0</v>
      </c>
      <c r="AG69" s="32">
        <f t="shared" si="11"/>
        <v>627653.8600000001</v>
      </c>
      <c r="AH69" s="32">
        <f t="shared" si="11"/>
        <v>0</v>
      </c>
      <c r="AI69" s="32">
        <f t="shared" si="11"/>
        <v>71647.699999999983</v>
      </c>
      <c r="AJ69" s="32">
        <f t="shared" si="11"/>
        <v>421454.04000000015</v>
      </c>
      <c r="AK69" s="32">
        <f t="shared" si="11"/>
        <v>61.429999999999836</v>
      </c>
      <c r="AL69" s="32">
        <f t="shared" si="11"/>
        <v>189.02999999999952</v>
      </c>
      <c r="AM69" s="32">
        <f t="shared" si="11"/>
        <v>0</v>
      </c>
      <c r="AN69" s="32">
        <f t="shared" si="11"/>
        <v>0</v>
      </c>
      <c r="AO69" s="32">
        <f t="shared" si="11"/>
        <v>0</v>
      </c>
      <c r="AP69" s="32">
        <f t="shared" si="11"/>
        <v>31462.490000000005</v>
      </c>
      <c r="AQ69" s="32">
        <f t="shared" si="11"/>
        <v>0</v>
      </c>
      <c r="AR69" s="32">
        <f t="shared" si="11"/>
        <v>0</v>
      </c>
      <c r="AS69" s="32">
        <f t="shared" si="11"/>
        <v>0</v>
      </c>
      <c r="AT69" s="32">
        <f t="shared" si="11"/>
        <v>0</v>
      </c>
      <c r="AU69" s="32">
        <f t="shared" si="11"/>
        <v>0</v>
      </c>
      <c r="AV69" s="32">
        <f t="shared" si="11"/>
        <v>441988.18000000005</v>
      </c>
      <c r="AW69" s="32">
        <f t="shared" si="11"/>
        <v>206970.21</v>
      </c>
      <c r="AX69" s="32">
        <f t="shared" si="11"/>
        <v>0</v>
      </c>
      <c r="AY69" s="32">
        <f t="shared" si="11"/>
        <v>9091.0399999999936</v>
      </c>
      <c r="AZ69" s="32">
        <f t="shared" si="11"/>
        <v>0</v>
      </c>
      <c r="BA69" s="32">
        <f t="shared" si="11"/>
        <v>0</v>
      </c>
      <c r="BB69" s="32">
        <f t="shared" si="11"/>
        <v>14146.069999999996</v>
      </c>
      <c r="BC69" s="32">
        <f t="shared" si="11"/>
        <v>0</v>
      </c>
      <c r="BD69" s="32">
        <f t="shared" si="11"/>
        <v>2524.3999999999996</v>
      </c>
      <c r="BE69" s="32">
        <f t="shared" si="11"/>
        <v>47192.289999999979</v>
      </c>
      <c r="BF69" s="32">
        <f t="shared" si="11"/>
        <v>243251.09</v>
      </c>
      <c r="BG69" s="32">
        <f t="shared" si="11"/>
        <v>0</v>
      </c>
      <c r="BH69" s="32">
        <f t="shared" si="11"/>
        <v>0</v>
      </c>
      <c r="BI69" s="32">
        <f t="shared" si="11"/>
        <v>0</v>
      </c>
      <c r="BJ69" s="32">
        <f t="shared" si="11"/>
        <v>0</v>
      </c>
      <c r="BK69" s="32">
        <f t="shared" si="11"/>
        <v>0</v>
      </c>
      <c r="BL69" s="32">
        <f t="shared" si="11"/>
        <v>1765.2800000000007</v>
      </c>
      <c r="BM69" s="32">
        <f t="shared" si="11"/>
        <v>0</v>
      </c>
      <c r="BN69" s="32">
        <f t="shared" si="11"/>
        <v>681784.82999999984</v>
      </c>
      <c r="BO69" s="32">
        <f t="shared" ref="BO69:CD69" si="12">SUM(BO70:BO83)</f>
        <v>0</v>
      </c>
      <c r="BP69" s="32">
        <f t="shared" si="12"/>
        <v>0</v>
      </c>
      <c r="BQ69" s="32">
        <f t="shared" si="12"/>
        <v>0</v>
      </c>
      <c r="BR69" s="32">
        <f t="shared" si="12"/>
        <v>0</v>
      </c>
      <c r="BS69" s="32">
        <f t="shared" si="12"/>
        <v>0</v>
      </c>
      <c r="BT69" s="32">
        <f t="shared" si="12"/>
        <v>0</v>
      </c>
      <c r="BU69" s="32">
        <f t="shared" si="12"/>
        <v>0</v>
      </c>
      <c r="BV69" s="32">
        <f t="shared" si="12"/>
        <v>0</v>
      </c>
      <c r="BW69" s="32">
        <f t="shared" si="12"/>
        <v>0</v>
      </c>
      <c r="BX69" s="32">
        <f t="shared" si="12"/>
        <v>63687.45</v>
      </c>
      <c r="BY69" s="32">
        <f t="shared" si="12"/>
        <v>104133.59999999999</v>
      </c>
      <c r="BZ69" s="32">
        <f t="shared" si="12"/>
        <v>50928.670000000006</v>
      </c>
      <c r="CA69" s="32">
        <f t="shared" si="12"/>
        <v>0</v>
      </c>
      <c r="CB69" s="32">
        <f t="shared" si="12"/>
        <v>0</v>
      </c>
      <c r="CC69" s="32">
        <f t="shared" si="12"/>
        <v>23140663.329999998</v>
      </c>
      <c r="CD69" s="32">
        <f t="shared" si="12"/>
        <v>28928690.019999996</v>
      </c>
      <c r="CE69" s="32">
        <f>SUM(CE70:CE84)</f>
        <v>83024693.609999985</v>
      </c>
    </row>
    <row r="70" spans="1:85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5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3">SUM(C71:CD71)</f>
        <v>0</v>
      </c>
    </row>
    <row r="72" spans="1:85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3"/>
        <v>0</v>
      </c>
    </row>
    <row r="73" spans="1:85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3"/>
        <v>0</v>
      </c>
    </row>
    <row r="74" spans="1:85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3"/>
        <v>0</v>
      </c>
    </row>
    <row r="75" spans="1:85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3"/>
        <v>0</v>
      </c>
    </row>
    <row r="76" spans="1:85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3"/>
        <v>0</v>
      </c>
    </row>
    <row r="77" spans="1:85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3"/>
        <v>0</v>
      </c>
    </row>
    <row r="78" spans="1:85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3"/>
        <v>0</v>
      </c>
    </row>
    <row r="79" spans="1:85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3"/>
        <v>0</v>
      </c>
    </row>
    <row r="80" spans="1:85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3"/>
        <v>0</v>
      </c>
    </row>
    <row r="81" spans="1:85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3"/>
        <v>0</v>
      </c>
    </row>
    <row r="82" spans="1:85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3"/>
        <v>0</v>
      </c>
    </row>
    <row r="83" spans="1:85" x14ac:dyDescent="0.35">
      <c r="A83" s="33" t="s">
        <v>268</v>
      </c>
      <c r="B83" s="20"/>
      <c r="C83" s="24">
        <v>1018782.4900000002</v>
      </c>
      <c r="D83" s="24">
        <v>308712.12000000005</v>
      </c>
      <c r="E83" s="24">
        <v>228544.04000000007</v>
      </c>
      <c r="F83" s="24">
        <v>5000</v>
      </c>
      <c r="G83" s="24">
        <v>0</v>
      </c>
      <c r="H83" s="24">
        <v>-3925.6000000000058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98970.450000000041</v>
      </c>
      <c r="P83" s="24">
        <v>683101.46999999951</v>
      </c>
      <c r="Q83" s="24">
        <v>0</v>
      </c>
      <c r="R83" s="24">
        <v>185275.13</v>
      </c>
      <c r="S83" s="24">
        <v>10227.210000000006</v>
      </c>
      <c r="T83" s="24">
        <v>22798.99000000002</v>
      </c>
      <c r="U83" s="24">
        <v>184500.97999999998</v>
      </c>
      <c r="V83" s="24">
        <v>0</v>
      </c>
      <c r="W83" s="24">
        <v>17682.780000000002</v>
      </c>
      <c r="X83" s="24">
        <v>16399.129999999997</v>
      </c>
      <c r="Y83" s="24">
        <v>86674.26999999996</v>
      </c>
      <c r="Z83" s="24">
        <v>-1667.3300000000017</v>
      </c>
      <c r="AA83" s="24">
        <v>1268.6399999999976</v>
      </c>
      <c r="AB83" s="24">
        <v>52472.020000000033</v>
      </c>
      <c r="AC83" s="24">
        <v>253203.65999999997</v>
      </c>
      <c r="AD83" s="24">
        <v>214.21999999999957</v>
      </c>
      <c r="AE83" s="24">
        <v>3878.4599999999919</v>
      </c>
      <c r="AF83" s="24">
        <v>0</v>
      </c>
      <c r="AG83" s="24">
        <v>627653.8600000001</v>
      </c>
      <c r="AH83" s="24">
        <v>0</v>
      </c>
      <c r="AI83" s="24">
        <v>71647.699999999983</v>
      </c>
      <c r="AJ83" s="24">
        <v>421454.04000000015</v>
      </c>
      <c r="AK83" s="24">
        <v>61.429999999999836</v>
      </c>
      <c r="AL83" s="24">
        <v>189.02999999999952</v>
      </c>
      <c r="AM83" s="24">
        <v>0</v>
      </c>
      <c r="AN83" s="24">
        <v>0</v>
      </c>
      <c r="AO83" s="24">
        <v>0</v>
      </c>
      <c r="AP83" s="24">
        <v>31462.490000000005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441988.18000000005</v>
      </c>
      <c r="AW83" s="24">
        <v>206970.21</v>
      </c>
      <c r="AX83" s="24">
        <v>0</v>
      </c>
      <c r="AY83" s="24">
        <v>9091.0399999999936</v>
      </c>
      <c r="AZ83" s="24">
        <v>0</v>
      </c>
      <c r="BA83" s="24">
        <v>0</v>
      </c>
      <c r="BB83" s="24">
        <v>14146.069999999996</v>
      </c>
      <c r="BC83" s="24">
        <v>0</v>
      </c>
      <c r="BD83" s="24">
        <v>2524.3999999999996</v>
      </c>
      <c r="BE83" s="24">
        <v>47192.289999999979</v>
      </c>
      <c r="BF83" s="24">
        <v>243251.09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1765.2800000000007</v>
      </c>
      <c r="BM83" s="24">
        <v>0</v>
      </c>
      <c r="BN83" s="24">
        <v>681784.82999999984</v>
      </c>
      <c r="BO83" s="24">
        <v>0</v>
      </c>
      <c r="BP83" s="24">
        <v>0</v>
      </c>
      <c r="BQ83" s="24">
        <v>0</v>
      </c>
      <c r="BR83" s="24"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63687.45</v>
      </c>
      <c r="BY83" s="24">
        <v>104133.59999999999</v>
      </c>
      <c r="BZ83" s="24">
        <v>50928.670000000006</v>
      </c>
      <c r="CA83" s="24">
        <v>0</v>
      </c>
      <c r="CB83" s="24">
        <v>0</v>
      </c>
      <c r="CC83" s="24">
        <v>23140663.329999998</v>
      </c>
      <c r="CD83" s="35">
        <v>28928690.019999996</v>
      </c>
      <c r="CE83" s="32">
        <f t="shared" si="13"/>
        <v>58261398.139999993</v>
      </c>
    </row>
    <row r="84" spans="1:85" x14ac:dyDescent="0.35">
      <c r="A84" s="39" t="s">
        <v>269</v>
      </c>
      <c r="B84" s="20"/>
      <c r="C84" s="24">
        <v>6459.69</v>
      </c>
      <c r="D84" s="24">
        <v>0</v>
      </c>
      <c r="E84" s="24">
        <v>0</v>
      </c>
      <c r="F84" s="24">
        <v>0</v>
      </c>
      <c r="G84" s="24">
        <v>0</v>
      </c>
      <c r="H84" s="24">
        <v>9439.59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27063.61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17453579.359999996</v>
      </c>
      <c r="V84" s="24">
        <v>0</v>
      </c>
      <c r="W84" s="24">
        <v>0</v>
      </c>
      <c r="X84" s="24">
        <v>0</v>
      </c>
      <c r="Y84" s="24">
        <v>2256.94</v>
      </c>
      <c r="Z84" s="24">
        <v>0</v>
      </c>
      <c r="AA84" s="24">
        <v>0</v>
      </c>
      <c r="AB84" s="24">
        <v>71276.7</v>
      </c>
      <c r="AC84" s="24">
        <v>131323.61000000002</v>
      </c>
      <c r="AD84" s="24">
        <v>0</v>
      </c>
      <c r="AE84" s="24">
        <v>276.93</v>
      </c>
      <c r="AF84" s="24">
        <v>0</v>
      </c>
      <c r="AG84" s="24">
        <v>8469</v>
      </c>
      <c r="AH84" s="24">
        <v>0</v>
      </c>
      <c r="AI84" s="24">
        <v>0</v>
      </c>
      <c r="AJ84" s="24">
        <v>524792.22</v>
      </c>
      <c r="AK84" s="24">
        <v>5790.75</v>
      </c>
      <c r="AL84" s="24">
        <v>0</v>
      </c>
      <c r="AM84" s="24">
        <v>0</v>
      </c>
      <c r="AN84" s="24">
        <v>0</v>
      </c>
      <c r="AO84" s="24">
        <v>0</v>
      </c>
      <c r="AP84" s="24">
        <v>67666.679999999993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174276.53999999998</v>
      </c>
      <c r="AW84" s="24">
        <v>1754622.8500000003</v>
      </c>
      <c r="AX84" s="24">
        <v>0</v>
      </c>
      <c r="AY84" s="24">
        <v>351547.36999999994</v>
      </c>
      <c r="AZ84" s="24">
        <v>0</v>
      </c>
      <c r="BA84" s="24">
        <v>0</v>
      </c>
      <c r="BB84" s="24">
        <v>10201.18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9253.91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107888.36</v>
      </c>
      <c r="BZ84" s="24">
        <v>0</v>
      </c>
      <c r="CA84" s="24">
        <v>0</v>
      </c>
      <c r="CB84" s="24">
        <v>0</v>
      </c>
      <c r="CC84" s="24">
        <v>4047110.1800000006</v>
      </c>
      <c r="CD84" s="24">
        <v>0</v>
      </c>
      <c r="CE84" s="32">
        <f t="shared" si="13"/>
        <v>24763295.469999995</v>
      </c>
    </row>
    <row r="85" spans="1:85" x14ac:dyDescent="0.35">
      <c r="A85" s="39" t="s">
        <v>270</v>
      </c>
      <c r="B85" s="32"/>
      <c r="C85" s="32">
        <f>SUM(C61:C69)-C84</f>
        <v>81221634.950000003</v>
      </c>
      <c r="D85" s="32">
        <f t="shared" ref="D85:BO85" si="14">SUM(D61:D69)-D84</f>
        <v>29410089.060000002</v>
      </c>
      <c r="E85" s="32">
        <f t="shared" si="14"/>
        <v>42678869.960000001</v>
      </c>
      <c r="F85" s="32">
        <f t="shared" si="14"/>
        <v>6245840.2699999996</v>
      </c>
      <c r="G85" s="32">
        <f t="shared" si="14"/>
        <v>0</v>
      </c>
      <c r="H85" s="32">
        <f t="shared" si="14"/>
        <v>8857909.3000000007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4"/>
        <v>0</v>
      </c>
      <c r="O85" s="32">
        <f t="shared" si="14"/>
        <v>19957112.779999997</v>
      </c>
      <c r="P85" s="32">
        <f t="shared" si="14"/>
        <v>119488459.50000001</v>
      </c>
      <c r="Q85" s="32">
        <f t="shared" si="14"/>
        <v>0</v>
      </c>
      <c r="R85" s="32">
        <f t="shared" si="14"/>
        <v>22394454.59</v>
      </c>
      <c r="S85" s="32">
        <f t="shared" si="14"/>
        <v>-583015.46</v>
      </c>
      <c r="T85" s="32">
        <f t="shared" si="14"/>
        <v>19901580.749999996</v>
      </c>
      <c r="U85" s="32">
        <f t="shared" si="14"/>
        <v>106175921.75</v>
      </c>
      <c r="V85" s="32">
        <f t="shared" si="14"/>
        <v>0</v>
      </c>
      <c r="W85" s="32">
        <f t="shared" si="14"/>
        <v>5883152.2999999998</v>
      </c>
      <c r="X85" s="32">
        <f t="shared" si="14"/>
        <v>5472927.1799999997</v>
      </c>
      <c r="Y85" s="32">
        <f t="shared" si="14"/>
        <v>34320557.979999997</v>
      </c>
      <c r="Z85" s="32">
        <f t="shared" si="14"/>
        <v>14146604.99</v>
      </c>
      <c r="AA85" s="32">
        <f t="shared" si="14"/>
        <v>1574488.0999999999</v>
      </c>
      <c r="AB85" s="32">
        <f t="shared" si="14"/>
        <v>95182263.949999988</v>
      </c>
      <c r="AC85" s="32">
        <f t="shared" si="14"/>
        <v>10727623.799999999</v>
      </c>
      <c r="AD85" s="32">
        <f t="shared" si="14"/>
        <v>2628933.1500000004</v>
      </c>
      <c r="AE85" s="32">
        <f t="shared" si="14"/>
        <v>3857823.2199999997</v>
      </c>
      <c r="AF85" s="32">
        <f t="shared" si="14"/>
        <v>0</v>
      </c>
      <c r="AG85" s="32">
        <f t="shared" si="14"/>
        <v>63174000.320000008</v>
      </c>
      <c r="AH85" s="32">
        <f t="shared" si="14"/>
        <v>0</v>
      </c>
      <c r="AI85" s="32">
        <f t="shared" si="14"/>
        <v>6057334.75</v>
      </c>
      <c r="AJ85" s="32">
        <f t="shared" si="14"/>
        <v>80579608.25</v>
      </c>
      <c r="AK85" s="32">
        <f t="shared" si="14"/>
        <v>157819.81999999998</v>
      </c>
      <c r="AL85" s="32">
        <f t="shared" si="14"/>
        <v>1037060.2600000001</v>
      </c>
      <c r="AM85" s="32">
        <f t="shared" si="14"/>
        <v>0</v>
      </c>
      <c r="AN85" s="32">
        <f t="shared" si="14"/>
        <v>0</v>
      </c>
      <c r="AO85" s="32">
        <f t="shared" si="14"/>
        <v>0</v>
      </c>
      <c r="AP85" s="32">
        <f t="shared" si="14"/>
        <v>12346133.560000001</v>
      </c>
      <c r="AQ85" s="32">
        <f t="shared" si="14"/>
        <v>0</v>
      </c>
      <c r="AR85" s="32">
        <f t="shared" si="14"/>
        <v>0</v>
      </c>
      <c r="AS85" s="32">
        <f t="shared" si="14"/>
        <v>0</v>
      </c>
      <c r="AT85" s="32">
        <f t="shared" si="14"/>
        <v>0</v>
      </c>
      <c r="AU85" s="32">
        <f t="shared" si="14"/>
        <v>0</v>
      </c>
      <c r="AV85" s="32">
        <f t="shared" si="14"/>
        <v>52408690.539999999</v>
      </c>
      <c r="AW85" s="32">
        <f t="shared" si="14"/>
        <v>8890115.6900000013</v>
      </c>
      <c r="AX85" s="32">
        <f t="shared" si="14"/>
        <v>0</v>
      </c>
      <c r="AY85" s="32">
        <f t="shared" si="14"/>
        <v>1331600.8300000003</v>
      </c>
      <c r="AZ85" s="32">
        <f t="shared" si="14"/>
        <v>0</v>
      </c>
      <c r="BA85" s="32">
        <f t="shared" si="14"/>
        <v>0</v>
      </c>
      <c r="BB85" s="32">
        <f t="shared" si="14"/>
        <v>3686208.1299999994</v>
      </c>
      <c r="BC85" s="32">
        <f t="shared" si="14"/>
        <v>2281931.3500000006</v>
      </c>
      <c r="BD85" s="32">
        <f t="shared" si="14"/>
        <v>773784.96</v>
      </c>
      <c r="BE85" s="32">
        <f t="shared" si="14"/>
        <v>2578962.79</v>
      </c>
      <c r="BF85" s="32">
        <f t="shared" si="14"/>
        <v>2048909.9200000002</v>
      </c>
      <c r="BG85" s="32">
        <f t="shared" si="14"/>
        <v>0</v>
      </c>
      <c r="BH85" s="32">
        <f t="shared" si="14"/>
        <v>0</v>
      </c>
      <c r="BI85" s="32">
        <f t="shared" si="14"/>
        <v>0</v>
      </c>
      <c r="BJ85" s="32">
        <f t="shared" si="14"/>
        <v>0</v>
      </c>
      <c r="BK85" s="32">
        <f t="shared" si="14"/>
        <v>0</v>
      </c>
      <c r="BL85" s="32">
        <f t="shared" si="14"/>
        <v>2562537.9</v>
      </c>
      <c r="BM85" s="32">
        <f t="shared" si="14"/>
        <v>0</v>
      </c>
      <c r="BN85" s="32">
        <f t="shared" si="14"/>
        <v>17345970.449999999</v>
      </c>
      <c r="BO85" s="32">
        <f t="shared" si="14"/>
        <v>0</v>
      </c>
      <c r="BP85" s="32">
        <f t="shared" ref="BP85:CD85" si="15">SUM(BP61:BP69)-BP84</f>
        <v>0</v>
      </c>
      <c r="BQ85" s="32">
        <f t="shared" si="15"/>
        <v>0</v>
      </c>
      <c r="BR85" s="32">
        <f t="shared" si="15"/>
        <v>0</v>
      </c>
      <c r="BS85" s="32">
        <f t="shared" si="15"/>
        <v>0</v>
      </c>
      <c r="BT85" s="32">
        <f t="shared" si="15"/>
        <v>0</v>
      </c>
      <c r="BU85" s="32">
        <f t="shared" si="15"/>
        <v>0</v>
      </c>
      <c r="BV85" s="32">
        <f t="shared" si="15"/>
        <v>0</v>
      </c>
      <c r="BW85" s="32">
        <f t="shared" si="15"/>
        <v>0</v>
      </c>
      <c r="BX85" s="32">
        <f t="shared" si="15"/>
        <v>5842024.9500000002</v>
      </c>
      <c r="BY85" s="32">
        <f t="shared" si="15"/>
        <v>4344863.0399999991</v>
      </c>
      <c r="BZ85" s="32">
        <f t="shared" si="15"/>
        <v>3733842.9899999993</v>
      </c>
      <c r="CA85" s="32">
        <f t="shared" si="15"/>
        <v>0</v>
      </c>
      <c r="CB85" s="32">
        <f t="shared" si="15"/>
        <v>0</v>
      </c>
      <c r="CC85" s="32">
        <f t="shared" si="15"/>
        <v>269862265.75999999</v>
      </c>
      <c r="CD85" s="32">
        <f t="shared" si="15"/>
        <v>28928690.019999996</v>
      </c>
      <c r="CE85" s="32">
        <f t="shared" si="13"/>
        <v>1199515588.4000001</v>
      </c>
    </row>
    <row r="86" spans="1:85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  <c r="CG86" s="12">
        <f t="shared" si="8"/>
        <v>0</v>
      </c>
    </row>
    <row r="87" spans="1:85" x14ac:dyDescent="0.35">
      <c r="A87" s="26" t="s">
        <v>272</v>
      </c>
      <c r="B87" s="20"/>
      <c r="C87" s="24">
        <v>315138808.02999997</v>
      </c>
      <c r="D87" s="24">
        <v>91998134.049999997</v>
      </c>
      <c r="E87" s="24">
        <v>107155903.13</v>
      </c>
      <c r="F87" s="24">
        <v>18536673.32</v>
      </c>
      <c r="G87" s="24">
        <v>0</v>
      </c>
      <c r="H87" s="24">
        <v>43871548.5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342">
        <f>40602123.7+240307.12</f>
        <v>40842430.82</v>
      </c>
      <c r="P87" s="24">
        <v>460555144.51999998</v>
      </c>
      <c r="Q87" s="24">
        <v>0</v>
      </c>
      <c r="R87" s="24">
        <v>62083345.539999999</v>
      </c>
      <c r="S87" s="24">
        <v>0</v>
      </c>
      <c r="T87" s="24">
        <v>13656366.59</v>
      </c>
      <c r="U87" s="24">
        <v>70605319.950000003</v>
      </c>
      <c r="V87" s="24">
        <v>5344527</v>
      </c>
      <c r="W87" s="24">
        <v>21329852.530000001</v>
      </c>
      <c r="X87" s="24">
        <v>86473234.859999999</v>
      </c>
      <c r="Y87" s="24">
        <v>110956468.40000001</v>
      </c>
      <c r="Z87" s="24">
        <v>40589426.200000003</v>
      </c>
      <c r="AA87" s="24">
        <v>3484403.9899999993</v>
      </c>
      <c r="AB87" s="24">
        <v>138305438.89000002</v>
      </c>
      <c r="AC87" s="24">
        <v>108072312.00000001</v>
      </c>
      <c r="AD87" s="24">
        <v>5331252</v>
      </c>
      <c r="AE87" s="24">
        <v>10348748</v>
      </c>
      <c r="AF87" s="24">
        <v>0</v>
      </c>
      <c r="AG87" s="24">
        <v>123797815.88</v>
      </c>
      <c r="AH87" s="24">
        <v>0</v>
      </c>
      <c r="AI87" s="24">
        <v>11520850</v>
      </c>
      <c r="AJ87" s="24">
        <v>7311656</v>
      </c>
      <c r="AK87" s="24">
        <v>28747</v>
      </c>
      <c r="AL87" s="24">
        <v>2775356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50730503.449999996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4">
        <v>8989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4">
        <v>1365291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6">SUM(C87:CD87)</f>
        <v>1952218546.6499999</v>
      </c>
      <c r="CF87" s="12">
        <f>E157</f>
        <v>1952218546.6499996</v>
      </c>
      <c r="CG87" s="12">
        <f>CF87-CE87</f>
        <v>0</v>
      </c>
    </row>
    <row r="88" spans="1:85" x14ac:dyDescent="0.35">
      <c r="A88" s="26" t="s">
        <v>273</v>
      </c>
      <c r="B88" s="20"/>
      <c r="C88" s="24">
        <v>1294021</v>
      </c>
      <c r="D88" s="24">
        <v>2931116</v>
      </c>
      <c r="E88" s="24">
        <v>3189697.39</v>
      </c>
      <c r="F88" s="24">
        <v>46747</v>
      </c>
      <c r="G88" s="24">
        <v>0</v>
      </c>
      <c r="H88" s="24">
        <v>1655542.02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342">
        <f>10535165.5-553801.4</f>
        <v>9981364.0999999996</v>
      </c>
      <c r="P88" s="24">
        <v>372768125.70000005</v>
      </c>
      <c r="Q88" s="24">
        <v>0</v>
      </c>
      <c r="R88" s="24">
        <v>67364917</v>
      </c>
      <c r="S88" s="24">
        <v>0</v>
      </c>
      <c r="T88" s="24">
        <v>131890532.48999998</v>
      </c>
      <c r="U88" s="24">
        <v>201797516.50999999</v>
      </c>
      <c r="V88" s="24">
        <v>8566267</v>
      </c>
      <c r="W88" s="24">
        <v>85237314.170000002</v>
      </c>
      <c r="X88" s="24">
        <v>143606483.43000001</v>
      </c>
      <c r="Y88" s="24">
        <v>181587355.34999999</v>
      </c>
      <c r="Z88" s="24">
        <v>78805177.180000007</v>
      </c>
      <c r="AA88" s="24">
        <v>6464022.8700000001</v>
      </c>
      <c r="AB88" s="24">
        <v>291501891.93000001</v>
      </c>
      <c r="AC88" s="24">
        <v>1249625</v>
      </c>
      <c r="AD88" s="24">
        <v>99392</v>
      </c>
      <c r="AE88" s="24">
        <v>1058300.5</v>
      </c>
      <c r="AF88" s="24">
        <v>0</v>
      </c>
      <c r="AG88" s="24">
        <v>375353668.22000003</v>
      </c>
      <c r="AH88" s="24">
        <v>0</v>
      </c>
      <c r="AI88" s="24">
        <v>556895</v>
      </c>
      <c r="AJ88" s="24">
        <v>143024181.40000001</v>
      </c>
      <c r="AK88" s="24">
        <v>462720</v>
      </c>
      <c r="AL88" s="24">
        <v>738801.99999999988</v>
      </c>
      <c r="AM88" s="24">
        <v>0</v>
      </c>
      <c r="AN88" s="24">
        <v>0</v>
      </c>
      <c r="AO88" s="24">
        <v>0</v>
      </c>
      <c r="AP88" s="24">
        <v>25823819.829999998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119803212.00999999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4">
        <v>44491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6"/>
        <v>2256903198.0999999</v>
      </c>
      <c r="CF88" s="12">
        <f>E158</f>
        <v>2256903197.8200006</v>
      </c>
      <c r="CG88" s="12">
        <f>CF88-CE88</f>
        <v>-0.2799992561340332</v>
      </c>
    </row>
    <row r="89" spans="1:85" x14ac:dyDescent="0.35">
      <c r="A89" s="26" t="s">
        <v>274</v>
      </c>
      <c r="B89" s="20"/>
      <c r="C89" s="32">
        <f>C87+C88</f>
        <v>316432829.02999997</v>
      </c>
      <c r="D89" s="32">
        <f t="shared" ref="D89:AV89" si="17">D87+D88</f>
        <v>94929250.049999997</v>
      </c>
      <c r="E89" s="32">
        <f t="shared" si="17"/>
        <v>110345600.52</v>
      </c>
      <c r="F89" s="32">
        <f t="shared" si="17"/>
        <v>18583420.32</v>
      </c>
      <c r="G89" s="32">
        <f t="shared" si="17"/>
        <v>0</v>
      </c>
      <c r="H89" s="32">
        <f t="shared" si="17"/>
        <v>45527090.520000003</v>
      </c>
      <c r="I89" s="32">
        <f t="shared" si="17"/>
        <v>0</v>
      </c>
      <c r="J89" s="32">
        <f t="shared" si="17"/>
        <v>0</v>
      </c>
      <c r="K89" s="32">
        <f t="shared" si="17"/>
        <v>0</v>
      </c>
      <c r="L89" s="32">
        <f t="shared" si="17"/>
        <v>0</v>
      </c>
      <c r="M89" s="32">
        <f t="shared" si="17"/>
        <v>0</v>
      </c>
      <c r="N89" s="32">
        <f t="shared" si="17"/>
        <v>0</v>
      </c>
      <c r="O89" s="32">
        <f t="shared" si="17"/>
        <v>50823794.920000002</v>
      </c>
      <c r="P89" s="32">
        <f t="shared" si="17"/>
        <v>833323270.22000003</v>
      </c>
      <c r="Q89" s="32">
        <f t="shared" si="17"/>
        <v>0</v>
      </c>
      <c r="R89" s="32">
        <f t="shared" si="17"/>
        <v>129448262.53999999</v>
      </c>
      <c r="S89" s="32">
        <f t="shared" si="17"/>
        <v>0</v>
      </c>
      <c r="T89" s="32">
        <f t="shared" si="17"/>
        <v>145546899.07999998</v>
      </c>
      <c r="U89" s="32">
        <f t="shared" si="17"/>
        <v>272402836.45999998</v>
      </c>
      <c r="V89" s="32">
        <f t="shared" si="17"/>
        <v>13910794</v>
      </c>
      <c r="W89" s="32">
        <f t="shared" si="17"/>
        <v>106567166.7</v>
      </c>
      <c r="X89" s="32">
        <f t="shared" si="17"/>
        <v>230079718.29000002</v>
      </c>
      <c r="Y89" s="32">
        <f t="shared" si="17"/>
        <v>292543823.75</v>
      </c>
      <c r="Z89" s="32">
        <f t="shared" si="17"/>
        <v>119394603.38000001</v>
      </c>
      <c r="AA89" s="32">
        <f t="shared" si="17"/>
        <v>9948426.8599999994</v>
      </c>
      <c r="AB89" s="32">
        <f t="shared" si="17"/>
        <v>429807330.82000005</v>
      </c>
      <c r="AC89" s="32">
        <f t="shared" si="17"/>
        <v>109321937.00000001</v>
      </c>
      <c r="AD89" s="32">
        <f t="shared" si="17"/>
        <v>5430644</v>
      </c>
      <c r="AE89" s="32">
        <f t="shared" si="17"/>
        <v>11407048.5</v>
      </c>
      <c r="AF89" s="32">
        <f t="shared" si="17"/>
        <v>0</v>
      </c>
      <c r="AG89" s="32">
        <f t="shared" si="17"/>
        <v>499151484.10000002</v>
      </c>
      <c r="AH89" s="32">
        <f t="shared" si="17"/>
        <v>0</v>
      </c>
      <c r="AI89" s="32">
        <f t="shared" si="17"/>
        <v>12077745</v>
      </c>
      <c r="AJ89" s="32">
        <f t="shared" si="17"/>
        <v>150335837.40000001</v>
      </c>
      <c r="AK89" s="32">
        <f t="shared" si="17"/>
        <v>491467</v>
      </c>
      <c r="AL89" s="32">
        <f t="shared" si="17"/>
        <v>3514158</v>
      </c>
      <c r="AM89" s="32">
        <f t="shared" si="17"/>
        <v>0</v>
      </c>
      <c r="AN89" s="32">
        <f t="shared" si="17"/>
        <v>0</v>
      </c>
      <c r="AO89" s="32">
        <f t="shared" si="17"/>
        <v>0</v>
      </c>
      <c r="AP89" s="32">
        <f t="shared" si="17"/>
        <v>25823819.829999998</v>
      </c>
      <c r="AQ89" s="32">
        <f t="shared" si="17"/>
        <v>0</v>
      </c>
      <c r="AR89" s="32">
        <f t="shared" si="17"/>
        <v>0</v>
      </c>
      <c r="AS89" s="32">
        <f t="shared" si="17"/>
        <v>0</v>
      </c>
      <c r="AT89" s="32">
        <f t="shared" si="17"/>
        <v>0</v>
      </c>
      <c r="AU89" s="32">
        <f t="shared" si="17"/>
        <v>0</v>
      </c>
      <c r="AV89" s="32">
        <f t="shared" si="17"/>
        <v>170533715.45999998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32">
        <f t="shared" ref="BC89" si="18">BC87+BC88</f>
        <v>8989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32">
        <f t="shared" ref="BZ89" si="19">BZ87+BZ88</f>
        <v>1409782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6"/>
        <v>4209121744.7500005</v>
      </c>
    </row>
    <row r="90" spans="1:85" x14ac:dyDescent="0.35">
      <c r="A90" s="39" t="s">
        <v>275</v>
      </c>
      <c r="B90" s="32"/>
      <c r="C90" s="24">
        <v>85968.229999999923</v>
      </c>
      <c r="D90" s="24">
        <v>31054.614999999983</v>
      </c>
      <c r="E90" s="24">
        <v>41580.60000000002</v>
      </c>
      <c r="F90" s="24">
        <v>0</v>
      </c>
      <c r="G90" s="24">
        <v>0</v>
      </c>
      <c r="H90" s="24">
        <v>15030.029999999999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45474.760000000017</v>
      </c>
      <c r="P90" s="24">
        <v>56536.441999999995</v>
      </c>
      <c r="Q90" s="24">
        <v>0</v>
      </c>
      <c r="R90" s="24">
        <v>13487.496999999996</v>
      </c>
      <c r="S90" s="24">
        <v>10580.562</v>
      </c>
      <c r="T90" s="24">
        <v>863.81000000000006</v>
      </c>
      <c r="U90" s="24">
        <v>21447.360000000001</v>
      </c>
      <c r="V90" s="24">
        <v>0</v>
      </c>
      <c r="W90" s="24">
        <v>1783.4099999999999</v>
      </c>
      <c r="X90" s="24">
        <v>2797.855</v>
      </c>
      <c r="Y90" s="24">
        <v>25012.902000000002</v>
      </c>
      <c r="Z90" s="24">
        <v>20828.250000000011</v>
      </c>
      <c r="AA90" s="24">
        <v>1708.6399999999999</v>
      </c>
      <c r="AB90" s="24">
        <v>13425.914999999997</v>
      </c>
      <c r="AC90" s="24">
        <v>2306.83</v>
      </c>
      <c r="AD90" s="24">
        <v>326.70999999999998</v>
      </c>
      <c r="AE90" s="24">
        <v>1243.94</v>
      </c>
      <c r="AF90" s="24">
        <v>0</v>
      </c>
      <c r="AG90" s="24">
        <v>50968.28</v>
      </c>
      <c r="AH90" s="24">
        <v>0</v>
      </c>
      <c r="AI90" s="24">
        <v>7806.2720000000008</v>
      </c>
      <c r="AJ90" s="24">
        <v>14237.170000000004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32832.744999999995</v>
      </c>
      <c r="AW90" s="24">
        <v>854.28</v>
      </c>
      <c r="AX90" s="24">
        <v>0</v>
      </c>
      <c r="AY90" s="24">
        <v>7753.91</v>
      </c>
      <c r="AZ90" s="24">
        <v>0</v>
      </c>
      <c r="BA90" s="24">
        <v>0</v>
      </c>
      <c r="BB90" s="24">
        <v>772.52</v>
      </c>
      <c r="BC90" s="24">
        <v>0</v>
      </c>
      <c r="BD90" s="24">
        <v>2167</v>
      </c>
      <c r="BE90" s="24">
        <v>22807.849999999995</v>
      </c>
      <c r="BF90" s="24">
        <v>2006.92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1432.76</v>
      </c>
      <c r="BM90" s="24">
        <v>0</v>
      </c>
      <c r="BN90" s="24">
        <v>10024.09</v>
      </c>
      <c r="BO90" s="24">
        <v>0</v>
      </c>
      <c r="BP90" s="24">
        <v>0</v>
      </c>
      <c r="BQ90" s="24">
        <v>0</v>
      </c>
      <c r="BR90" s="24">
        <v>0</v>
      </c>
      <c r="BS90" s="24">
        <v>0</v>
      </c>
      <c r="BT90" s="24">
        <v>0</v>
      </c>
      <c r="BU90" s="24">
        <v>0</v>
      </c>
      <c r="BV90" s="24">
        <v>0</v>
      </c>
      <c r="BW90" s="24">
        <v>0</v>
      </c>
      <c r="BX90" s="24">
        <v>2529.8799999999997</v>
      </c>
      <c r="BY90" s="24">
        <v>497.74</v>
      </c>
      <c r="BZ90" s="24">
        <v>380.67</v>
      </c>
      <c r="CA90" s="24">
        <v>0</v>
      </c>
      <c r="CB90" s="24">
        <v>0</v>
      </c>
      <c r="CC90" s="24">
        <v>3573.97</v>
      </c>
      <c r="CD90" s="264" t="s">
        <v>233</v>
      </c>
      <c r="CE90" s="32">
        <f t="shared" si="16"/>
        <v>552104.41499999992</v>
      </c>
      <c r="CF90" s="32">
        <f>BE59-CE90</f>
        <v>0</v>
      </c>
    </row>
    <row r="91" spans="1:85" x14ac:dyDescent="0.35">
      <c r="A91" s="26" t="s">
        <v>276</v>
      </c>
      <c r="B91" s="20"/>
      <c r="C91" s="24">
        <v>68998</v>
      </c>
      <c r="D91" s="24">
        <v>29568</v>
      </c>
      <c r="E91" s="24">
        <v>173526</v>
      </c>
      <c r="F91" s="24">
        <v>0</v>
      </c>
      <c r="G91" s="24">
        <v>0</v>
      </c>
      <c r="H91" s="24">
        <v>43050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20487</v>
      </c>
      <c r="P91" s="24">
        <v>23745</v>
      </c>
      <c r="Q91" s="24">
        <v>0</v>
      </c>
      <c r="R91" s="24">
        <v>1825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119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17592</v>
      </c>
      <c r="AH91" s="24">
        <v>0</v>
      </c>
      <c r="AI91" s="24">
        <v>10948</v>
      </c>
      <c r="AJ91" s="24">
        <v>10</v>
      </c>
      <c r="AK91" s="24">
        <v>0</v>
      </c>
      <c r="AL91" s="24">
        <v>113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20174</v>
      </c>
      <c r="AW91" s="24">
        <v>0</v>
      </c>
      <c r="AX91" s="316" t="s">
        <v>233</v>
      </c>
      <c r="AY91" s="316" t="s">
        <v>233</v>
      </c>
      <c r="AZ91" s="24">
        <v>0</v>
      </c>
      <c r="BA91" s="24">
        <v>0</v>
      </c>
      <c r="BB91" s="24">
        <v>0</v>
      </c>
      <c r="BC91" s="24">
        <v>0</v>
      </c>
      <c r="BD91" s="29" t="s">
        <v>233</v>
      </c>
      <c r="BE91" s="29" t="s">
        <v>233</v>
      </c>
      <c r="BF91" s="24">
        <v>0</v>
      </c>
      <c r="BG91" s="29" t="s">
        <v>233</v>
      </c>
      <c r="BH91" s="24">
        <v>0</v>
      </c>
      <c r="BI91" s="24">
        <v>0</v>
      </c>
      <c r="BJ91" s="29" t="s">
        <v>233</v>
      </c>
      <c r="BK91" s="24">
        <v>0</v>
      </c>
      <c r="BL91" s="24">
        <v>0</v>
      </c>
      <c r="BM91" s="24">
        <v>0</v>
      </c>
      <c r="BN91" s="29" t="s">
        <v>233</v>
      </c>
      <c r="BO91" s="29" t="s">
        <v>233</v>
      </c>
      <c r="BP91" s="29" t="s">
        <v>233</v>
      </c>
      <c r="BQ91" s="29" t="s">
        <v>233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233</v>
      </c>
      <c r="CD91" s="29" t="s">
        <v>233</v>
      </c>
      <c r="CE91" s="32">
        <f t="shared" si="16"/>
        <v>410155</v>
      </c>
      <c r="CF91" s="32">
        <f>AY59-CE91</f>
        <v>0</v>
      </c>
    </row>
    <row r="92" spans="1:85" x14ac:dyDescent="0.35">
      <c r="A92" s="26" t="s">
        <v>277</v>
      </c>
      <c r="B92" s="20"/>
      <c r="C92" s="24">
        <v>26423.517157313712</v>
      </c>
      <c r="D92" s="24">
        <v>1779.3797838086477</v>
      </c>
      <c r="E92" s="24">
        <v>23268.253311867527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19695.862132014721</v>
      </c>
      <c r="P92" s="24">
        <v>46964.539247930086</v>
      </c>
      <c r="Q92" s="24">
        <v>0</v>
      </c>
      <c r="R92" s="24">
        <v>0</v>
      </c>
      <c r="S92" s="24">
        <v>2204.6860855565778</v>
      </c>
      <c r="T92" s="24">
        <v>0</v>
      </c>
      <c r="U92" s="24">
        <v>847.88628104875806</v>
      </c>
      <c r="V92" s="24">
        <v>0</v>
      </c>
      <c r="W92" s="24">
        <v>4998.2578196872137</v>
      </c>
      <c r="X92" s="24">
        <v>0</v>
      </c>
      <c r="Y92" s="24">
        <v>7425.5935717571301</v>
      </c>
      <c r="Z92" s="24">
        <v>0</v>
      </c>
      <c r="AA92" s="24">
        <v>0</v>
      </c>
      <c r="AB92" s="24">
        <v>1508.5650873965042</v>
      </c>
      <c r="AC92" s="24">
        <v>0</v>
      </c>
      <c r="AD92" s="24">
        <v>0</v>
      </c>
      <c r="AE92" s="24">
        <v>0</v>
      </c>
      <c r="AF92" s="24">
        <v>0</v>
      </c>
      <c r="AG92" s="24">
        <v>19210.576736430547</v>
      </c>
      <c r="AH92" s="24">
        <v>0</v>
      </c>
      <c r="AI92" s="24">
        <v>0</v>
      </c>
      <c r="AJ92" s="24">
        <v>11065.234038638455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23868.953024379029</v>
      </c>
      <c r="AW92" s="24">
        <v>0</v>
      </c>
      <c r="AX92" s="316" t="s">
        <v>233</v>
      </c>
      <c r="AY92" s="316" t="s">
        <v>233</v>
      </c>
      <c r="AZ92" s="29" t="s">
        <v>233</v>
      </c>
      <c r="BA92" s="24">
        <v>0</v>
      </c>
      <c r="BB92" s="24">
        <v>0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63625.095722171114</v>
      </c>
      <c r="BJ92" s="29" t="s">
        <v>233</v>
      </c>
      <c r="BK92" s="24">
        <v>0</v>
      </c>
      <c r="BL92" s="24">
        <v>0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0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0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16"/>
        <v>252886.40000000002</v>
      </c>
      <c r="CF92" s="20"/>
    </row>
    <row r="93" spans="1:85" x14ac:dyDescent="0.35">
      <c r="A93" s="26" t="s">
        <v>278</v>
      </c>
      <c r="B93" s="20"/>
      <c r="C93" s="24">
        <v>455930.24</v>
      </c>
      <c r="D93" s="24">
        <v>251980.63</v>
      </c>
      <c r="E93" s="24">
        <v>228494.89</v>
      </c>
      <c r="F93" s="24">
        <v>75756.259999999995</v>
      </c>
      <c r="G93" s="24">
        <v>0</v>
      </c>
      <c r="H93" s="24">
        <v>30168.27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178325.38</v>
      </c>
      <c r="P93" s="24">
        <v>357548.79999999999</v>
      </c>
      <c r="Q93" s="24">
        <v>0</v>
      </c>
      <c r="R93" s="24">
        <v>90626.880000000005</v>
      </c>
      <c r="S93" s="24">
        <v>640524.85</v>
      </c>
      <c r="T93" s="24">
        <v>8837.4</v>
      </c>
      <c r="U93" s="24">
        <v>3346.8</v>
      </c>
      <c r="V93" s="24">
        <v>0</v>
      </c>
      <c r="W93" s="24">
        <v>3357.8</v>
      </c>
      <c r="X93" s="24">
        <v>177359.74</v>
      </c>
      <c r="Y93" s="24">
        <v>195593.82</v>
      </c>
      <c r="Z93" s="24">
        <v>51787.070000000007</v>
      </c>
      <c r="AA93" s="24">
        <v>0</v>
      </c>
      <c r="AB93" s="24">
        <v>15809.85</v>
      </c>
      <c r="AC93" s="24">
        <v>0</v>
      </c>
      <c r="AD93" s="24">
        <v>0</v>
      </c>
      <c r="AE93" s="24">
        <v>6</v>
      </c>
      <c r="AF93" s="24">
        <v>0</v>
      </c>
      <c r="AG93" s="24">
        <v>577013.46</v>
      </c>
      <c r="AH93" s="24">
        <v>0</v>
      </c>
      <c r="AI93" s="24">
        <v>79263.039999999994</v>
      </c>
      <c r="AJ93" s="24">
        <v>74319.78</v>
      </c>
      <c r="AK93" s="24">
        <v>1232</v>
      </c>
      <c r="AL93" s="24">
        <v>0</v>
      </c>
      <c r="AM93" s="24">
        <v>0</v>
      </c>
      <c r="AN93" s="24">
        <v>0</v>
      </c>
      <c r="AO93" s="24">
        <v>0</v>
      </c>
      <c r="AP93" s="24">
        <v>9830.7799999999988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58289.970000000008</v>
      </c>
      <c r="AW93" s="24">
        <v>2</v>
      </c>
      <c r="AX93" s="316" t="s">
        <v>233</v>
      </c>
      <c r="AY93" s="24">
        <v>310</v>
      </c>
      <c r="AZ93" s="29" t="s">
        <v>233</v>
      </c>
      <c r="BA93" s="29" t="s">
        <v>233</v>
      </c>
      <c r="BB93" s="24">
        <v>0</v>
      </c>
      <c r="BC93" s="24">
        <v>0</v>
      </c>
      <c r="BD93" s="24">
        <v>78949.08</v>
      </c>
      <c r="BE93" s="29" t="s">
        <v>233</v>
      </c>
      <c r="BF93" s="24">
        <v>4914</v>
      </c>
      <c r="BG93" s="29" t="s">
        <v>233</v>
      </c>
      <c r="BH93" s="24">
        <v>0</v>
      </c>
      <c r="BI93" s="24">
        <v>0</v>
      </c>
      <c r="BJ93" s="29" t="s">
        <v>233</v>
      </c>
      <c r="BK93" s="24">
        <v>0</v>
      </c>
      <c r="BL93" s="24">
        <v>0</v>
      </c>
      <c r="BM93" s="24">
        <v>0</v>
      </c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233</v>
      </c>
      <c r="CD93" s="29" t="s">
        <v>233</v>
      </c>
      <c r="CE93" s="32">
        <f t="shared" si="16"/>
        <v>3649578.7899999991</v>
      </c>
      <c r="CF93" s="32">
        <f>BA59</f>
        <v>0</v>
      </c>
    </row>
    <row r="94" spans="1:85" x14ac:dyDescent="0.35">
      <c r="A94" s="26" t="s">
        <v>279</v>
      </c>
      <c r="B94" s="20"/>
      <c r="C94" s="24">
        <v>305.7989266704385</v>
      </c>
      <c r="D94" s="24">
        <v>100.09732943834285</v>
      </c>
      <c r="E94" s="24">
        <v>137.85450957015692</v>
      </c>
      <c r="F94" s="24">
        <v>25.608382873204331</v>
      </c>
      <c r="G94" s="24">
        <v>0</v>
      </c>
      <c r="H94" s="24">
        <v>16.119882874504125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55.855440403307469</v>
      </c>
      <c r="P94" s="24">
        <v>100.40324382186257</v>
      </c>
      <c r="Q94" s="24">
        <v>0</v>
      </c>
      <c r="R94" s="24">
        <v>70.840153414953406</v>
      </c>
      <c r="S94" s="24">
        <v>1.4896575340425128E-2</v>
      </c>
      <c r="T94" s="24">
        <v>13.726750683051133</v>
      </c>
      <c r="U94" s="24">
        <v>4.7945205472883258E-5</v>
      </c>
      <c r="V94" s="24">
        <v>0</v>
      </c>
      <c r="W94" s="24">
        <v>0</v>
      </c>
      <c r="X94" s="24">
        <v>0</v>
      </c>
      <c r="Y94" s="24">
        <v>13.810712326875247</v>
      </c>
      <c r="Z94" s="24">
        <v>2.1552520544992806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v>0</v>
      </c>
      <c r="AG94" s="24">
        <v>124.79608628427451</v>
      </c>
      <c r="AH94" s="24">
        <v>0</v>
      </c>
      <c r="AI94" s="24">
        <v>22.328480133927606</v>
      </c>
      <c r="AJ94" s="24">
        <v>32.073108214784504</v>
      </c>
      <c r="AK94" s="24">
        <v>0</v>
      </c>
      <c r="AL94" s="24">
        <v>0</v>
      </c>
      <c r="AM94" s="24">
        <v>0</v>
      </c>
      <c r="AN94" s="24">
        <v>0</v>
      </c>
      <c r="AO94" s="24">
        <v>0</v>
      </c>
      <c r="AP94" s="24">
        <v>2.581945205125761</v>
      </c>
      <c r="AQ94" s="24">
        <v>0</v>
      </c>
      <c r="AR94" s="24">
        <v>0</v>
      </c>
      <c r="AS94" s="24">
        <v>0</v>
      </c>
      <c r="AT94" s="24">
        <v>0</v>
      </c>
      <c r="AU94" s="24">
        <v>0</v>
      </c>
      <c r="AV94" s="24">
        <v>45.051084240403959</v>
      </c>
      <c r="AW94" s="24">
        <v>6.9642856154843447</v>
      </c>
      <c r="AX94" s="316" t="s">
        <v>233</v>
      </c>
      <c r="AY94" s="316" t="s">
        <v>233</v>
      </c>
      <c r="AZ94" s="29" t="s">
        <v>233</v>
      </c>
      <c r="BA94" s="29" t="s">
        <v>233</v>
      </c>
      <c r="BB94" s="29" t="s">
        <v>233</v>
      </c>
      <c r="BC94" s="24">
        <v>4.2255787665444418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4">
        <v>0.24839931503446588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29" t="s">
        <v>233</v>
      </c>
      <c r="BV94" s="29" t="s">
        <v>233</v>
      </c>
      <c r="BW94" s="29" t="s">
        <v>233</v>
      </c>
      <c r="BX94" s="24">
        <v>1.366534246388146</v>
      </c>
      <c r="BY94" s="24">
        <v>0.2470424657195833</v>
      </c>
      <c r="BZ94" s="342">
        <f>13.8605082172794+1.60934315046447</f>
        <v>15.469851367743869</v>
      </c>
      <c r="CA94" s="29" t="s">
        <v>233</v>
      </c>
      <c r="CB94" s="29" t="s">
        <v>233</v>
      </c>
      <c r="CC94" s="29" t="s">
        <v>233</v>
      </c>
      <c r="CD94" s="29" t="s">
        <v>233</v>
      </c>
      <c r="CE94" s="267">
        <f t="shared" si="16"/>
        <v>1097.6379245071732</v>
      </c>
      <c r="CF94" s="37"/>
    </row>
    <row r="95" spans="1:85" x14ac:dyDescent="0.35">
      <c r="A95" s="38" t="s">
        <v>280</v>
      </c>
      <c r="B95" s="38"/>
      <c r="C95" s="38"/>
      <c r="D95" s="38"/>
      <c r="E95" s="38"/>
    </row>
    <row r="96" spans="1:85" x14ac:dyDescent="0.35">
      <c r="A96" s="39" t="s">
        <v>281</v>
      </c>
      <c r="B96" s="40"/>
      <c r="C96" s="317" t="s">
        <v>1372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18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/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1366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1367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19">
        <v>98405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1368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0" t="s">
        <v>1369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0" t="s">
        <v>1370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1371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37">
        <v>2534031000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37">
        <v>2434597859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343" t="s">
        <v>1376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5" t="s">
        <v>1377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23815</v>
      </c>
      <c r="D127" s="50">
        <v>146151.08000000002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2975</v>
      </c>
      <c r="D130" s="50">
        <v>4300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148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74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97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0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52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0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27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0</v>
      </c>
      <c r="D139" s="20"/>
      <c r="E139" s="20"/>
    </row>
    <row r="140" spans="1:5" x14ac:dyDescent="0.35">
      <c r="A140" s="20" t="s">
        <v>322</v>
      </c>
      <c r="B140" s="46"/>
      <c r="C140" s="47">
        <v>0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0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63</v>
      </c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461</v>
      </c>
    </row>
    <row r="144" spans="1:5" x14ac:dyDescent="0.35">
      <c r="A144" s="20" t="s">
        <v>325</v>
      </c>
      <c r="B144" s="46" t="s">
        <v>284</v>
      </c>
      <c r="C144" s="47">
        <v>581</v>
      </c>
      <c r="D144" s="20"/>
      <c r="E144" s="20"/>
    </row>
    <row r="145" spans="1:12" x14ac:dyDescent="0.35">
      <c r="A145" s="20" t="s">
        <v>326</v>
      </c>
      <c r="B145" s="46" t="s">
        <v>284</v>
      </c>
      <c r="C145" s="47"/>
      <c r="D145" s="20"/>
      <c r="E145" s="20"/>
    </row>
    <row r="146" spans="1:12" x14ac:dyDescent="0.35">
      <c r="A146" s="20"/>
      <c r="B146" s="20"/>
      <c r="C146" s="27"/>
      <c r="D146" s="20"/>
      <c r="E146" s="20"/>
    </row>
    <row r="147" spans="1:12" x14ac:dyDescent="0.35">
      <c r="A147" s="20" t="s">
        <v>327</v>
      </c>
      <c r="B147" s="46" t="s">
        <v>284</v>
      </c>
      <c r="C147" s="47"/>
      <c r="D147" s="20"/>
      <c r="E147" s="20"/>
    </row>
    <row r="148" spans="1:12" x14ac:dyDescent="0.35">
      <c r="A148" s="20"/>
      <c r="B148" s="20"/>
      <c r="C148" s="27"/>
      <c r="D148" s="20"/>
      <c r="E148" s="20"/>
    </row>
    <row r="149" spans="1:12" x14ac:dyDescent="0.35">
      <c r="A149" s="20"/>
      <c r="B149" s="20"/>
      <c r="C149" s="27"/>
      <c r="D149" s="20"/>
      <c r="E149" s="20"/>
    </row>
    <row r="150" spans="1:12" x14ac:dyDescent="0.35">
      <c r="A150" s="20"/>
      <c r="B150" s="20"/>
      <c r="C150" s="27"/>
      <c r="D150" s="20"/>
      <c r="E150" s="20"/>
    </row>
    <row r="151" spans="1:12" x14ac:dyDescent="0.35">
      <c r="A151" s="20"/>
      <c r="B151" s="20"/>
      <c r="C151" s="27"/>
      <c r="D151" s="20"/>
      <c r="E151" s="20"/>
    </row>
    <row r="152" spans="1:12" x14ac:dyDescent="0.35">
      <c r="A152" s="38" t="s">
        <v>328</v>
      </c>
      <c r="B152" s="49"/>
      <c r="C152" s="49"/>
      <c r="D152" s="49"/>
      <c r="E152" s="49"/>
    </row>
    <row r="153" spans="1:12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12" x14ac:dyDescent="0.35">
      <c r="A154" s="20" t="s">
        <v>309</v>
      </c>
      <c r="B154" s="50">
        <v>9871.9853383049995</v>
      </c>
      <c r="C154" s="50">
        <v>5886.1164176139991</v>
      </c>
      <c r="D154" s="50">
        <v>8055.8982440810023</v>
      </c>
      <c r="E154" s="32">
        <f>SUM(B154:D154)</f>
        <v>23814</v>
      </c>
    </row>
    <row r="155" spans="1:12" x14ac:dyDescent="0.35">
      <c r="A155" s="20" t="s">
        <v>227</v>
      </c>
      <c r="B155" s="50">
        <v>60175.592310048836</v>
      </c>
      <c r="C155" s="50">
        <v>36586.401514701334</v>
      </c>
      <c r="D155" s="50">
        <v>49136.086175249846</v>
      </c>
      <c r="E155" s="32">
        <f>SUM(B155:D155)</f>
        <v>145898.08000000002</v>
      </c>
    </row>
    <row r="156" spans="1:12" x14ac:dyDescent="0.35">
      <c r="A156" s="20" t="s">
        <v>332</v>
      </c>
      <c r="B156" s="50">
        <v>238270</v>
      </c>
      <c r="C156" s="50">
        <v>166517</v>
      </c>
      <c r="D156" s="50">
        <v>339787</v>
      </c>
      <c r="E156" s="32">
        <f>SUM(B156:D156)</f>
        <v>744574</v>
      </c>
      <c r="G156" s="20" t="s">
        <v>332</v>
      </c>
      <c r="H156" s="50">
        <v>42857.63041815858</v>
      </c>
      <c r="I156" s="50">
        <v>25461.957800556302</v>
      </c>
      <c r="J156" s="50">
        <v>34969.411781285118</v>
      </c>
      <c r="K156" s="32">
        <v>103289</v>
      </c>
      <c r="L156" s="12">
        <f>E156-K156</f>
        <v>641285</v>
      </c>
    </row>
    <row r="157" spans="1:12" x14ac:dyDescent="0.35">
      <c r="A157" s="20" t="s">
        <v>272</v>
      </c>
      <c r="B157" s="50">
        <v>805148990.36722505</v>
      </c>
      <c r="C157" s="50">
        <v>489624790.78021622</v>
      </c>
      <c r="D157" s="50">
        <v>657444765.50255835</v>
      </c>
      <c r="E157" s="32">
        <f>SUM(B157:D157)</f>
        <v>1952218546.6499996</v>
      </c>
      <c r="F157" s="18">
        <f>CE87</f>
        <v>1952218546.6499999</v>
      </c>
      <c r="G157" s="12">
        <f>F157-E157</f>
        <v>0</v>
      </c>
    </row>
    <row r="158" spans="1:12" x14ac:dyDescent="0.35">
      <c r="A158" s="20" t="s">
        <v>273</v>
      </c>
      <c r="B158" s="50">
        <v>936455219.25596952</v>
      </c>
      <c r="C158" s="50">
        <v>556353280.43483257</v>
      </c>
      <c r="D158" s="50">
        <v>764094698.12919855</v>
      </c>
      <c r="E158" s="32">
        <f>SUM(B158:D158)</f>
        <v>2256903197.8200006</v>
      </c>
      <c r="F158" s="18">
        <f>CE88</f>
        <v>2256903198.0999999</v>
      </c>
      <c r="G158" s="12">
        <f>F158-E158</f>
        <v>0.2799992561340332</v>
      </c>
    </row>
    <row r="159" spans="1:12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12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6" x14ac:dyDescent="0.35">
      <c r="A177" s="25"/>
      <c r="B177" s="25"/>
      <c r="C177" s="54"/>
      <c r="D177" s="55"/>
      <c r="E177" s="20"/>
    </row>
    <row r="178" spans="1:6" x14ac:dyDescent="0.35">
      <c r="A178" s="25"/>
      <c r="B178" s="25"/>
      <c r="C178" s="54"/>
      <c r="D178" s="55"/>
      <c r="E178" s="20"/>
    </row>
    <row r="179" spans="1:6" x14ac:dyDescent="0.35">
      <c r="A179" s="49" t="s">
        <v>339</v>
      </c>
      <c r="B179" s="38"/>
      <c r="C179" s="38"/>
      <c r="D179" s="38"/>
      <c r="E179" s="38"/>
    </row>
    <row r="180" spans="1:6" x14ac:dyDescent="0.35">
      <c r="A180" s="45" t="s">
        <v>340</v>
      </c>
      <c r="B180" s="45"/>
      <c r="C180" s="45"/>
      <c r="D180" s="45"/>
      <c r="E180" s="45"/>
    </row>
    <row r="181" spans="1:6" x14ac:dyDescent="0.35">
      <c r="A181" s="20" t="s">
        <v>341</v>
      </c>
      <c r="B181" s="46" t="s">
        <v>284</v>
      </c>
      <c r="C181" s="47">
        <v>25003156.800000001</v>
      </c>
      <c r="D181" s="20"/>
      <c r="E181" s="20"/>
    </row>
    <row r="182" spans="1:6" x14ac:dyDescent="0.35">
      <c r="A182" s="20" t="s">
        <v>342</v>
      </c>
      <c r="B182" s="46" t="s">
        <v>284</v>
      </c>
      <c r="C182" s="47">
        <v>0</v>
      </c>
      <c r="D182" s="20"/>
      <c r="E182" s="20"/>
    </row>
    <row r="183" spans="1:6" x14ac:dyDescent="0.35">
      <c r="A183" s="25" t="s">
        <v>343</v>
      </c>
      <c r="B183" s="46" t="s">
        <v>284</v>
      </c>
      <c r="C183" s="47">
        <v>0</v>
      </c>
      <c r="D183" s="20"/>
      <c r="E183" s="20"/>
    </row>
    <row r="184" spans="1:6" x14ac:dyDescent="0.35">
      <c r="A184" s="20" t="s">
        <v>344</v>
      </c>
      <c r="B184" s="46" t="s">
        <v>284</v>
      </c>
      <c r="C184" s="47">
        <v>37866805.199999996</v>
      </c>
      <c r="D184" s="20"/>
      <c r="E184" s="20"/>
    </row>
    <row r="185" spans="1:6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6" x14ac:dyDescent="0.35">
      <c r="A186" s="20" t="s">
        <v>346</v>
      </c>
      <c r="B186" s="46" t="s">
        <v>284</v>
      </c>
      <c r="C186" s="47">
        <v>0</v>
      </c>
      <c r="D186" s="20"/>
      <c r="E186" s="20"/>
    </row>
    <row r="187" spans="1:6" x14ac:dyDescent="0.35">
      <c r="A187" s="20" t="s">
        <v>347</v>
      </c>
      <c r="B187" s="46" t="s">
        <v>284</v>
      </c>
      <c r="C187" s="47">
        <v>16432161.799999999</v>
      </c>
      <c r="D187" s="20"/>
      <c r="E187" s="20"/>
    </row>
    <row r="188" spans="1:6" x14ac:dyDescent="0.35">
      <c r="A188" s="20" t="s">
        <v>347</v>
      </c>
      <c r="B188" s="46" t="s">
        <v>284</v>
      </c>
      <c r="C188" s="47">
        <v>113226.88999999998</v>
      </c>
      <c r="D188" s="20"/>
      <c r="E188" s="20"/>
      <c r="F188" s="12" t="s">
        <v>1373</v>
      </c>
    </row>
    <row r="189" spans="1:6" x14ac:dyDescent="0.35">
      <c r="A189" s="20" t="s">
        <v>215</v>
      </c>
      <c r="B189" s="20"/>
      <c r="C189" s="27"/>
      <c r="D189" s="32">
        <f>SUM(C181:C188)</f>
        <v>79415350.689999998</v>
      </c>
      <c r="E189" s="20"/>
      <c r="F189" s="12">
        <f>'Prior Year'!D190</f>
        <v>79659619.879999995</v>
      </c>
    </row>
    <row r="190" spans="1:6" x14ac:dyDescent="0.35">
      <c r="A190" s="45" t="s">
        <v>348</v>
      </c>
      <c r="B190" s="45"/>
      <c r="C190" s="45"/>
      <c r="D190" s="45"/>
      <c r="E190" s="45"/>
    </row>
    <row r="191" spans="1:6" x14ac:dyDescent="0.35">
      <c r="A191" s="20" t="s">
        <v>349</v>
      </c>
      <c r="B191" s="46" t="s">
        <v>284</v>
      </c>
      <c r="C191" s="47">
        <v>5982458.0899999999</v>
      </c>
      <c r="D191" s="20"/>
      <c r="E191" s="20"/>
    </row>
    <row r="192" spans="1:6" x14ac:dyDescent="0.35">
      <c r="A192" s="20" t="s">
        <v>350</v>
      </c>
      <c r="B192" s="46" t="s">
        <v>284</v>
      </c>
      <c r="C192" s="47">
        <v>3478055.06</v>
      </c>
      <c r="D192" s="20"/>
      <c r="E192" s="20"/>
    </row>
    <row r="193" spans="1:6" x14ac:dyDescent="0.35">
      <c r="A193" s="20" t="s">
        <v>215</v>
      </c>
      <c r="B193" s="20"/>
      <c r="C193" s="27"/>
      <c r="D193" s="32">
        <f>SUM(C191:C192)</f>
        <v>9460513.1500000004</v>
      </c>
      <c r="E193" s="20"/>
      <c r="F193" s="12">
        <f>'Prior Year'!D194</f>
        <v>7905600.6099999994</v>
      </c>
    </row>
    <row r="194" spans="1:6" x14ac:dyDescent="0.35">
      <c r="A194" s="45" t="s">
        <v>351</v>
      </c>
      <c r="B194" s="45"/>
      <c r="C194" s="45"/>
      <c r="D194" s="45"/>
      <c r="E194" s="45"/>
    </row>
    <row r="195" spans="1:6" x14ac:dyDescent="0.35">
      <c r="A195" s="20" t="s">
        <v>352</v>
      </c>
      <c r="B195" s="46" t="s">
        <v>284</v>
      </c>
      <c r="C195" s="47">
        <v>11325279.300000003</v>
      </c>
      <c r="D195" s="20"/>
      <c r="E195" s="20"/>
    </row>
    <row r="196" spans="1:6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6" x14ac:dyDescent="0.35">
      <c r="A197" s="20" t="s">
        <v>215</v>
      </c>
      <c r="B197" s="20"/>
      <c r="C197" s="27"/>
      <c r="D197" s="32">
        <f>SUM(C195:C196)</f>
        <v>11325279.300000003</v>
      </c>
      <c r="E197" s="20"/>
      <c r="F197" s="12">
        <f>'Prior Year'!D198</f>
        <v>12128499.380000001</v>
      </c>
    </row>
    <row r="198" spans="1:6" x14ac:dyDescent="0.35">
      <c r="A198" s="45" t="s">
        <v>354</v>
      </c>
      <c r="B198" s="45"/>
      <c r="C198" s="45"/>
      <c r="D198" s="45"/>
      <c r="E198" s="45"/>
    </row>
    <row r="199" spans="1:6" x14ac:dyDescent="0.35">
      <c r="A199" s="20" t="s">
        <v>355</v>
      </c>
      <c r="B199" s="46" t="s">
        <v>284</v>
      </c>
      <c r="C199" s="47">
        <v>437045.52</v>
      </c>
      <c r="D199" s="20"/>
      <c r="E199" s="20"/>
    </row>
    <row r="200" spans="1:6" x14ac:dyDescent="0.35">
      <c r="A200" s="20" t="s">
        <v>356</v>
      </c>
      <c r="B200" s="46" t="s">
        <v>284</v>
      </c>
      <c r="C200" s="47">
        <v>7488844.8399999999</v>
      </c>
      <c r="D200" s="20"/>
      <c r="E200" s="20"/>
    </row>
    <row r="201" spans="1:6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6" x14ac:dyDescent="0.35">
      <c r="A202" s="20" t="s">
        <v>215</v>
      </c>
      <c r="B202" s="20"/>
      <c r="C202" s="27"/>
      <c r="D202" s="32">
        <f>SUM(C199:C201)</f>
        <v>7925890.3599999994</v>
      </c>
      <c r="E202" s="20"/>
      <c r="F202" s="12">
        <f>'Prior Year'!D203</f>
        <v>7493239.1999999993</v>
      </c>
    </row>
    <row r="203" spans="1:6" x14ac:dyDescent="0.35">
      <c r="A203" s="45" t="s">
        <v>357</v>
      </c>
      <c r="B203" s="45"/>
      <c r="C203" s="45"/>
      <c r="D203" s="45"/>
      <c r="E203" s="45"/>
    </row>
    <row r="204" spans="1:6" x14ac:dyDescent="0.35">
      <c r="A204" s="20" t="s">
        <v>358</v>
      </c>
      <c r="B204" s="46" t="s">
        <v>284</v>
      </c>
      <c r="C204" s="47">
        <v>0</v>
      </c>
      <c r="D204" s="20"/>
      <c r="E204" s="20"/>
    </row>
    <row r="205" spans="1:6" x14ac:dyDescent="0.35">
      <c r="A205" s="20" t="s">
        <v>359</v>
      </c>
      <c r="B205" s="46" t="s">
        <v>284</v>
      </c>
      <c r="C205" s="47">
        <v>9677520.3600000013</v>
      </c>
      <c r="D205" s="20"/>
      <c r="E205" s="20"/>
    </row>
    <row r="206" spans="1:6" x14ac:dyDescent="0.35">
      <c r="A206" s="20" t="s">
        <v>215</v>
      </c>
      <c r="B206" s="20"/>
      <c r="C206" s="27"/>
      <c r="D206" s="32">
        <f>SUM(C204:C205)</f>
        <v>9677520.3600000013</v>
      </c>
      <c r="E206" s="20"/>
      <c r="F206" s="12">
        <f>'Prior Year'!D207</f>
        <v>9404392.7999999989</v>
      </c>
    </row>
    <row r="207" spans="1:6" x14ac:dyDescent="0.35">
      <c r="A207" s="20"/>
      <c r="B207" s="20"/>
      <c r="C207" s="27"/>
      <c r="D207" s="20"/>
      <c r="E207" s="20"/>
    </row>
    <row r="208" spans="1:6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5728062.54</v>
      </c>
      <c r="C211" s="47">
        <v>0</v>
      </c>
      <c r="D211" s="50">
        <v>31000</v>
      </c>
      <c r="E211" s="32">
        <f t="shared" ref="E211:E219" si="20">SUM(B211:C211)-D211</f>
        <v>5697062.54</v>
      </c>
    </row>
    <row r="212" spans="1:5" x14ac:dyDescent="0.35">
      <c r="A212" s="20" t="s">
        <v>367</v>
      </c>
      <c r="B212" s="50">
        <v>3311377.88</v>
      </c>
      <c r="C212" s="47">
        <v>33222.68</v>
      </c>
      <c r="D212" s="50">
        <v>19919.29</v>
      </c>
      <c r="E212" s="32">
        <f t="shared" si="20"/>
        <v>3324681.27</v>
      </c>
    </row>
    <row r="213" spans="1:5" x14ac:dyDescent="0.35">
      <c r="A213" s="20" t="s">
        <v>368</v>
      </c>
      <c r="B213" s="50">
        <v>620400698.23000002</v>
      </c>
      <c r="C213" s="47">
        <v>12168359.660000002</v>
      </c>
      <c r="D213" s="50">
        <v>0</v>
      </c>
      <c r="E213" s="32">
        <f t="shared" si="20"/>
        <v>632569057.88999999</v>
      </c>
    </row>
    <row r="214" spans="1:5" x14ac:dyDescent="0.35">
      <c r="A214" s="20" t="s">
        <v>369</v>
      </c>
      <c r="B214" s="50">
        <v>0</v>
      </c>
      <c r="C214" s="47">
        <v>0</v>
      </c>
      <c r="D214" s="50">
        <v>0</v>
      </c>
      <c r="E214" s="32">
        <f t="shared" si="20"/>
        <v>0</v>
      </c>
    </row>
    <row r="215" spans="1:5" x14ac:dyDescent="0.35">
      <c r="A215" s="20" t="s">
        <v>370</v>
      </c>
      <c r="B215" s="50">
        <v>34790496.899999999</v>
      </c>
      <c r="C215" s="47">
        <v>880710.48999999987</v>
      </c>
      <c r="D215" s="50">
        <v>365711.31</v>
      </c>
      <c r="E215" s="32">
        <f t="shared" si="20"/>
        <v>35305496.079999998</v>
      </c>
    </row>
    <row r="216" spans="1:5" x14ac:dyDescent="0.35">
      <c r="A216" s="20" t="s">
        <v>371</v>
      </c>
      <c r="B216" s="50">
        <v>241316063.84</v>
      </c>
      <c r="C216" s="47">
        <v>10950243.390000001</v>
      </c>
      <c r="D216" s="50">
        <v>55124633.310000032</v>
      </c>
      <c r="E216" s="32">
        <f t="shared" si="20"/>
        <v>197141673.91999999</v>
      </c>
    </row>
    <row r="217" spans="1:5" x14ac:dyDescent="0.35">
      <c r="A217" s="20" t="s">
        <v>372</v>
      </c>
      <c r="B217" s="50">
        <v>0</v>
      </c>
      <c r="C217" s="47">
        <v>0</v>
      </c>
      <c r="D217" s="50">
        <v>0</v>
      </c>
      <c r="E217" s="32">
        <f t="shared" si="20"/>
        <v>0</v>
      </c>
    </row>
    <row r="218" spans="1:5" x14ac:dyDescent="0.35">
      <c r="A218" s="20" t="s">
        <v>373</v>
      </c>
      <c r="B218" s="50">
        <v>14268559.630000001</v>
      </c>
      <c r="C218" s="47">
        <v>376814.02</v>
      </c>
      <c r="D218" s="50">
        <v>0</v>
      </c>
      <c r="E218" s="32">
        <f t="shared" si="20"/>
        <v>14645373.65</v>
      </c>
    </row>
    <row r="219" spans="1:5" x14ac:dyDescent="0.35">
      <c r="A219" s="20" t="s">
        <v>374</v>
      </c>
      <c r="B219" s="50">
        <v>0</v>
      </c>
      <c r="C219" s="47">
        <v>0</v>
      </c>
      <c r="D219" s="50">
        <v>0</v>
      </c>
      <c r="E219" s="32">
        <f t="shared" si="20"/>
        <v>0</v>
      </c>
    </row>
    <row r="220" spans="1:5" x14ac:dyDescent="0.35">
      <c r="A220" s="20" t="s">
        <v>215</v>
      </c>
      <c r="B220" s="32">
        <f>SUM(B211:B219)</f>
        <v>919815259.01999998</v>
      </c>
      <c r="C220" s="266">
        <f>SUM(C211:C219)</f>
        <v>24409350.240000002</v>
      </c>
      <c r="D220" s="32">
        <f>SUM(D211:D219)</f>
        <v>55541263.910000034</v>
      </c>
      <c r="E220" s="32">
        <f>SUM(E211:E219)</f>
        <v>888683345.3499999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6" x14ac:dyDescent="0.35">
      <c r="A225" s="20" t="s">
        <v>367</v>
      </c>
      <c r="B225" s="50">
        <v>2396947.7600000002</v>
      </c>
      <c r="C225" s="47">
        <v>144353.69999999995</v>
      </c>
      <c r="D225" s="50">
        <v>19919.29</v>
      </c>
      <c r="E225" s="32">
        <f t="shared" ref="E225:E232" si="21">SUM(B225:C225)-D225</f>
        <v>2521382.17</v>
      </c>
    </row>
    <row r="226" spans="1:6" x14ac:dyDescent="0.35">
      <c r="A226" s="20" t="s">
        <v>368</v>
      </c>
      <c r="B226" s="50">
        <v>324656203.87999994</v>
      </c>
      <c r="C226" s="47">
        <v>3771393.5699999928</v>
      </c>
      <c r="D226" s="50">
        <v>-18729.68</v>
      </c>
      <c r="E226" s="32">
        <f t="shared" si="21"/>
        <v>328446327.12999994</v>
      </c>
    </row>
    <row r="227" spans="1:6" x14ac:dyDescent="0.35">
      <c r="A227" s="20" t="s">
        <v>369</v>
      </c>
      <c r="B227" s="50">
        <v>0</v>
      </c>
      <c r="C227" s="47">
        <v>0</v>
      </c>
      <c r="D227" s="50">
        <v>0</v>
      </c>
      <c r="E227" s="32">
        <f t="shared" si="21"/>
        <v>0</v>
      </c>
    </row>
    <row r="228" spans="1:6" x14ac:dyDescent="0.35">
      <c r="A228" s="20" t="s">
        <v>370</v>
      </c>
      <c r="B228" s="50">
        <v>26291253.530000001</v>
      </c>
      <c r="C228" s="47">
        <v>1329954.2500000007</v>
      </c>
      <c r="D228" s="50">
        <v>365711.31</v>
      </c>
      <c r="E228" s="32">
        <f t="shared" si="21"/>
        <v>27255496.470000003</v>
      </c>
    </row>
    <row r="229" spans="1:6" x14ac:dyDescent="0.35">
      <c r="A229" s="20" t="s">
        <v>371</v>
      </c>
      <c r="B229" s="50">
        <v>198391196.83999997</v>
      </c>
      <c r="C229" s="47">
        <v>5542675.3299999349</v>
      </c>
      <c r="D229" s="50">
        <v>54498784.300000027</v>
      </c>
      <c r="E229" s="32">
        <f t="shared" si="21"/>
        <v>149435087.86999989</v>
      </c>
    </row>
    <row r="230" spans="1:6" x14ac:dyDescent="0.35">
      <c r="A230" s="20" t="s">
        <v>372</v>
      </c>
      <c r="B230" s="50">
        <v>0</v>
      </c>
      <c r="C230" s="47">
        <v>0</v>
      </c>
      <c r="D230" s="50">
        <v>0</v>
      </c>
      <c r="E230" s="32">
        <f t="shared" si="21"/>
        <v>0</v>
      </c>
    </row>
    <row r="231" spans="1:6" x14ac:dyDescent="0.35">
      <c r="A231" s="20" t="s">
        <v>373</v>
      </c>
      <c r="B231" s="50">
        <v>9633436.8999999985</v>
      </c>
      <c r="C231" s="47">
        <v>658840.83999999973</v>
      </c>
      <c r="D231" s="50">
        <v>0</v>
      </c>
      <c r="E231" s="32">
        <f t="shared" si="21"/>
        <v>10292277.739999998</v>
      </c>
    </row>
    <row r="232" spans="1:6" x14ac:dyDescent="0.35">
      <c r="A232" s="20" t="s">
        <v>374</v>
      </c>
      <c r="B232" s="50">
        <v>0</v>
      </c>
      <c r="C232" s="47">
        <v>0</v>
      </c>
      <c r="D232" s="50">
        <v>0</v>
      </c>
      <c r="E232" s="32">
        <f t="shared" si="21"/>
        <v>0</v>
      </c>
    </row>
    <row r="233" spans="1:6" x14ac:dyDescent="0.35">
      <c r="A233" s="20" t="s">
        <v>215</v>
      </c>
      <c r="B233" s="32">
        <f>SUM(B224:B232)</f>
        <v>561369038.90999997</v>
      </c>
      <c r="C233" s="266">
        <f>SUM(C224:C232)</f>
        <v>11447217.689999929</v>
      </c>
      <c r="D233" s="32">
        <f>SUM(D224:D232)</f>
        <v>54865685.220000029</v>
      </c>
      <c r="E233" s="32">
        <f>SUM(E224:E232)</f>
        <v>517950571.37999988</v>
      </c>
    </row>
    <row r="234" spans="1:6" x14ac:dyDescent="0.35">
      <c r="A234" s="20"/>
      <c r="B234" s="20"/>
      <c r="C234" s="27"/>
      <c r="D234" s="20"/>
      <c r="E234" s="20"/>
    </row>
    <row r="235" spans="1:6" x14ac:dyDescent="0.35">
      <c r="A235" s="38" t="s">
        <v>376</v>
      </c>
      <c r="B235" s="38"/>
      <c r="C235" s="38"/>
      <c r="D235" s="38"/>
      <c r="E235" s="38"/>
    </row>
    <row r="236" spans="1:6" x14ac:dyDescent="0.35">
      <c r="A236" s="38"/>
      <c r="B236" s="344" t="s">
        <v>377</v>
      </c>
      <c r="C236" s="344"/>
      <c r="D236" s="38"/>
      <c r="E236" s="38"/>
      <c r="F236" s="12" t="s">
        <v>1373</v>
      </c>
    </row>
    <row r="237" spans="1:6" x14ac:dyDescent="0.35">
      <c r="A237" s="56" t="s">
        <v>377</v>
      </c>
      <c r="B237" s="38"/>
      <c r="C237" s="47">
        <v>34442800.430000007</v>
      </c>
      <c r="D237" s="40">
        <f>C237</f>
        <v>34442800.430000007</v>
      </c>
      <c r="E237" s="38"/>
      <c r="F237" s="12">
        <f>'Prior Year'!D238</f>
        <v>21476429.98</v>
      </c>
    </row>
    <row r="238" spans="1:6" x14ac:dyDescent="0.35">
      <c r="A238" s="45" t="s">
        <v>378</v>
      </c>
      <c r="B238" s="45"/>
      <c r="C238" s="45"/>
      <c r="D238" s="45"/>
      <c r="E238" s="45"/>
    </row>
    <row r="239" spans="1:6" x14ac:dyDescent="0.35">
      <c r="A239" s="20" t="s">
        <v>379</v>
      </c>
      <c r="B239" s="46" t="s">
        <v>284</v>
      </c>
      <c r="C239" s="47">
        <v>1399068458.8402066</v>
      </c>
      <c r="D239" s="20"/>
      <c r="E239" s="20"/>
    </row>
    <row r="240" spans="1:6" x14ac:dyDescent="0.35">
      <c r="A240" s="20" t="s">
        <v>380</v>
      </c>
      <c r="B240" s="46" t="s">
        <v>284</v>
      </c>
      <c r="C240" s="47">
        <v>837646291.73203111</v>
      </c>
      <c r="D240" s="20"/>
      <c r="E240" s="20"/>
    </row>
    <row r="241" spans="1:6" x14ac:dyDescent="0.35">
      <c r="A241" s="20" t="s">
        <v>381</v>
      </c>
      <c r="B241" s="46" t="s">
        <v>284</v>
      </c>
      <c r="C241" s="47">
        <v>30997585.020000003</v>
      </c>
      <c r="D241" s="20"/>
      <c r="E241" s="20"/>
    </row>
    <row r="242" spans="1:6" x14ac:dyDescent="0.35">
      <c r="A242" s="20" t="s">
        <v>382</v>
      </c>
      <c r="B242" s="46" t="s">
        <v>284</v>
      </c>
      <c r="C242" s="47">
        <v>0</v>
      </c>
      <c r="D242" s="20"/>
      <c r="E242" s="20"/>
    </row>
    <row r="243" spans="1:6" x14ac:dyDescent="0.35">
      <c r="A243" s="20" t="s">
        <v>383</v>
      </c>
      <c r="B243" s="46" t="s">
        <v>284</v>
      </c>
      <c r="C243" s="47"/>
      <c r="D243" s="20"/>
      <c r="E243" s="20"/>
    </row>
    <row r="244" spans="1:6" x14ac:dyDescent="0.35">
      <c r="A244" s="20" t="s">
        <v>384</v>
      </c>
      <c r="B244" s="46" t="s">
        <v>284</v>
      </c>
      <c r="C244" s="47">
        <v>1110842861.5577619</v>
      </c>
      <c r="D244" s="20"/>
      <c r="E244" s="20"/>
    </row>
    <row r="245" spans="1:6" x14ac:dyDescent="0.35">
      <c r="A245" s="20" t="s">
        <v>385</v>
      </c>
      <c r="B245" s="20"/>
      <c r="C245" s="27"/>
      <c r="D245" s="32">
        <f>SUM(C239:C244)</f>
        <v>3378555197.1499996</v>
      </c>
      <c r="E245" s="20"/>
      <c r="F245" s="12">
        <f>'Prior Year'!D246</f>
        <v>2814544519.1300039</v>
      </c>
    </row>
    <row r="246" spans="1:6" x14ac:dyDescent="0.35">
      <c r="A246" s="45" t="s">
        <v>386</v>
      </c>
      <c r="B246" s="45"/>
      <c r="C246" s="45"/>
      <c r="D246" s="45"/>
      <c r="E246" s="45"/>
    </row>
    <row r="247" spans="1:6" x14ac:dyDescent="0.35">
      <c r="A247" s="26" t="s">
        <v>387</v>
      </c>
      <c r="B247" s="46" t="s">
        <v>284</v>
      </c>
      <c r="C247" s="47">
        <v>21478</v>
      </c>
      <c r="D247" s="20"/>
      <c r="E247" s="20"/>
    </row>
    <row r="248" spans="1:6" x14ac:dyDescent="0.35">
      <c r="A248" s="26"/>
      <c r="B248" s="46"/>
      <c r="C248" s="27"/>
      <c r="D248" s="20"/>
      <c r="E248" s="20"/>
    </row>
    <row r="249" spans="1:6" x14ac:dyDescent="0.35">
      <c r="A249" s="26" t="s">
        <v>388</v>
      </c>
      <c r="B249" s="46" t="s">
        <v>284</v>
      </c>
      <c r="C249" s="47">
        <v>27782502.46388698</v>
      </c>
      <c r="D249" s="20"/>
      <c r="E249" s="20"/>
    </row>
    <row r="250" spans="1:6" x14ac:dyDescent="0.35">
      <c r="A250" s="26" t="s">
        <v>389</v>
      </c>
      <c r="B250" s="46" t="s">
        <v>284</v>
      </c>
      <c r="C250" s="47">
        <v>42152735.546113014</v>
      </c>
      <c r="D250" s="20"/>
      <c r="E250" s="20"/>
    </row>
    <row r="251" spans="1:6" x14ac:dyDescent="0.35">
      <c r="A251" s="20"/>
      <c r="B251" s="20"/>
      <c r="C251" s="27"/>
      <c r="D251" s="20"/>
      <c r="E251" s="20"/>
    </row>
    <row r="252" spans="1:6" x14ac:dyDescent="0.35">
      <c r="A252" s="26" t="s">
        <v>390</v>
      </c>
      <c r="B252" s="20"/>
      <c r="C252" s="27"/>
      <c r="D252" s="32">
        <f>SUM(C249:C251)</f>
        <v>69935238.00999999</v>
      </c>
      <c r="E252" s="20"/>
      <c r="F252" s="12">
        <f>'Prior Year'!D253</f>
        <v>64158323.380000055</v>
      </c>
    </row>
    <row r="253" spans="1:6" x14ac:dyDescent="0.35">
      <c r="A253" s="45" t="s">
        <v>391</v>
      </c>
      <c r="B253" s="45"/>
      <c r="C253" s="45"/>
      <c r="D253" s="45"/>
      <c r="E253" s="45"/>
    </row>
    <row r="254" spans="1:6" x14ac:dyDescent="0.35">
      <c r="A254" s="20" t="s">
        <v>392</v>
      </c>
      <c r="B254" s="46" t="s">
        <v>284</v>
      </c>
      <c r="C254" s="47">
        <v>39187289.429999992</v>
      </c>
      <c r="D254" s="20"/>
      <c r="E254" s="20"/>
    </row>
    <row r="255" spans="1:6" x14ac:dyDescent="0.35">
      <c r="A255" s="20" t="s">
        <v>391</v>
      </c>
      <c r="B255" s="46" t="s">
        <v>284</v>
      </c>
      <c r="C255" s="47"/>
      <c r="D255" s="20"/>
      <c r="E255" s="20"/>
    </row>
    <row r="256" spans="1:6" x14ac:dyDescent="0.35">
      <c r="A256" s="20" t="s">
        <v>393</v>
      </c>
      <c r="B256" s="20"/>
      <c r="C256" s="27"/>
      <c r="D256" s="32">
        <f>SUM(C254:C255)</f>
        <v>39187289.429999992</v>
      </c>
      <c r="E256" s="20"/>
      <c r="F256" s="12">
        <f>'Prior Year'!D257</f>
        <v>38876901.530000001</v>
      </c>
    </row>
    <row r="257" spans="1:6" x14ac:dyDescent="0.35">
      <c r="A257" s="20"/>
      <c r="B257" s="20"/>
      <c r="C257" s="27"/>
      <c r="D257" s="20"/>
      <c r="E257" s="20"/>
    </row>
    <row r="258" spans="1:6" x14ac:dyDescent="0.35">
      <c r="A258" s="20" t="s">
        <v>394</v>
      </c>
      <c r="B258" s="20"/>
      <c r="C258" s="27"/>
      <c r="D258" s="32">
        <f>D237+D245+D252+D256</f>
        <v>3522120525.019999</v>
      </c>
      <c r="E258" s="20"/>
      <c r="F258" s="12">
        <f>'Prior Year'!D259</f>
        <v>2939056174.0200043</v>
      </c>
    </row>
    <row r="259" spans="1:6" x14ac:dyDescent="0.35">
      <c r="A259" s="20"/>
      <c r="B259" s="20"/>
      <c r="C259" s="27"/>
      <c r="D259" s="20"/>
      <c r="E259" s="20"/>
    </row>
    <row r="260" spans="1:6" x14ac:dyDescent="0.35">
      <c r="A260" s="20"/>
      <c r="B260" s="20"/>
      <c r="C260" s="27"/>
      <c r="D260" s="20"/>
      <c r="E260" s="20"/>
    </row>
    <row r="261" spans="1:6" x14ac:dyDescent="0.35">
      <c r="A261" s="20"/>
      <c r="B261" s="20"/>
      <c r="C261" s="27"/>
      <c r="D261" s="20"/>
      <c r="E261" s="20"/>
    </row>
    <row r="262" spans="1:6" x14ac:dyDescent="0.35">
      <c r="A262" s="20"/>
      <c r="B262" s="20"/>
      <c r="C262" s="27"/>
      <c r="D262" s="20"/>
      <c r="E262" s="20"/>
    </row>
    <row r="263" spans="1:6" x14ac:dyDescent="0.35">
      <c r="A263" s="20"/>
      <c r="B263" s="20"/>
      <c r="C263" s="27"/>
      <c r="D263" s="20"/>
      <c r="E263" s="20"/>
    </row>
    <row r="264" spans="1:6" x14ac:dyDescent="0.35">
      <c r="A264" s="38" t="s">
        <v>395</v>
      </c>
      <c r="B264" s="38"/>
      <c r="C264" s="38"/>
      <c r="D264" s="38"/>
      <c r="E264" s="38"/>
    </row>
    <row r="265" spans="1:6" x14ac:dyDescent="0.35">
      <c r="A265" s="45" t="s">
        <v>396</v>
      </c>
      <c r="B265" s="45"/>
      <c r="C265" s="45"/>
      <c r="D265" s="45"/>
      <c r="E265" s="45"/>
    </row>
    <row r="266" spans="1:6" x14ac:dyDescent="0.35">
      <c r="A266" s="20" t="s">
        <v>397</v>
      </c>
      <c r="B266" s="46" t="s">
        <v>284</v>
      </c>
      <c r="C266" s="47">
        <v>870572400.30999994</v>
      </c>
      <c r="D266" s="20"/>
      <c r="E266" s="20"/>
    </row>
    <row r="267" spans="1:6" x14ac:dyDescent="0.35">
      <c r="A267" s="20" t="s">
        <v>398</v>
      </c>
      <c r="B267" s="46" t="s">
        <v>284</v>
      </c>
      <c r="C267" s="47"/>
      <c r="D267" s="20"/>
      <c r="E267" s="20"/>
    </row>
    <row r="268" spans="1:6" x14ac:dyDescent="0.35">
      <c r="A268" s="20" t="s">
        <v>399</v>
      </c>
      <c r="B268" s="46" t="s">
        <v>284</v>
      </c>
      <c r="C268" s="47">
        <v>200245446.26999998</v>
      </c>
      <c r="D268" s="20"/>
      <c r="E268" s="20"/>
    </row>
    <row r="269" spans="1:6" x14ac:dyDescent="0.35">
      <c r="A269" s="20" t="s">
        <v>400</v>
      </c>
      <c r="B269" s="46" t="s">
        <v>284</v>
      </c>
      <c r="C269" s="47">
        <v>33537455.589999985</v>
      </c>
      <c r="D269" s="20"/>
      <c r="E269" s="20"/>
    </row>
    <row r="270" spans="1:6" x14ac:dyDescent="0.35">
      <c r="A270" s="20" t="s">
        <v>401</v>
      </c>
      <c r="B270" s="46" t="s">
        <v>284</v>
      </c>
      <c r="C270" s="47"/>
      <c r="D270" s="20"/>
      <c r="E270" s="20"/>
    </row>
    <row r="271" spans="1:6" x14ac:dyDescent="0.35">
      <c r="A271" s="20" t="s">
        <v>402</v>
      </c>
      <c r="B271" s="46" t="s">
        <v>284</v>
      </c>
      <c r="C271" s="47">
        <v>902115.91</v>
      </c>
      <c r="D271" s="20"/>
      <c r="E271" s="20"/>
    </row>
    <row r="272" spans="1:6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29983123.039999995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3741000.4499999997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1071906630.3899999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5697062.54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3324681.27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632569057.88999999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35305496.079999998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197141673.91999999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14645373.650000002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888683345.3499999</v>
      </c>
      <c r="E291" s="20"/>
    </row>
    <row r="292" spans="1:5" x14ac:dyDescent="0.35">
      <c r="A292" s="20" t="s">
        <v>416</v>
      </c>
      <c r="B292" s="46" t="s">
        <v>284</v>
      </c>
      <c r="C292" s="47">
        <v>517950571.38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370732773.96999991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917459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917459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1443556863.3599997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7418810.96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89903.44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>
        <v>0</v>
      </c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1100000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7297161.5500000007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15905875.950000001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>
        <v>227649</v>
      </c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227649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0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0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1">
        <v>1427423338.4100001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1443556863.3600001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1443556863.3599997</v>
      </c>
      <c r="E352" s="20"/>
    </row>
    <row r="353" spans="1:7" x14ac:dyDescent="0.35">
      <c r="A353" s="20"/>
      <c r="B353" s="20"/>
      <c r="C353" s="27"/>
      <c r="D353" s="20"/>
      <c r="E353" s="20"/>
    </row>
    <row r="354" spans="1:7" x14ac:dyDescent="0.35">
      <c r="A354" s="20"/>
      <c r="B354" s="20"/>
      <c r="C354" s="27"/>
      <c r="D354" s="20"/>
      <c r="E354" s="20"/>
    </row>
    <row r="355" spans="1:7" x14ac:dyDescent="0.35">
      <c r="A355" s="20"/>
      <c r="B355" s="20"/>
      <c r="C355" s="27"/>
      <c r="D355" s="20"/>
      <c r="E355" s="20"/>
    </row>
    <row r="356" spans="1:7" x14ac:dyDescent="0.35">
      <c r="A356" s="38" t="s">
        <v>467</v>
      </c>
      <c r="B356" s="38"/>
      <c r="C356" s="38"/>
      <c r="D356" s="38"/>
      <c r="E356" s="38"/>
    </row>
    <row r="357" spans="1:7" x14ac:dyDescent="0.35">
      <c r="A357" s="45" t="s">
        <v>468</v>
      </c>
      <c r="B357" s="45"/>
      <c r="C357" s="45"/>
      <c r="D357" s="45"/>
      <c r="E357" s="45"/>
    </row>
    <row r="358" spans="1:7" x14ac:dyDescent="0.35">
      <c r="A358" s="20" t="s">
        <v>469</v>
      </c>
      <c r="B358" s="46" t="s">
        <v>284</v>
      </c>
      <c r="C358" s="234">
        <v>1952218546.6499999</v>
      </c>
      <c r="D358" s="20"/>
      <c r="E358" s="20"/>
      <c r="F358" s="12">
        <f>CE87</f>
        <v>1952218546.6499999</v>
      </c>
      <c r="G358" s="341">
        <f>F358-C358</f>
        <v>0</v>
      </c>
    </row>
    <row r="359" spans="1:7" x14ac:dyDescent="0.35">
      <c r="A359" s="20" t="s">
        <v>470</v>
      </c>
      <c r="B359" s="46" t="s">
        <v>284</v>
      </c>
      <c r="C359" s="234">
        <v>2256903198.0999999</v>
      </c>
      <c r="D359" s="20"/>
      <c r="E359" s="20"/>
      <c r="F359" s="12">
        <f>CE88</f>
        <v>2256903198.0999999</v>
      </c>
      <c r="G359" s="341">
        <f>F359-C359</f>
        <v>0</v>
      </c>
    </row>
    <row r="360" spans="1:7" x14ac:dyDescent="0.35">
      <c r="A360" s="20" t="s">
        <v>471</v>
      </c>
      <c r="B360" s="20"/>
      <c r="C360" s="27"/>
      <c r="D360" s="32">
        <f>SUM(C358:C359)</f>
        <v>4209121744.75</v>
      </c>
      <c r="E360" s="20"/>
    </row>
    <row r="361" spans="1:7" x14ac:dyDescent="0.35">
      <c r="A361" s="45" t="s">
        <v>472</v>
      </c>
      <c r="B361" s="45"/>
      <c r="C361" s="45"/>
      <c r="D361" s="45"/>
      <c r="E361" s="45"/>
    </row>
    <row r="362" spans="1:7" x14ac:dyDescent="0.35">
      <c r="A362" s="20" t="s">
        <v>377</v>
      </c>
      <c r="B362" s="45"/>
      <c r="C362" s="47">
        <v>31575805.930000003</v>
      </c>
      <c r="D362" s="20"/>
      <c r="E362" s="45"/>
    </row>
    <row r="363" spans="1:7" x14ac:dyDescent="0.35">
      <c r="A363" s="20" t="s">
        <v>473</v>
      </c>
      <c r="B363" s="46" t="s">
        <v>284</v>
      </c>
      <c r="C363" s="47">
        <v>2963327322.6400003</v>
      </c>
      <c r="D363" s="20"/>
      <c r="E363" s="20"/>
    </row>
    <row r="364" spans="1:7" x14ac:dyDescent="0.35">
      <c r="A364" s="20" t="s">
        <v>474</v>
      </c>
      <c r="B364" s="46" t="s">
        <v>284</v>
      </c>
      <c r="C364" s="47">
        <v>60352014.409999996</v>
      </c>
      <c r="D364" s="20"/>
      <c r="E364" s="20"/>
    </row>
    <row r="365" spans="1:7" x14ac:dyDescent="0.35">
      <c r="A365" s="20" t="s">
        <v>475</v>
      </c>
      <c r="B365" s="46" t="s">
        <v>284</v>
      </c>
      <c r="C365" s="47"/>
      <c r="D365" s="20"/>
      <c r="E365" s="20"/>
    </row>
    <row r="366" spans="1:7" x14ac:dyDescent="0.35">
      <c r="A366" s="20" t="s">
        <v>394</v>
      </c>
      <c r="B366" s="20"/>
      <c r="C366" s="27"/>
      <c r="D366" s="32">
        <f>SUM(C362:C365)</f>
        <v>3055255142.98</v>
      </c>
      <c r="E366" s="20"/>
    </row>
    <row r="367" spans="1:7" x14ac:dyDescent="0.35">
      <c r="A367" s="20" t="s">
        <v>476</v>
      </c>
      <c r="B367" s="20"/>
      <c r="C367" s="27"/>
      <c r="D367" s="32">
        <f>D360-D366</f>
        <v>1153866601.77</v>
      </c>
      <c r="E367" s="20"/>
    </row>
    <row r="368" spans="1:7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24763295.469999991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24763295.469999991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24763295.469999991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1178629897.24</v>
      </c>
      <c r="E384" s="20"/>
    </row>
    <row r="385" spans="1:9" x14ac:dyDescent="0.35">
      <c r="A385" s="20"/>
      <c r="B385" s="20"/>
      <c r="C385" s="27"/>
      <c r="D385" s="20"/>
      <c r="E385" s="20"/>
    </row>
    <row r="386" spans="1:9" x14ac:dyDescent="0.35">
      <c r="A386" s="20"/>
      <c r="B386" s="20"/>
      <c r="C386" s="27"/>
      <c r="D386" s="20"/>
      <c r="E386" s="20"/>
    </row>
    <row r="387" spans="1:9" x14ac:dyDescent="0.35">
      <c r="A387" s="20"/>
      <c r="B387" s="20"/>
      <c r="C387" s="27"/>
      <c r="D387" s="20"/>
      <c r="E387" s="20"/>
    </row>
    <row r="388" spans="1:9" x14ac:dyDescent="0.35">
      <c r="A388" s="45" t="s">
        <v>494</v>
      </c>
      <c r="B388" s="45"/>
      <c r="C388" s="45"/>
      <c r="D388" s="45"/>
      <c r="E388" s="45"/>
      <c r="G388" s="339"/>
    </row>
    <row r="389" spans="1:9" x14ac:dyDescent="0.35">
      <c r="A389" s="20" t="s">
        <v>495</v>
      </c>
      <c r="B389" s="46" t="s">
        <v>284</v>
      </c>
      <c r="C389" s="47">
        <v>449281703.38</v>
      </c>
      <c r="D389" s="20"/>
      <c r="E389" s="20"/>
      <c r="F389" s="12">
        <f>CE61</f>
        <v>449281703.38</v>
      </c>
      <c r="G389" s="339">
        <f>F389-C389</f>
        <v>0</v>
      </c>
    </row>
    <row r="390" spans="1:9" x14ac:dyDescent="0.35">
      <c r="A390" s="20" t="s">
        <v>9</v>
      </c>
      <c r="B390" s="46" t="s">
        <v>284</v>
      </c>
      <c r="C390" s="47">
        <f>79415350.69-3.69</f>
        <v>79415347</v>
      </c>
      <c r="D390" s="20"/>
      <c r="E390" s="20"/>
      <c r="F390" s="12">
        <f t="shared" ref="F390:F396" si="22">CE62</f>
        <v>79415347</v>
      </c>
      <c r="G390" s="339">
        <f t="shared" ref="G390:G396" si="23">F390-C390</f>
        <v>0</v>
      </c>
    </row>
    <row r="391" spans="1:9" x14ac:dyDescent="0.35">
      <c r="A391" s="20" t="s">
        <v>249</v>
      </c>
      <c r="B391" s="46" t="s">
        <v>284</v>
      </c>
      <c r="C391" s="47">
        <v>41301239.260000005</v>
      </c>
      <c r="D391" s="20"/>
      <c r="E391" s="20"/>
      <c r="F391" s="12">
        <f t="shared" si="22"/>
        <v>41301239.260000005</v>
      </c>
      <c r="G391" s="339">
        <f t="shared" si="23"/>
        <v>0</v>
      </c>
      <c r="H391" s="339"/>
    </row>
    <row r="392" spans="1:9" x14ac:dyDescent="0.35">
      <c r="A392" s="20" t="s">
        <v>496</v>
      </c>
      <c r="B392" s="46" t="s">
        <v>284</v>
      </c>
      <c r="C392" s="47">
        <v>235047932.23000005</v>
      </c>
      <c r="D392" s="20"/>
      <c r="E392" s="20"/>
      <c r="F392" s="12">
        <f t="shared" si="22"/>
        <v>235047932.23000005</v>
      </c>
      <c r="G392" s="339">
        <f t="shared" si="23"/>
        <v>0</v>
      </c>
      <c r="H392" s="339"/>
    </row>
    <row r="393" spans="1:9" x14ac:dyDescent="0.35">
      <c r="A393" s="20" t="s">
        <v>497</v>
      </c>
      <c r="B393" s="46" t="s">
        <v>284</v>
      </c>
      <c r="C393" s="47">
        <v>2756738.4599999986</v>
      </c>
      <c r="D393" s="20"/>
      <c r="E393" s="20"/>
      <c r="F393" s="12">
        <f t="shared" si="22"/>
        <v>2756738.4599999986</v>
      </c>
      <c r="G393" s="339">
        <f t="shared" si="23"/>
        <v>0</v>
      </c>
      <c r="H393" s="339"/>
    </row>
    <row r="394" spans="1:9" x14ac:dyDescent="0.35">
      <c r="A394" s="20" t="s">
        <v>498</v>
      </c>
      <c r="B394" s="46" t="s">
        <v>284</v>
      </c>
      <c r="C394" s="47">
        <v>330294267.25000006</v>
      </c>
      <c r="D394" s="20"/>
      <c r="E394" s="20"/>
      <c r="F394" s="12">
        <f t="shared" si="22"/>
        <v>330294267.25</v>
      </c>
      <c r="G394" s="339">
        <f t="shared" si="23"/>
        <v>0</v>
      </c>
      <c r="H394" s="339"/>
      <c r="I394" s="339"/>
    </row>
    <row r="395" spans="1:9" x14ac:dyDescent="0.35">
      <c r="A395" s="20" t="s">
        <v>11</v>
      </c>
      <c r="B395" s="46" t="s">
        <v>284</v>
      </c>
      <c r="C395" s="47">
        <f>18459745.95-0.95</f>
        <v>18459745</v>
      </c>
      <c r="D395" s="20"/>
      <c r="E395" s="20"/>
      <c r="F395" s="12">
        <f t="shared" si="22"/>
        <v>18459745</v>
      </c>
      <c r="G395" s="339">
        <f t="shared" si="23"/>
        <v>0</v>
      </c>
    </row>
    <row r="396" spans="1:9" x14ac:dyDescent="0.35">
      <c r="A396" s="20" t="s">
        <v>499</v>
      </c>
      <c r="B396" s="46" t="s">
        <v>284</v>
      </c>
      <c r="C396" s="47">
        <v>9460513.1500000004</v>
      </c>
      <c r="D396" s="20"/>
      <c r="E396" s="20"/>
      <c r="F396" s="12">
        <f t="shared" si="22"/>
        <v>9460513.1500000004</v>
      </c>
      <c r="G396" s="339">
        <f t="shared" si="23"/>
        <v>0</v>
      </c>
    </row>
    <row r="397" spans="1:9" x14ac:dyDescent="0.35">
      <c r="A397" s="20" t="s">
        <v>500</v>
      </c>
      <c r="B397" s="46" t="s">
        <v>284</v>
      </c>
      <c r="C397" s="47">
        <v>11325279.299999999</v>
      </c>
      <c r="D397" s="20"/>
      <c r="E397" s="20"/>
      <c r="G397" s="339"/>
    </row>
    <row r="398" spans="1:9" x14ac:dyDescent="0.35">
      <c r="A398" s="20" t="s">
        <v>501</v>
      </c>
      <c r="B398" s="46" t="s">
        <v>284</v>
      </c>
      <c r="C398" s="47">
        <v>7925890.3599999994</v>
      </c>
      <c r="D398" s="20"/>
      <c r="E398" s="20"/>
      <c r="G398" s="339"/>
    </row>
    <row r="399" spans="1:9" x14ac:dyDescent="0.35">
      <c r="A399" s="20" t="s">
        <v>502</v>
      </c>
      <c r="B399" s="46" t="s">
        <v>284</v>
      </c>
      <c r="C399" s="47">
        <v>9677520.3600000013</v>
      </c>
      <c r="D399" s="20"/>
      <c r="E399" s="20"/>
      <c r="F399" s="12">
        <f>CD83</f>
        <v>28928690.019999996</v>
      </c>
      <c r="G399" s="339">
        <f>SUM(C397:C399)-F399</f>
        <v>0</v>
      </c>
    </row>
    <row r="400" spans="1:9" x14ac:dyDescent="0.35">
      <c r="A400" s="32" t="s">
        <v>503</v>
      </c>
      <c r="B400" s="20"/>
      <c r="C400" s="20"/>
      <c r="D400" s="20"/>
      <c r="E400" s="20"/>
      <c r="G400" s="339"/>
    </row>
    <row r="401" spans="1:9" x14ac:dyDescent="0.35">
      <c r="A401" s="33" t="s">
        <v>255</v>
      </c>
      <c r="B401" s="40" t="s">
        <v>284</v>
      </c>
      <c r="C401" s="273"/>
      <c r="D401" s="32"/>
      <c r="E401" s="32"/>
      <c r="G401" s="339"/>
    </row>
    <row r="402" spans="1:9" x14ac:dyDescent="0.35">
      <c r="A402" s="33" t="s">
        <v>256</v>
      </c>
      <c r="B402" s="40" t="s">
        <v>284</v>
      </c>
      <c r="C402" s="273"/>
      <c r="D402" s="32"/>
      <c r="E402" s="32"/>
      <c r="G402" s="339"/>
    </row>
    <row r="403" spans="1:9" x14ac:dyDescent="0.35">
      <c r="A403" s="33" t="s">
        <v>504</v>
      </c>
      <c r="B403" s="40" t="s">
        <v>284</v>
      </c>
      <c r="C403" s="273"/>
      <c r="D403" s="32"/>
      <c r="E403" s="32"/>
      <c r="G403" s="339"/>
    </row>
    <row r="404" spans="1:9" x14ac:dyDescent="0.35">
      <c r="A404" s="33" t="s">
        <v>258</v>
      </c>
      <c r="B404" s="40" t="s">
        <v>284</v>
      </c>
      <c r="C404" s="273"/>
      <c r="D404" s="32"/>
      <c r="E404" s="32"/>
      <c r="G404" s="339"/>
    </row>
    <row r="405" spans="1:9" x14ac:dyDescent="0.35">
      <c r="A405" s="33" t="s">
        <v>259</v>
      </c>
      <c r="B405" s="40" t="s">
        <v>284</v>
      </c>
      <c r="C405" s="273"/>
      <c r="D405" s="32"/>
      <c r="E405" s="32"/>
      <c r="G405" s="339"/>
    </row>
    <row r="406" spans="1:9" x14ac:dyDescent="0.35">
      <c r="A406" s="33" t="s">
        <v>260</v>
      </c>
      <c r="B406" s="40" t="s">
        <v>284</v>
      </c>
      <c r="C406" s="273"/>
      <c r="D406" s="32"/>
      <c r="E406" s="32"/>
      <c r="G406" s="339"/>
    </row>
    <row r="407" spans="1:9" x14ac:dyDescent="0.35">
      <c r="A407" s="33" t="s">
        <v>261</v>
      </c>
      <c r="B407" s="40" t="s">
        <v>284</v>
      </c>
      <c r="C407" s="273"/>
      <c r="D407" s="32"/>
      <c r="E407" s="32"/>
      <c r="G407" s="339"/>
    </row>
    <row r="408" spans="1:9" x14ac:dyDescent="0.35">
      <c r="A408" s="33" t="s">
        <v>262</v>
      </c>
      <c r="B408" s="40" t="s">
        <v>284</v>
      </c>
      <c r="C408" s="273"/>
      <c r="D408" s="32"/>
      <c r="E408" s="32"/>
      <c r="G408" s="339"/>
    </row>
    <row r="409" spans="1:9" x14ac:dyDescent="0.35">
      <c r="A409" s="33" t="s">
        <v>263</v>
      </c>
      <c r="B409" s="40" t="s">
        <v>284</v>
      </c>
      <c r="C409" s="273"/>
      <c r="D409" s="32"/>
      <c r="E409" s="32"/>
      <c r="G409" s="339"/>
    </row>
    <row r="410" spans="1:9" x14ac:dyDescent="0.35">
      <c r="A410" s="33" t="s">
        <v>264</v>
      </c>
      <c r="B410" s="40" t="s">
        <v>284</v>
      </c>
      <c r="C410" s="273"/>
      <c r="D410" s="32"/>
      <c r="E410" s="32"/>
      <c r="G410" s="339"/>
    </row>
    <row r="411" spans="1:9" x14ac:dyDescent="0.35">
      <c r="A411" s="33" t="s">
        <v>265</v>
      </c>
      <c r="B411" s="40" t="s">
        <v>284</v>
      </c>
      <c r="C411" s="273"/>
      <c r="D411" s="32"/>
      <c r="E411" s="32"/>
      <c r="G411" s="339"/>
    </row>
    <row r="412" spans="1:9" x14ac:dyDescent="0.35">
      <c r="A412" s="33" t="s">
        <v>266</v>
      </c>
      <c r="B412" s="40" t="s">
        <v>284</v>
      </c>
      <c r="C412" s="273"/>
      <c r="D412" s="32"/>
      <c r="E412" s="32"/>
      <c r="G412" s="339"/>
    </row>
    <row r="413" spans="1:9" x14ac:dyDescent="0.35">
      <c r="A413" s="33" t="s">
        <v>267</v>
      </c>
      <c r="B413" s="40" t="s">
        <v>284</v>
      </c>
      <c r="C413" s="273"/>
      <c r="D413" s="32"/>
      <c r="E413" s="32"/>
      <c r="G413" s="339"/>
    </row>
    <row r="414" spans="1:9" x14ac:dyDescent="0.35">
      <c r="A414" s="33" t="s">
        <v>268</v>
      </c>
      <c r="B414" s="40" t="s">
        <v>284</v>
      </c>
      <c r="C414" s="236">
        <v>29332708.120000001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340">
        <f>CE83-CD83</f>
        <v>29332708.119999997</v>
      </c>
      <c r="G414" s="339">
        <f>F414-C414</f>
        <v>0</v>
      </c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29332708.120000001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1224278883.8699999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-45648986.629999876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-45648986.629999876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-45648986.629999876</v>
      </c>
      <c r="E424" s="20"/>
    </row>
    <row r="427" spans="1:13" x14ac:dyDescent="0.35">
      <c r="D427" s="339">
        <v>-45648991</v>
      </c>
      <c r="E427" s="12" t="s">
        <v>1374</v>
      </c>
      <c r="M427" s="64"/>
    </row>
    <row r="428" spans="1:13" x14ac:dyDescent="0.35">
      <c r="D428" s="339">
        <f>D427-D424</f>
        <v>-4.3700001239776611</v>
      </c>
      <c r="E428" s="12" t="s">
        <v>1375</v>
      </c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529296.56499999994</v>
      </c>
      <c r="E612" s="258">
        <f>SUM(C624:D647)+SUM(C668:D713)</f>
        <v>911497894.91840506</v>
      </c>
      <c r="F612" s="258">
        <f>CE64-(AX64+BD64+BE64+BG64+BJ64+BN64+BP64+BQ64+CB64+CC64+CD64)</f>
        <v>229192292.28000006</v>
      </c>
      <c r="G612" s="256">
        <f>CE91-(AX91+AY91+BD91+BE91+BG91+BJ91+BN91+BP91+BQ91+CB91+CC91+CD91)</f>
        <v>410155</v>
      </c>
      <c r="H612" s="261">
        <f>CE60-(AX60+AY60+AZ60+BD60+BE60+BG60+BJ60+BN60+BO60+BP60+BQ60+BR60+CB60+CC60+CD60)</f>
        <v>3280.0213557150651</v>
      </c>
      <c r="I612" s="256">
        <f>CE92-(AX92+AY92+AZ92+BD92+BE92+BF92+BG92+BJ92+BN92+BO92+BP92+BQ92+BR92+CB92+CC92+CD92)</f>
        <v>252886.40000000002</v>
      </c>
      <c r="J612" s="256">
        <f>CE93-(AX93+AY93+AZ93+BA93+BD93+BE93+BF93+BG93+BJ93+BN93+BO93+BP93+BQ93+BR93+CB93+CC93+CD93)</f>
        <v>3565405.709999999</v>
      </c>
      <c r="K612" s="256">
        <f>CE89-(AW89+AX89+AY89+AZ89+BA89+BB89+BC89+BD89+BE89+BF89+BG89+BH89+BI89+BJ89+BK89+BL89+BM89+BN89+BO89+BP89+BQ89+BR89+BS89+BT89+BU89+BV89+BW89+BX89+CB89+CC89+CD89)</f>
        <v>4209112755.7500005</v>
      </c>
      <c r="L612" s="262">
        <f>CE94-(AW94+AX94+AY94+AZ94+BA94+BB94+BC94+BD94+BE94+BF94+BG94+BH94+BI94+BJ94+BK94+BL94+BM94+BN94+BO94+BP94+BQ94+BR94+BS94+BT94+BU94+BV94+BW94+BX94+BY94+BZ94+CA94+CB94+CC94+CD94)</f>
        <v>1069.1162327302584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2578962.79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28928690.019999996</v>
      </c>
      <c r="D615" s="256">
        <f>SUM(C614:C615)</f>
        <v>31507652.809999995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17345970.449999999</v>
      </c>
      <c r="D619" s="256">
        <f>(D615/D612)*BN90</f>
        <v>596708.09965712298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269862265.75999999</v>
      </c>
      <c r="D620" s="256">
        <f>(D615/D612)*CC90</f>
        <v>212749.17193795822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288017693.48159504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773784.96</v>
      </c>
      <c r="D624" s="256">
        <f>(D615/D612)*BD90</f>
        <v>128995.89408684334</v>
      </c>
      <c r="E624" s="258">
        <f>(E623/E612)*SUM(C624:D624)</f>
        <v>285263.25816332584</v>
      </c>
      <c r="F624" s="258">
        <f>SUM(C624:E624)</f>
        <v>1188044.1122501693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1331600.8300000003</v>
      </c>
      <c r="D625" s="256">
        <f>(D615/D612)*AY90</f>
        <v>461570.16756756598</v>
      </c>
      <c r="E625" s="258">
        <f>(E623/E612)*SUM(C625:D625)</f>
        <v>566611.26439983048</v>
      </c>
      <c r="F625" s="258">
        <f>(F624/F612)*AY64</f>
        <v>2055.2813473837732</v>
      </c>
      <c r="G625" s="256">
        <f>SUM(C625:F625)</f>
        <v>2361837.5433147806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0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2048909.9200000002</v>
      </c>
      <c r="D629" s="256">
        <f>(D615/D612)*BF90</f>
        <v>119466.74654396292</v>
      </c>
      <c r="E629" s="258">
        <f>(E623/E612)*SUM(C629:D629)</f>
        <v>685169.81726349273</v>
      </c>
      <c r="F629" s="258">
        <f>(F624/F612)*BF64</f>
        <v>640.34024878879131</v>
      </c>
      <c r="G629" s="256">
        <f>(G625/G612)*BF91</f>
        <v>0</v>
      </c>
      <c r="H629" s="258">
        <f>(H628/H612)*BF60</f>
        <v>0</v>
      </c>
      <c r="I629" s="256">
        <f>SUM(C629:H629)</f>
        <v>2854186.8240562445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0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8890115.6900000013</v>
      </c>
      <c r="D631" s="256">
        <f>(D615/D612)*AW90</f>
        <v>50853.074481083771</v>
      </c>
      <c r="E631" s="258">
        <f>(E623/E612)*SUM(C631:D631)</f>
        <v>2825192.7024662518</v>
      </c>
      <c r="F631" s="258">
        <f>(F624/F612)*AW64</f>
        <v>268.09386499113299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3686208.1299999994</v>
      </c>
      <c r="D632" s="256">
        <f>(D615/D612)*BB90</f>
        <v>45986.11356712885</v>
      </c>
      <c r="E632" s="258">
        <f>(E623/E612)*SUM(C632:D632)</f>
        <v>1179309.3364781893</v>
      </c>
      <c r="F632" s="258">
        <f>(F624/F612)*BB64</f>
        <v>104.15231146201121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2281931.3500000006</v>
      </c>
      <c r="D633" s="256">
        <f>(D615/D612)*BC90</f>
        <v>0</v>
      </c>
      <c r="E633" s="258">
        <f>(E623/E612)*SUM(C633:D633)</f>
        <v>721051.14863614319</v>
      </c>
      <c r="F633" s="258">
        <f>(F624/F612)*BC64</f>
        <v>88.00473538894056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718100.73570400826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2562537.9</v>
      </c>
      <c r="D637" s="256">
        <f>(D615/D612)*BL90</f>
        <v>85288.489714751122</v>
      </c>
      <c r="E637" s="258">
        <f>(E623/E612)*SUM(C637:D637)</f>
        <v>836667.7024236127</v>
      </c>
      <c r="F637" s="258">
        <f>(F624/F612)*BL64</f>
        <v>168.67460675365228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0</v>
      </c>
      <c r="E642" s="258">
        <f>(E623/E612)*SUM(C642:D642)</f>
        <v>0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5842024.9500000002</v>
      </c>
      <c r="D644" s="256">
        <f>(D615/D612)*BX90</f>
        <v>150597.200061109</v>
      </c>
      <c r="E644" s="258">
        <f>(E623/E612)*SUM(C644:D644)</f>
        <v>1893565.7659657272</v>
      </c>
      <c r="F644" s="258">
        <f>(F624/F612)*BX64</f>
        <v>172.30743814996771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31770231.52245475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4344863.0399999991</v>
      </c>
      <c r="D645" s="256">
        <f>(D615/D612)*BY90</f>
        <v>29629.172276319983</v>
      </c>
      <c r="E645" s="258">
        <f>(E623/E612)*SUM(C645:D645)</f>
        <v>1382264.4727509888</v>
      </c>
      <c r="F645" s="258">
        <f>(F624/F612)*BY64</f>
        <v>64.782668165286481</v>
      </c>
      <c r="G645" s="256">
        <f>(G625/G612)*BY91</f>
        <v>0</v>
      </c>
      <c r="H645" s="258">
        <f>(H628/H612)*BY60</f>
        <v>0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3733842.9899999993</v>
      </c>
      <c r="D646" s="256">
        <f>(D615/D612)*BZ90</f>
        <v>22660.298570391627</v>
      </c>
      <c r="E646" s="258">
        <f>(E623/E612)*SUM(C646:D646)</f>
        <v>1186990.5775557749</v>
      </c>
      <c r="F646" s="258">
        <f>(F624/F612)*BZ64</f>
        <v>26.115041557349318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10700341.448863197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354211708.77999997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81221634.950000003</v>
      </c>
      <c r="D668" s="256">
        <f>(D615/D612)*C90</f>
        <v>5117465.9399692565</v>
      </c>
      <c r="E668" s="258">
        <f>(E623/E612)*SUM(C668:D668)</f>
        <v>27281674.301430747</v>
      </c>
      <c r="F668" s="258">
        <f>(F624/F612)*C64</f>
        <v>39115.230281957942</v>
      </c>
      <c r="G668" s="256">
        <f>(G625/G612)*C91</f>
        <v>397318.24996314378</v>
      </c>
      <c r="H668" s="258">
        <f>(H628/H612)*C60</f>
        <v>0</v>
      </c>
      <c r="I668" s="256">
        <f>(I629/I612)*C92</f>
        <v>298227.40374978213</v>
      </c>
      <c r="J668" s="256">
        <f>(J630/J612)*C93</f>
        <v>0</v>
      </c>
      <c r="K668" s="256">
        <f>(K644/K612)*C89</f>
        <v>2388423.5996897453</v>
      </c>
      <c r="L668" s="256">
        <f>(L647/L612)*C94</f>
        <v>3060614.7675012858</v>
      </c>
      <c r="M668" s="231">
        <f t="shared" ref="M668:M713" si="24">ROUND(SUM(D668:L668),0)</f>
        <v>38582839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29410089.060000002</v>
      </c>
      <c r="D669" s="256">
        <f>(D615/D612)*D90</f>
        <v>1848600.7510141644</v>
      </c>
      <c r="E669" s="258">
        <f>(E623/E612)*SUM(C669:D669)</f>
        <v>9877209.5808634497</v>
      </c>
      <c r="F669" s="258">
        <f>(F624/F612)*D64</f>
        <v>9335.245572369824</v>
      </c>
      <c r="G669" s="256">
        <f>(G625/G612)*D91</f>
        <v>170264.44266370381</v>
      </c>
      <c r="H669" s="258">
        <f>(H628/H612)*D60</f>
        <v>0</v>
      </c>
      <c r="I669" s="256">
        <f>(I629/I612)*D92</f>
        <v>20082.860659721879</v>
      </c>
      <c r="J669" s="256">
        <f>(J630/J612)*D93</f>
        <v>0</v>
      </c>
      <c r="K669" s="256">
        <f>(K644/K612)*D89</f>
        <v>716522.56125034764</v>
      </c>
      <c r="L669" s="256">
        <f>(L647/L612)*D94</f>
        <v>1001832.7009911281</v>
      </c>
      <c r="M669" s="231">
        <f t="shared" si="24"/>
        <v>13643848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42678869.960000001</v>
      </c>
      <c r="D670" s="256">
        <f>(D615/D612)*E90</f>
        <v>2475185.359329673</v>
      </c>
      <c r="E670" s="258">
        <f>(E623/E612)*SUM(C670:D670)</f>
        <v>14267906.636885725</v>
      </c>
      <c r="F670" s="258">
        <f>(F624/F612)*E64</f>
        <v>9905.8392734884201</v>
      </c>
      <c r="G670" s="256">
        <f>(G625/G612)*E91</f>
        <v>999232.53779971146</v>
      </c>
      <c r="H670" s="258">
        <f>(H628/H612)*E60</f>
        <v>0</v>
      </c>
      <c r="I670" s="256">
        <f>(I629/I612)*E92</f>
        <v>262615.71212028549</v>
      </c>
      <c r="J670" s="256">
        <f>(J630/J612)*E93</f>
        <v>0</v>
      </c>
      <c r="K670" s="256">
        <f>(K644/K612)*E89</f>
        <v>832884.61949982599</v>
      </c>
      <c r="L670" s="256">
        <f>(L647/L612)*E94</f>
        <v>1379728.6744952346</v>
      </c>
      <c r="M670" s="231">
        <f t="shared" si="24"/>
        <v>20227459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6245840.2699999996</v>
      </c>
      <c r="D671" s="256">
        <f>(D615/D612)*F90</f>
        <v>0</v>
      </c>
      <c r="E671" s="258">
        <f>(E623/E612)*SUM(C671:D671)</f>
        <v>1973578.3466410493</v>
      </c>
      <c r="F671" s="258">
        <f>(F624/F612)*F64</f>
        <v>1185.6107052134528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140266.98744027584</v>
      </c>
      <c r="L671" s="256">
        <f>(L647/L612)*F94</f>
        <v>256303.69487210139</v>
      </c>
      <c r="M671" s="231">
        <f t="shared" si="24"/>
        <v>2371335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24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8857909.3000000007</v>
      </c>
      <c r="D673" s="256">
        <f>(D615/D612)*H90</f>
        <v>894698.73465716559</v>
      </c>
      <c r="E673" s="258">
        <f>(E623/E612)*SUM(C673:D673)</f>
        <v>3081656.7841042313</v>
      </c>
      <c r="F673" s="258">
        <f>(F624/F612)*H64</f>
        <v>560.32387549655584</v>
      </c>
      <c r="G673" s="256">
        <f>(G625/G612)*H91</f>
        <v>247899.22404871648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343636.83994643361</v>
      </c>
      <c r="L673" s="256">
        <f>(L647/L612)*H94</f>
        <v>161337.22937905841</v>
      </c>
      <c r="M673" s="231">
        <f t="shared" si="24"/>
        <v>4729789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24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24"/>
        <v>0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24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24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24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24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19957112.779999997</v>
      </c>
      <c r="D680" s="256">
        <f>(D615/D612)*O90</f>
        <v>2706994.6121756448</v>
      </c>
      <c r="E680" s="258">
        <f>(E623/E612)*SUM(C680:D680)</f>
        <v>7161469.0196272321</v>
      </c>
      <c r="F680" s="258">
        <f>(F624/F612)*O64</f>
        <v>8375.5028663322173</v>
      </c>
      <c r="G680" s="256">
        <f>(G625/G612)*O91</f>
        <v>117972.39031558779</v>
      </c>
      <c r="H680" s="258">
        <f>(H628/H612)*O60</f>
        <v>0</v>
      </c>
      <c r="I680" s="256">
        <f>(I629/I612)*O92</f>
        <v>222296.13844645163</v>
      </c>
      <c r="J680" s="256">
        <f>(J630/J612)*O93</f>
        <v>0</v>
      </c>
      <c r="K680" s="256">
        <f>(K644/K612)*O89</f>
        <v>383616.1740386656</v>
      </c>
      <c r="L680" s="256">
        <f>(L647/L612)*O94</f>
        <v>559033.96262697445</v>
      </c>
      <c r="M680" s="231">
        <f t="shared" si="24"/>
        <v>11159758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119488459.50000001</v>
      </c>
      <c r="D681" s="256">
        <f>(D615/D612)*P90</f>
        <v>3365467.8746095807</v>
      </c>
      <c r="E681" s="258">
        <f>(E623/E612)*SUM(C681:D681)</f>
        <v>38819732.87580432</v>
      </c>
      <c r="F681" s="258">
        <f>(F624/F612)*P64</f>
        <v>312492.72521117999</v>
      </c>
      <c r="G681" s="256">
        <f>(G625/G612)*P91</f>
        <v>136733.26538993666</v>
      </c>
      <c r="H681" s="258">
        <f>(H628/H612)*P60</f>
        <v>0</v>
      </c>
      <c r="I681" s="256">
        <f>(I629/I612)*P92</f>
        <v>530062.38816842029</v>
      </c>
      <c r="J681" s="256">
        <f>(J630/J612)*P93</f>
        <v>0</v>
      </c>
      <c r="K681" s="256">
        <f>(K644/K612)*P89</f>
        <v>6289894.0380657725</v>
      </c>
      <c r="L681" s="256">
        <f>(L647/L612)*P94</f>
        <v>1004894.4713184012</v>
      </c>
      <c r="M681" s="231">
        <f t="shared" si="24"/>
        <v>50459278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>
        <f>(G625/G612)*Q91</f>
        <v>0</v>
      </c>
      <c r="H682" s="258">
        <f>(H628/H612)*Q60</f>
        <v>0</v>
      </c>
      <c r="I682" s="256">
        <f>(I629/I612)*Q92</f>
        <v>0</v>
      </c>
      <c r="J682" s="256">
        <f>(J630/J612)*Q93</f>
        <v>0</v>
      </c>
      <c r="K682" s="256">
        <f>(K644/K612)*Q89</f>
        <v>0</v>
      </c>
      <c r="L682" s="256">
        <f>(L647/L612)*Q94</f>
        <v>0</v>
      </c>
      <c r="M682" s="231">
        <f t="shared" si="24"/>
        <v>0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22394454.59</v>
      </c>
      <c r="D683" s="256">
        <f>(D615/D612)*R90</f>
        <v>802875.74273586378</v>
      </c>
      <c r="E683" s="258">
        <f>(E623/E612)*SUM(C683:D683)</f>
        <v>7329958.3187334873</v>
      </c>
      <c r="F683" s="258">
        <f>(F624/F612)*R64</f>
        <v>4387.6426118213521</v>
      </c>
      <c r="G683" s="256">
        <f>(G625/G612)*R91</f>
        <v>10509.084410892163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977070.82459531375</v>
      </c>
      <c r="L683" s="256">
        <f>(L647/L612)*R94</f>
        <v>709009.74713860045</v>
      </c>
      <c r="M683" s="231">
        <f t="shared" si="24"/>
        <v>9833811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-583015.46</v>
      </c>
      <c r="D684" s="256">
        <f>(D615/D612)*S90</f>
        <v>629833.43568586954</v>
      </c>
      <c r="E684" s="258">
        <f>(E623/E612)*SUM(C684:D684)</f>
        <v>14793.676919822883</v>
      </c>
      <c r="F684" s="258">
        <f>(F624/F612)*S64</f>
        <v>7665.9555802990526</v>
      </c>
      <c r="G684" s="256">
        <f>(G625/G612)*S91</f>
        <v>0</v>
      </c>
      <c r="H684" s="258">
        <f>(H628/H612)*S60</f>
        <v>0</v>
      </c>
      <c r="I684" s="256">
        <f>(I629/I612)*S92</f>
        <v>24883.054116693194</v>
      </c>
      <c r="J684" s="256">
        <f>(J630/J612)*S93</f>
        <v>0</v>
      </c>
      <c r="K684" s="256">
        <f>(K644/K612)*S89</f>
        <v>0</v>
      </c>
      <c r="L684" s="256">
        <f>(L647/L612)*S94</f>
        <v>149.09365107496328</v>
      </c>
      <c r="M684" s="231">
        <f t="shared" si="24"/>
        <v>677325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19901580.749999996</v>
      </c>
      <c r="D685" s="256">
        <f>(D615/D612)*T90</f>
        <v>51420.370683505382</v>
      </c>
      <c r="E685" s="258">
        <f>(E623/E612)*SUM(C685:D685)</f>
        <v>6304805.9604453435</v>
      </c>
      <c r="F685" s="258">
        <f>(F624/F612)*T64</f>
        <v>85879.265124365629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1098582.753534009</v>
      </c>
      <c r="L685" s="256">
        <f>(L647/L612)*T94</f>
        <v>137385.36072636902</v>
      </c>
      <c r="M685" s="231">
        <f t="shared" si="24"/>
        <v>7678074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106175921.75</v>
      </c>
      <c r="D686" s="256">
        <f>(D615/D612)*U90</f>
        <v>1276705.7586536228</v>
      </c>
      <c r="E686" s="258">
        <f>(E623/E612)*SUM(C686:D686)</f>
        <v>33953186.404615685</v>
      </c>
      <c r="F686" s="258">
        <f>(F624/F612)*U64</f>
        <v>101543.9295518065</v>
      </c>
      <c r="G686" s="256">
        <f>(G625/G612)*U91</f>
        <v>0</v>
      </c>
      <c r="H686" s="258">
        <f>(H628/H612)*U60</f>
        <v>0</v>
      </c>
      <c r="I686" s="256">
        <f>(I629/I612)*U92</f>
        <v>9569.6164430646131</v>
      </c>
      <c r="J686" s="256">
        <f>(J630/J612)*U93</f>
        <v>0</v>
      </c>
      <c r="K686" s="256">
        <f>(K644/K612)*U89</f>
        <v>2056086.8011637554</v>
      </c>
      <c r="L686" s="256">
        <f>(L647/L612)*U94</f>
        <v>0.47986369834232467</v>
      </c>
      <c r="M686" s="231">
        <f t="shared" si="24"/>
        <v>37397093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104998.17222464162</v>
      </c>
      <c r="L687" s="256">
        <f>(L647/L612)*V94</f>
        <v>0</v>
      </c>
      <c r="M687" s="231">
        <f t="shared" si="24"/>
        <v>104998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5883152.2999999998</v>
      </c>
      <c r="D688" s="256">
        <f>(D615/D612)*W90</f>
        <v>106161.77548381046</v>
      </c>
      <c r="E688" s="258">
        <f>(E623/E612)*SUM(C688:D688)</f>
        <v>1892520.4711658922</v>
      </c>
      <c r="F688" s="258">
        <f>(F624/F612)*W64</f>
        <v>4175.4643786839561</v>
      </c>
      <c r="G688" s="256">
        <f>(G625/G612)*W91</f>
        <v>0</v>
      </c>
      <c r="H688" s="258">
        <f>(H628/H612)*W60</f>
        <v>0</v>
      </c>
      <c r="I688" s="256">
        <f>(I629/I612)*W92</f>
        <v>56412.529943038993</v>
      </c>
      <c r="J688" s="256">
        <f>(J630/J612)*W93</f>
        <v>0</v>
      </c>
      <c r="K688" s="256">
        <f>(K644/K612)*W89</f>
        <v>804365.13707691256</v>
      </c>
      <c r="L688" s="256">
        <f>(L647/L612)*W94</f>
        <v>0</v>
      </c>
      <c r="M688" s="231">
        <f t="shared" si="24"/>
        <v>2863635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5472927.1799999997</v>
      </c>
      <c r="D689" s="256">
        <f>(D615/D612)*X90</f>
        <v>166549.05733749198</v>
      </c>
      <c r="E689" s="258">
        <f>(E623/E612)*SUM(C689:D689)</f>
        <v>1781977.7175323141</v>
      </c>
      <c r="F689" s="258">
        <f>(F624/F612)*X64</f>
        <v>4010.7445056848396</v>
      </c>
      <c r="G689" s="256">
        <f>(G625/G612)*X91</f>
        <v>0</v>
      </c>
      <c r="H689" s="258">
        <f>(H628/H612)*X60</f>
        <v>0</v>
      </c>
      <c r="I689" s="256">
        <f>(I629/I612)*X92</f>
        <v>0</v>
      </c>
      <c r="J689" s="256">
        <f>(J630/J612)*X93</f>
        <v>0</v>
      </c>
      <c r="K689" s="256">
        <f>(K644/K612)*X89</f>
        <v>1736633.4291493676</v>
      </c>
      <c r="L689" s="256">
        <f>(L647/L612)*X94</f>
        <v>0</v>
      </c>
      <c r="M689" s="231">
        <f t="shared" si="24"/>
        <v>3689171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34320557.979999997</v>
      </c>
      <c r="D690" s="256">
        <f>(D615/D612)*Y90</f>
        <v>1488953.233593259</v>
      </c>
      <c r="E690" s="258">
        <f>(E623/E612)*SUM(C690:D690)</f>
        <v>11315191.051939517</v>
      </c>
      <c r="F690" s="258">
        <f>(F624/F612)*Y64</f>
        <v>99999.057205649588</v>
      </c>
      <c r="G690" s="256">
        <f>(G625/G612)*Y91</f>
        <v>685.24988761433826</v>
      </c>
      <c r="H690" s="258">
        <f>(H628/H612)*Y60</f>
        <v>0</v>
      </c>
      <c r="I690" s="256">
        <f>(I629/I612)*Y92</f>
        <v>83808.505848103916</v>
      </c>
      <c r="J690" s="256">
        <f>(J630/J612)*Y93</f>
        <v>0</v>
      </c>
      <c r="K690" s="256">
        <f>(K644/K612)*Y89</f>
        <v>2208110.2480101208</v>
      </c>
      <c r="L690" s="256">
        <f>(L647/L612)*Y94</f>
        <v>138225.69803490609</v>
      </c>
      <c r="M690" s="231">
        <f t="shared" si="24"/>
        <v>15334973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14146604.99</v>
      </c>
      <c r="D691" s="256">
        <f>(D615/D612)*Z90</f>
        <v>1239851.7448150883</v>
      </c>
      <c r="E691" s="258">
        <f>(E623/E612)*SUM(C691:D691)</f>
        <v>4861856.2964563938</v>
      </c>
      <c r="F691" s="258">
        <f>(F624/F612)*Z64</f>
        <v>25217.850492504735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901186.16725875018</v>
      </c>
      <c r="L691" s="256">
        <f>(L647/L612)*Z94</f>
        <v>21571.024913363948</v>
      </c>
      <c r="M691" s="231">
        <f t="shared" si="24"/>
        <v>7049683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1574488.0999999999</v>
      </c>
      <c r="D692" s="256">
        <f>(D615/D612)*AA90</f>
        <v>101710.91115484263</v>
      </c>
      <c r="E692" s="258">
        <f>(E623/E612)*SUM(C692:D692)</f>
        <v>529650.12393381877</v>
      </c>
      <c r="F692" s="258">
        <f>(F624/F612)*AA64</f>
        <v>3299.5799842774222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>
        <f>(J630/J612)*AA93</f>
        <v>0</v>
      </c>
      <c r="K692" s="256">
        <f>(K644/K612)*AA89</f>
        <v>75090.367725273667</v>
      </c>
      <c r="L692" s="256">
        <f>(L647/L612)*AA94</f>
        <v>0</v>
      </c>
      <c r="M692" s="231">
        <f t="shared" si="24"/>
        <v>709751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95182263.949999988</v>
      </c>
      <c r="D693" s="256">
        <f>(D615/D612)*AB90</f>
        <v>799209.92586938676</v>
      </c>
      <c r="E693" s="258">
        <f>(E623/E612)*SUM(C693:D693)</f>
        <v>30328498.701762248</v>
      </c>
      <c r="F693" s="258">
        <f>(F624/F612)*AB64</f>
        <v>381540.85647089581</v>
      </c>
      <c r="G693" s="256">
        <f>(G625/G612)*AB91</f>
        <v>0</v>
      </c>
      <c r="H693" s="258">
        <f>(H628/H612)*AB60</f>
        <v>0</v>
      </c>
      <c r="I693" s="256">
        <f>(I629/I612)*AB92</f>
        <v>17026.327219171766</v>
      </c>
      <c r="J693" s="256">
        <f>(J630/J612)*AB93</f>
        <v>0</v>
      </c>
      <c r="K693" s="256">
        <f>(K644/K612)*AB89</f>
        <v>3244170.2569135795</v>
      </c>
      <c r="L693" s="256">
        <f>(L647/L612)*AB94</f>
        <v>0</v>
      </c>
      <c r="M693" s="231">
        <f t="shared" si="24"/>
        <v>34770446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10727623.799999999</v>
      </c>
      <c r="D694" s="256">
        <f>(D615/D612)*AC90</f>
        <v>137319.6116088384</v>
      </c>
      <c r="E694" s="258">
        <f>(E623/E612)*SUM(C694:D694)</f>
        <v>3433135.6755352202</v>
      </c>
      <c r="F694" s="258">
        <f>(F624/F612)*AC64</f>
        <v>8343.9922539914969</v>
      </c>
      <c r="G694" s="256">
        <f>(G625/G612)*AC91</f>
        <v>0</v>
      </c>
      <c r="H694" s="258">
        <f>(H628/H612)*AC60</f>
        <v>0</v>
      </c>
      <c r="I694" s="256">
        <f>(I629/I612)*AC92</f>
        <v>0</v>
      </c>
      <c r="J694" s="256">
        <f>(J630/J612)*AC93</f>
        <v>0</v>
      </c>
      <c r="K694" s="256">
        <f>(K644/K612)*AC89</f>
        <v>825158.04411002144</v>
      </c>
      <c r="L694" s="256">
        <f>(L647/L612)*AC94</f>
        <v>0</v>
      </c>
      <c r="M694" s="231">
        <f t="shared" si="24"/>
        <v>4403957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2628933.1500000004</v>
      </c>
      <c r="D695" s="256">
        <f>(D615/D612)*AD90</f>
        <v>19448.199611034881</v>
      </c>
      <c r="E695" s="258">
        <f>(E623/E612)*SUM(C695:D695)</f>
        <v>836843.06022772135</v>
      </c>
      <c r="F695" s="258">
        <f>(F624/F612)*AD64</f>
        <v>158.06380307809084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40990.305370255403</v>
      </c>
      <c r="L695" s="256">
        <f>(L647/L612)*AD94</f>
        <v>0</v>
      </c>
      <c r="M695" s="231">
        <f t="shared" si="24"/>
        <v>897440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3857823.2199999997</v>
      </c>
      <c r="D696" s="256">
        <f>(D615/D612)*AE90</f>
        <v>74048.524453340069</v>
      </c>
      <c r="E696" s="258">
        <f>(E623/E612)*SUM(C696:D696)</f>
        <v>1242404.0002904015</v>
      </c>
      <c r="F696" s="258">
        <f>(F624/F612)*AE64</f>
        <v>63.245053084469376</v>
      </c>
      <c r="G696" s="256">
        <f>(G625/G612)*AE91</f>
        <v>0</v>
      </c>
      <c r="H696" s="258">
        <f>(H628/H612)*AE60</f>
        <v>0</v>
      </c>
      <c r="I696" s="256">
        <f>(I629/I612)*AE92</f>
        <v>0</v>
      </c>
      <c r="J696" s="256">
        <f>(J630/J612)*AE93</f>
        <v>0</v>
      </c>
      <c r="K696" s="256">
        <f>(K644/K612)*AE89</f>
        <v>86099.9913432576</v>
      </c>
      <c r="L696" s="256">
        <f>(L647/L612)*AE94</f>
        <v>0</v>
      </c>
      <c r="M696" s="231">
        <f t="shared" si="24"/>
        <v>1402616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24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63174000.320000008</v>
      </c>
      <c r="D698" s="256">
        <f>(D615/D612)*AG90</f>
        <v>3034009.6209822684</v>
      </c>
      <c r="E698" s="258">
        <f>(E623/E612)*SUM(C698:D698)</f>
        <v>20920595.011264667</v>
      </c>
      <c r="F698" s="258">
        <f>(F624/F612)*AG64</f>
        <v>23643.684617060797</v>
      </c>
      <c r="G698" s="256">
        <f>(G625/G612)*AG91</f>
        <v>101301.81531858351</v>
      </c>
      <c r="H698" s="258">
        <f>(H628/H612)*AG60</f>
        <v>0</v>
      </c>
      <c r="I698" s="256">
        <f>(I629/I612)*AG92</f>
        <v>216818.99463016388</v>
      </c>
      <c r="J698" s="256">
        <f>(J630/J612)*AG93</f>
        <v>0</v>
      </c>
      <c r="K698" s="256">
        <f>(K644/K612)*AG89</f>
        <v>3767577.4289891189</v>
      </c>
      <c r="L698" s="256">
        <f>(L647/L612)*AG94</f>
        <v>1249032.3258055388</v>
      </c>
      <c r="M698" s="231">
        <f t="shared" si="24"/>
        <v>29312979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24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6057334.75</v>
      </c>
      <c r="D700" s="256">
        <f>(D615/D612)*AI90</f>
        <v>464687.14172823762</v>
      </c>
      <c r="E700" s="258">
        <f>(E623/E612)*SUM(C700:D700)</f>
        <v>2060846.9998278941</v>
      </c>
      <c r="F700" s="258">
        <f>(F624/F612)*AI64</f>
        <v>2108.9227209340429</v>
      </c>
      <c r="G700" s="256">
        <f>(G625/G612)*AI91</f>
        <v>63042.989660519117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91162.384375421287</v>
      </c>
      <c r="L700" s="256">
        <f>(L647/L612)*AI94</f>
        <v>223476.50718672131</v>
      </c>
      <c r="M700" s="231">
        <f t="shared" si="24"/>
        <v>2905325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80579608.25</v>
      </c>
      <c r="D701" s="256">
        <f>(D615/D612)*AJ90</f>
        <v>847501.83360239223</v>
      </c>
      <c r="E701" s="258">
        <f>(E623/E612)*SUM(C701:D701)</f>
        <v>25729569.49642818</v>
      </c>
      <c r="F701" s="258">
        <f>(F624/F612)*AJ64</f>
        <v>23008.840086455715</v>
      </c>
      <c r="G701" s="256">
        <f>(G625/G612)*AJ91</f>
        <v>57.584024169272119</v>
      </c>
      <c r="H701" s="258">
        <f>(H628/H612)*AJ60</f>
        <v>0</v>
      </c>
      <c r="I701" s="256">
        <f>(I629/I612)*AJ92</f>
        <v>124887.0844702623</v>
      </c>
      <c r="J701" s="256">
        <f>(J630/J612)*AJ93</f>
        <v>0</v>
      </c>
      <c r="K701" s="256">
        <f>(K644/K612)*AJ89</f>
        <v>1134729.4875375854</v>
      </c>
      <c r="L701" s="256">
        <f>(L647/L612)*AJ94</f>
        <v>321006.45254267886</v>
      </c>
      <c r="M701" s="231">
        <f t="shared" si="24"/>
        <v>28180761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157819.81999999998</v>
      </c>
      <c r="D702" s="256">
        <f>(D615/D612)*AK90</f>
        <v>0</v>
      </c>
      <c r="E702" s="258">
        <f>(E623/E612)*SUM(C702:D702)</f>
        <v>49868.3549303748</v>
      </c>
      <c r="F702" s="258">
        <f>(F624/F612)*AK64</f>
        <v>11.030987333488929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3709.5752196983103</v>
      </c>
      <c r="L702" s="256">
        <f>(L647/L612)*AK94</f>
        <v>0</v>
      </c>
      <c r="M702" s="231">
        <f t="shared" si="24"/>
        <v>53589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1037060.2600000001</v>
      </c>
      <c r="D703" s="256">
        <f>(D615/D612)*AL90</f>
        <v>0</v>
      </c>
      <c r="E703" s="258">
        <f>(E623/E612)*SUM(C703:D703)</f>
        <v>327693.24619598972</v>
      </c>
      <c r="F703" s="258">
        <f>(F624/F612)*AL64</f>
        <v>70.786121228021628</v>
      </c>
      <c r="G703" s="256">
        <f>(G625/G612)*AL91</f>
        <v>650.69947311277497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26524.738049359519</v>
      </c>
      <c r="L703" s="256">
        <f>(L647/L612)*AL94</f>
        <v>0</v>
      </c>
      <c r="M703" s="231">
        <f t="shared" si="24"/>
        <v>354939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24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24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24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12346133.560000001</v>
      </c>
      <c r="D707" s="256">
        <f>(D615/D612)*AP90</f>
        <v>0</v>
      </c>
      <c r="E707" s="258">
        <f>(E623/E612)*SUM(C707:D707)</f>
        <v>3901166.345189672</v>
      </c>
      <c r="F707" s="258">
        <f>(F624/F612)*AP64</f>
        <v>1985.4566308317428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194917.26223596258</v>
      </c>
      <c r="L707" s="256">
        <f>(L647/L612)*AP94</f>
        <v>25841.619883131385</v>
      </c>
      <c r="M707" s="231">
        <f t="shared" si="24"/>
        <v>4123911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24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24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24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24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24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52408690.539999999</v>
      </c>
      <c r="D713" s="256">
        <f>(D615/D612)*AV90</f>
        <v>1954448.2217814189</v>
      </c>
      <c r="E713" s="258">
        <f>(E623/E612)*SUM(C713:D713)</f>
        <v>17177818.97674026</v>
      </c>
      <c r="F713" s="258">
        <f>(F624/F612)*AV64</f>
        <v>26371.514021502921</v>
      </c>
      <c r="G713" s="256">
        <f>(G625/G612)*AV91</f>
        <v>116170.01035908957</v>
      </c>
      <c r="H713" s="258">
        <f>(H628/H612)*AV60</f>
        <v>0</v>
      </c>
      <c r="I713" s="256">
        <f>(I629/I612)*AV92</f>
        <v>269395.47253707622</v>
      </c>
      <c r="J713" s="256">
        <f>(J630/J612)*AV93</f>
        <v>0</v>
      </c>
      <c r="K713" s="256">
        <f>(K644/K612)*AV89</f>
        <v>1287182.3438674388</v>
      </c>
      <c r="L713" s="256">
        <f>(L647/L612)*AV94</f>
        <v>450897.63793292613</v>
      </c>
      <c r="M713" s="231">
        <f t="shared" si="24"/>
        <v>21282284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1199515588.4000001</v>
      </c>
      <c r="D715" s="231">
        <f>SUM(D616:D647)+SUM(D668:D713)</f>
        <v>31507652.809999987</v>
      </c>
      <c r="E715" s="231">
        <f>SUM(E624:E647)+SUM(E668:E713)</f>
        <v>288017693.48159498</v>
      </c>
      <c r="F715" s="231">
        <f>SUM(F625:F648)+SUM(F668:F713)</f>
        <v>1188044.112250169</v>
      </c>
      <c r="G715" s="231">
        <f>SUM(G626:G647)+SUM(G668:G713)</f>
        <v>2361837.543314781</v>
      </c>
      <c r="H715" s="231">
        <f>SUM(H629:H647)+SUM(H668:H713)</f>
        <v>0</v>
      </c>
      <c r="I715" s="231">
        <f>SUM(I630:I647)+SUM(I668:I713)</f>
        <v>2854186.8240562445</v>
      </c>
      <c r="J715" s="231">
        <f>SUM(J631:J647)+SUM(J668:J713)</f>
        <v>0</v>
      </c>
      <c r="K715" s="231">
        <f>SUM(K668:K713)</f>
        <v>31759590.538680911</v>
      </c>
      <c r="L715" s="231">
        <f>SUM(L668:L713)</f>
        <v>10700341.448863195</v>
      </c>
      <c r="M715" s="231">
        <f>SUM(M668:M713)</f>
        <v>354201067</v>
      </c>
      <c r="N715" s="250" t="s">
        <v>669</v>
      </c>
    </row>
    <row r="716" spans="1:14" s="231" customFormat="1" ht="12.65" customHeight="1" x14ac:dyDescent="0.3">
      <c r="C716" s="253">
        <f>CE85</f>
        <v>1199515588.4000001</v>
      </c>
      <c r="D716" s="231">
        <f>D615</f>
        <v>31507652.809999995</v>
      </c>
      <c r="E716" s="231">
        <f>E623</f>
        <v>288017693.48159504</v>
      </c>
      <c r="F716" s="231">
        <f>F624</f>
        <v>1188044.1122501693</v>
      </c>
      <c r="G716" s="231">
        <f>G625</f>
        <v>2361837.5433147806</v>
      </c>
      <c r="H716" s="231">
        <f>H628</f>
        <v>0</v>
      </c>
      <c r="I716" s="231">
        <f>I629</f>
        <v>2854186.8240562445</v>
      </c>
      <c r="J716" s="231">
        <f>J630</f>
        <v>0</v>
      </c>
      <c r="K716" s="231">
        <f>K644</f>
        <v>31770231.52245475</v>
      </c>
      <c r="L716" s="231">
        <f>L647</f>
        <v>10700341.448863197</v>
      </c>
      <c r="M716" s="231">
        <f>C648</f>
        <v>354211708.77999997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1D0B8898-4B2D-41FE-BAA8-D530E0608B12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Tacoma General / Allenmore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870572400.30999994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200245446.26999998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33537455.589999985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902115.91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29983123.039999995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3741000.4499999997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1071906630.3899999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5697062.54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3324681.27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632569057.88999999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35305496.079999998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197141673.91999999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14645373.650000002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517950571.38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370732773.96999991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917459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917459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1443556863.3599997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Tacoma General / Allenmore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7418810.96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89903.44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1100000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7297161.5500000007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15905875.950000001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227649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227649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0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0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1427423338.4100001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1427423338.4100001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1443556863.3599997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Tacoma General / Allenmore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1952218546.6499999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2256903198.0999999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4209121744.75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31575805.930000003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2963327322.6400003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60352014.409999996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3055255142.98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1153866601.77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24763295.469999991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24763295.469999991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1178629897.24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449281703.38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79415347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41301239.260000005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235047932.23000005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2756738.4599999986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330294267.25000006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18459745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9460513.1500000004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11325279.299999999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7925890.3599999994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9677520.3600000013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29332708.120000001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1224278883.8699999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-45648986.629999876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-45648986.629999876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-45648986.629999876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Tacoma General / Allenmore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46158</v>
      </c>
      <c r="D9" s="287">
        <f>data!D59</f>
        <v>23145</v>
      </c>
      <c r="E9" s="287">
        <f>data!E59</f>
        <v>40031</v>
      </c>
      <c r="F9" s="287">
        <f>data!F59</f>
        <v>3871</v>
      </c>
      <c r="G9" s="287">
        <f>data!G59</f>
        <v>0</v>
      </c>
      <c r="H9" s="287">
        <f>data!H59</f>
        <v>7884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450.38533623967322</v>
      </c>
      <c r="D10" s="294">
        <f>data!D60</f>
        <v>162.05442052574597</v>
      </c>
      <c r="E10" s="294">
        <f>data!E60</f>
        <v>238.28583489886495</v>
      </c>
      <c r="F10" s="294">
        <f>data!F60</f>
        <v>39.011958898765485</v>
      </c>
      <c r="G10" s="294">
        <f>data!G60</f>
        <v>0</v>
      </c>
      <c r="H10" s="294">
        <f>data!H60</f>
        <v>56.423183553914633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57903325.909999996</v>
      </c>
      <c r="D11" s="287">
        <f>data!D61</f>
        <v>21458249.379999999</v>
      </c>
      <c r="E11" s="287">
        <f>data!E61</f>
        <v>31057132.66</v>
      </c>
      <c r="F11" s="287">
        <f>data!F61</f>
        <v>4311428.29</v>
      </c>
      <c r="G11" s="287">
        <f>data!G61</f>
        <v>0</v>
      </c>
      <c r="H11" s="287">
        <f>data!H61</f>
        <v>5968595.5300000003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10649387</v>
      </c>
      <c r="D12" s="287">
        <f>data!D62</f>
        <v>3388825</v>
      </c>
      <c r="E12" s="287">
        <f>data!E62</f>
        <v>4816177</v>
      </c>
      <c r="F12" s="287">
        <f>data!F62</f>
        <v>1035594</v>
      </c>
      <c r="G12" s="287">
        <f>data!G62</f>
        <v>0</v>
      </c>
      <c r="H12" s="287">
        <f>data!H62</f>
        <v>1397982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181264.62000000002</v>
      </c>
      <c r="D13" s="287">
        <f>data!D63</f>
        <v>0</v>
      </c>
      <c r="E13" s="287">
        <f>data!E63</f>
        <v>0</v>
      </c>
      <c r="F13" s="287">
        <f>data!F63</f>
        <v>287287.96000000002</v>
      </c>
      <c r="G13" s="287">
        <f>data!G63</f>
        <v>0</v>
      </c>
      <c r="H13" s="287">
        <f>data!H63</f>
        <v>1070218.8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7545939.75</v>
      </c>
      <c r="D14" s="287">
        <f>data!D64</f>
        <v>1800914.89</v>
      </c>
      <c r="E14" s="287">
        <f>data!E64</f>
        <v>1910991.34</v>
      </c>
      <c r="F14" s="287">
        <f>data!F64</f>
        <v>228722.85</v>
      </c>
      <c r="G14" s="287">
        <f>data!G64</f>
        <v>0</v>
      </c>
      <c r="H14" s="287">
        <f>data!H64</f>
        <v>108095.24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315876.01</v>
      </c>
      <c r="D15" s="287">
        <f>data!D65</f>
        <v>125590.01000000001</v>
      </c>
      <c r="E15" s="287">
        <f>data!E65</f>
        <v>151169.11000000002</v>
      </c>
      <c r="F15" s="287">
        <f>data!F65</f>
        <v>0</v>
      </c>
      <c r="G15" s="287">
        <f>data!G65</f>
        <v>0</v>
      </c>
      <c r="H15" s="287">
        <f>data!H65</f>
        <v>55700.58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1377144.88</v>
      </c>
      <c r="D16" s="287">
        <f>data!D66</f>
        <v>1417954.32</v>
      </c>
      <c r="E16" s="287">
        <f>data!E66</f>
        <v>3207340.2</v>
      </c>
      <c r="F16" s="287">
        <f>data!F66</f>
        <v>364907.17</v>
      </c>
      <c r="G16" s="287">
        <f>data!G66</f>
        <v>0</v>
      </c>
      <c r="H16" s="287">
        <f>data!H66</f>
        <v>35633.339999999997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1805527</v>
      </c>
      <c r="D17" s="287">
        <f>data!D67</f>
        <v>669941</v>
      </c>
      <c r="E17" s="287">
        <f>data!E67</f>
        <v>653588</v>
      </c>
      <c r="F17" s="287">
        <f>data!F67</f>
        <v>0</v>
      </c>
      <c r="G17" s="287">
        <f>data!G67</f>
        <v>0</v>
      </c>
      <c r="H17" s="287">
        <f>data!H67</f>
        <v>235049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430846.98</v>
      </c>
      <c r="D18" s="287">
        <f>data!D68</f>
        <v>239902.34</v>
      </c>
      <c r="E18" s="287">
        <f>data!E68</f>
        <v>653927.61</v>
      </c>
      <c r="F18" s="287">
        <f>data!F68</f>
        <v>12900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1018782.4900000002</v>
      </c>
      <c r="D19" s="287">
        <f>data!D69</f>
        <v>308712.12000000005</v>
      </c>
      <c r="E19" s="287">
        <f>data!E69</f>
        <v>228544.04000000007</v>
      </c>
      <c r="F19" s="287">
        <f>data!F69</f>
        <v>5000</v>
      </c>
      <c r="G19" s="287">
        <f>data!G69</f>
        <v>0</v>
      </c>
      <c r="H19" s="287">
        <f>data!H69</f>
        <v>-3925.6000000000058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-6459.69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-9439.59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81221634.950000003</v>
      </c>
      <c r="D21" s="287">
        <f>data!D85</f>
        <v>29410089.060000002</v>
      </c>
      <c r="E21" s="287">
        <f>data!E85</f>
        <v>42678869.960000001</v>
      </c>
      <c r="F21" s="287">
        <f>data!F85</f>
        <v>6245840.2699999996</v>
      </c>
      <c r="G21" s="287">
        <f>data!G85</f>
        <v>0</v>
      </c>
      <c r="H21" s="287">
        <f>data!H85</f>
        <v>8857909.3000000007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38582839</v>
      </c>
      <c r="D23" s="295">
        <f>+data!M669</f>
        <v>13643848</v>
      </c>
      <c r="E23" s="295">
        <f>+data!M670</f>
        <v>20227459</v>
      </c>
      <c r="F23" s="295">
        <f>+data!M671</f>
        <v>2371335</v>
      </c>
      <c r="G23" s="295">
        <f>+data!M672</f>
        <v>0</v>
      </c>
      <c r="H23" s="295">
        <f>+data!M673</f>
        <v>4729789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315138808.02999997</v>
      </c>
      <c r="D24" s="287">
        <f>data!D87</f>
        <v>91998134.049999997</v>
      </c>
      <c r="E24" s="287">
        <f>data!E87</f>
        <v>107155903.13</v>
      </c>
      <c r="F24" s="287">
        <f>data!F87</f>
        <v>18536673.32</v>
      </c>
      <c r="G24" s="287">
        <f>data!G87</f>
        <v>0</v>
      </c>
      <c r="H24" s="287">
        <f>data!H87</f>
        <v>43871548.5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1294021</v>
      </c>
      <c r="D25" s="287">
        <f>data!D88</f>
        <v>2931116</v>
      </c>
      <c r="E25" s="287">
        <f>data!E88</f>
        <v>3189697.39</v>
      </c>
      <c r="F25" s="287">
        <f>data!F88</f>
        <v>46747</v>
      </c>
      <c r="G25" s="287">
        <f>data!G88</f>
        <v>0</v>
      </c>
      <c r="H25" s="287">
        <f>data!H88</f>
        <v>1655542.02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316432829.02999997</v>
      </c>
      <c r="D26" s="287">
        <f>data!D89</f>
        <v>94929250.049999997</v>
      </c>
      <c r="E26" s="287">
        <f>data!E89</f>
        <v>110345600.52</v>
      </c>
      <c r="F26" s="287">
        <f>data!F89</f>
        <v>18583420.32</v>
      </c>
      <c r="G26" s="287">
        <f>data!G89</f>
        <v>0</v>
      </c>
      <c r="H26" s="287">
        <f>data!H89</f>
        <v>45527090.520000003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85968.229999999923</v>
      </c>
      <c r="D28" s="287">
        <f>data!D90</f>
        <v>31054.614999999983</v>
      </c>
      <c r="E28" s="287">
        <f>data!E90</f>
        <v>41580.60000000002</v>
      </c>
      <c r="F28" s="287">
        <f>data!F90</f>
        <v>0</v>
      </c>
      <c r="G28" s="287">
        <f>data!G90</f>
        <v>0</v>
      </c>
      <c r="H28" s="287">
        <f>data!H90</f>
        <v>15030.029999999999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68998</v>
      </c>
      <c r="D29" s="287">
        <f>data!D91</f>
        <v>29568</v>
      </c>
      <c r="E29" s="287">
        <f>data!E91</f>
        <v>173526</v>
      </c>
      <c r="F29" s="287">
        <f>data!F91</f>
        <v>0</v>
      </c>
      <c r="G29" s="287">
        <f>data!G91</f>
        <v>0</v>
      </c>
      <c r="H29" s="287">
        <f>data!H91</f>
        <v>43050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26423.517157313712</v>
      </c>
      <c r="D30" s="287">
        <f>data!D92</f>
        <v>1779.3797838086477</v>
      </c>
      <c r="E30" s="287">
        <f>data!E92</f>
        <v>23268.253311867527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455930.24</v>
      </c>
      <c r="D31" s="287">
        <f>data!D93</f>
        <v>251980.63</v>
      </c>
      <c r="E31" s="287">
        <f>data!E93</f>
        <v>228494.89</v>
      </c>
      <c r="F31" s="287">
        <f>data!F93</f>
        <v>75756.259999999995</v>
      </c>
      <c r="G31" s="287">
        <f>data!G93</f>
        <v>0</v>
      </c>
      <c r="H31" s="287">
        <f>data!H93</f>
        <v>30168.27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305.7989266704385</v>
      </c>
      <c r="D32" s="294">
        <f>data!D94</f>
        <v>100.09732943834285</v>
      </c>
      <c r="E32" s="294">
        <f>data!E94</f>
        <v>137.85450957015692</v>
      </c>
      <c r="F32" s="294">
        <f>data!F94</f>
        <v>25.608382873204331</v>
      </c>
      <c r="G32" s="294">
        <f>data!G94</f>
        <v>0</v>
      </c>
      <c r="H32" s="294">
        <f>data!H94</f>
        <v>16.119882874504125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Tacoma General / Allenmore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2992340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85.490093823905468</v>
      </c>
      <c r="I42" s="294">
        <f>data!P60</f>
        <v>240.72030544647666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13896736.999999998</v>
      </c>
      <c r="I43" s="287">
        <f>data!P61</f>
        <v>28347769.02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1926766</v>
      </c>
      <c r="I44" s="287">
        <f>data!P62</f>
        <v>5615205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762746.07000000007</v>
      </c>
      <c r="I45" s="287">
        <f>data!P63</f>
        <v>10745422.24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1615765.5099999998</v>
      </c>
      <c r="I46" s="287">
        <f>data!P64</f>
        <v>60284734.609999999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205352.74999999997</v>
      </c>
      <c r="I47" s="287">
        <f>data!P65</f>
        <v>315973.68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601867.66</v>
      </c>
      <c r="I48" s="287">
        <f>data!P66</f>
        <v>8652762.1400000006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817432</v>
      </c>
      <c r="I49" s="287">
        <f>data!P67</f>
        <v>3142046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58538.95</v>
      </c>
      <c r="I50" s="287">
        <f>data!P68</f>
        <v>1701445.3399999999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98970.450000000041</v>
      </c>
      <c r="I51" s="287">
        <f>data!P69</f>
        <v>683101.46999999951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-27063.61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19957112.779999997</v>
      </c>
      <c r="I53" s="287">
        <f>data!P85</f>
        <v>119488459.50000001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11159758</v>
      </c>
      <c r="I55" s="295">
        <f>+data!M681</f>
        <v>50459278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40842430.82</v>
      </c>
      <c r="I56" s="287">
        <f>data!P87</f>
        <v>460555144.51999998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9981364.0999999996</v>
      </c>
      <c r="I57" s="287">
        <f>data!P88</f>
        <v>372768125.70000005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50823794.920000002</v>
      </c>
      <c r="I58" s="287">
        <f>data!P89</f>
        <v>833323270.22000003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45474.760000000017</v>
      </c>
      <c r="I60" s="287">
        <f>data!P90</f>
        <v>56536.441999999995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20487</v>
      </c>
      <c r="I61" s="287">
        <f>data!P91</f>
        <v>23745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19695.862132014721</v>
      </c>
      <c r="I62" s="287">
        <f>data!P92</f>
        <v>46964.539247930086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178325.38</v>
      </c>
      <c r="I63" s="287">
        <f>data!P93</f>
        <v>357548.79999999999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55.855440403307469</v>
      </c>
      <c r="I64" s="294">
        <f>data!P94</f>
        <v>100.40324382186257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Tacoma General / Allenmore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2843175</v>
      </c>
      <c r="E73" s="299"/>
      <c r="F73" s="299"/>
      <c r="G73" s="287">
        <f>data!U59</f>
        <v>0</v>
      </c>
      <c r="H73" s="287">
        <f>data!V59</f>
        <v>48639</v>
      </c>
      <c r="I73" s="287">
        <f>data!W59</f>
        <v>183872.96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109.61354656032692</v>
      </c>
      <c r="E74" s="294">
        <f>data!S60</f>
        <v>47.43912465103574</v>
      </c>
      <c r="F74" s="294">
        <f>data!T60</f>
        <v>20.593113010877655</v>
      </c>
      <c r="G74" s="294">
        <f>data!U60</f>
        <v>250.80218010262985</v>
      </c>
      <c r="H74" s="294">
        <f>data!V60</f>
        <v>0</v>
      </c>
      <c r="I74" s="294">
        <f>data!W60</f>
        <v>24.987363010275704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17675170.32</v>
      </c>
      <c r="E75" s="287">
        <f>data!S61</f>
        <v>3474679.37</v>
      </c>
      <c r="F75" s="287">
        <f>data!T61</f>
        <v>2687764.2199999997</v>
      </c>
      <c r="G75" s="287">
        <f>data!U61</f>
        <v>18719528.420000002</v>
      </c>
      <c r="H75" s="287">
        <f>data!V61</f>
        <v>0</v>
      </c>
      <c r="I75" s="287">
        <f>data!W61</f>
        <v>3206842.14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2243695</v>
      </c>
      <c r="E76" s="287">
        <f>data!S62</f>
        <v>1019507</v>
      </c>
      <c r="F76" s="287">
        <f>data!T62</f>
        <v>559492</v>
      </c>
      <c r="G76" s="287">
        <f>data!U62</f>
        <v>5606758</v>
      </c>
      <c r="H76" s="287">
        <f>data!V62</f>
        <v>0</v>
      </c>
      <c r="I76" s="287">
        <f>data!W62</f>
        <v>644498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846444.89</v>
      </c>
      <c r="E78" s="287">
        <f>data!S64</f>
        <v>1478882.74</v>
      </c>
      <c r="F78" s="287">
        <f>data!T64</f>
        <v>16567453.539999999</v>
      </c>
      <c r="G78" s="287">
        <f>data!U64</f>
        <v>19589412.330000002</v>
      </c>
      <c r="H78" s="287">
        <f>data!V64</f>
        <v>0</v>
      </c>
      <c r="I78" s="287">
        <f>data!W64</f>
        <v>805512.39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65766.16</v>
      </c>
      <c r="E79" s="287">
        <f>data!S65</f>
        <v>60935.47</v>
      </c>
      <c r="F79" s="287">
        <f>data!T65</f>
        <v>6715.4999999999991</v>
      </c>
      <c r="G79" s="287">
        <f>data!U65</f>
        <v>112033.60999999999</v>
      </c>
      <c r="H79" s="287">
        <f>data!V65</f>
        <v>0</v>
      </c>
      <c r="I79" s="287">
        <f>data!W65</f>
        <v>7007.5200000000013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911681.83</v>
      </c>
      <c r="E80" s="287">
        <f>data!S66</f>
        <v>-7112200.25</v>
      </c>
      <c r="F80" s="287">
        <f>data!T66</f>
        <v>28208.7</v>
      </c>
      <c r="G80" s="287">
        <f>data!U66</f>
        <v>78556242.920000002</v>
      </c>
      <c r="H80" s="287">
        <f>data!V66</f>
        <v>0</v>
      </c>
      <c r="I80" s="287">
        <f>data!W66</f>
        <v>965302.47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234947</v>
      </c>
      <c r="E81" s="287">
        <f>data!S67</f>
        <v>484953</v>
      </c>
      <c r="F81" s="287">
        <f>data!T67</f>
        <v>28343</v>
      </c>
      <c r="G81" s="287">
        <f>data!U67</f>
        <v>647187</v>
      </c>
      <c r="H81" s="287">
        <f>data!V67</f>
        <v>0</v>
      </c>
      <c r="I81" s="287">
        <f>data!W67</f>
        <v>236307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231474.26000000004</v>
      </c>
      <c r="E82" s="287">
        <f>data!S68</f>
        <v>0</v>
      </c>
      <c r="F82" s="287">
        <f>data!T68</f>
        <v>804.8</v>
      </c>
      <c r="G82" s="287">
        <f>data!U68</f>
        <v>213837.85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185275.13</v>
      </c>
      <c r="E83" s="287">
        <f>data!S69</f>
        <v>10227.210000000006</v>
      </c>
      <c r="F83" s="287">
        <f>data!T69</f>
        <v>22798.99000000002</v>
      </c>
      <c r="G83" s="287">
        <f>data!U69</f>
        <v>184500.97999999998</v>
      </c>
      <c r="H83" s="287">
        <f>data!V69</f>
        <v>0</v>
      </c>
      <c r="I83" s="287">
        <f>data!W69</f>
        <v>17682.780000000002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17453579.359999996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22394454.59</v>
      </c>
      <c r="E85" s="287">
        <f>data!S85</f>
        <v>-583015.46</v>
      </c>
      <c r="F85" s="287">
        <f>data!T85</f>
        <v>19901580.749999996</v>
      </c>
      <c r="G85" s="287">
        <f>data!U85</f>
        <v>106175921.75</v>
      </c>
      <c r="H85" s="287">
        <f>data!V85</f>
        <v>0</v>
      </c>
      <c r="I85" s="287">
        <f>data!W85</f>
        <v>5883152.2999999998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0</v>
      </c>
      <c r="D87" s="295">
        <f>+data!M683</f>
        <v>9833811</v>
      </c>
      <c r="E87" s="295">
        <f>+data!M684</f>
        <v>677325</v>
      </c>
      <c r="F87" s="295">
        <f>+data!M685</f>
        <v>7678074</v>
      </c>
      <c r="G87" s="295">
        <f>+data!M686</f>
        <v>37397093</v>
      </c>
      <c r="H87" s="295">
        <f>+data!M687</f>
        <v>104998</v>
      </c>
      <c r="I87" s="295">
        <f>+data!M688</f>
        <v>2863635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62083345.539999999</v>
      </c>
      <c r="E88" s="287">
        <f>data!S87</f>
        <v>0</v>
      </c>
      <c r="F88" s="287">
        <f>data!T87</f>
        <v>13656366.59</v>
      </c>
      <c r="G88" s="287">
        <f>data!U87</f>
        <v>70605319.950000003</v>
      </c>
      <c r="H88" s="287">
        <f>data!V87</f>
        <v>5344527</v>
      </c>
      <c r="I88" s="287">
        <f>data!W87</f>
        <v>21329852.530000001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67364917</v>
      </c>
      <c r="E89" s="287">
        <f>data!S88</f>
        <v>0</v>
      </c>
      <c r="F89" s="287">
        <f>data!T88</f>
        <v>131890532.48999998</v>
      </c>
      <c r="G89" s="287">
        <f>data!U88</f>
        <v>201797516.50999999</v>
      </c>
      <c r="H89" s="287">
        <f>data!V88</f>
        <v>8566267</v>
      </c>
      <c r="I89" s="287">
        <f>data!W88</f>
        <v>85237314.170000002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129448262.53999999</v>
      </c>
      <c r="E90" s="287">
        <f>data!S89</f>
        <v>0</v>
      </c>
      <c r="F90" s="287">
        <f>data!T89</f>
        <v>145546899.07999998</v>
      </c>
      <c r="G90" s="287">
        <f>data!U89</f>
        <v>272402836.45999998</v>
      </c>
      <c r="H90" s="287">
        <f>data!V89</f>
        <v>13910794</v>
      </c>
      <c r="I90" s="287">
        <f>data!W89</f>
        <v>106567166.7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13487.496999999996</v>
      </c>
      <c r="E92" s="287">
        <f>data!S90</f>
        <v>10580.562</v>
      </c>
      <c r="F92" s="287">
        <f>data!T90</f>
        <v>863.81000000000006</v>
      </c>
      <c r="G92" s="287">
        <f>data!U90</f>
        <v>21447.360000000001</v>
      </c>
      <c r="H92" s="287">
        <f>data!V90</f>
        <v>0</v>
      </c>
      <c r="I92" s="287">
        <f>data!W90</f>
        <v>1783.4099999999999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1825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2204.6860855565778</v>
      </c>
      <c r="F94" s="287">
        <f>data!T92</f>
        <v>0</v>
      </c>
      <c r="G94" s="287">
        <f>data!U92</f>
        <v>847.88628104875806</v>
      </c>
      <c r="H94" s="287">
        <f>data!V92</f>
        <v>0</v>
      </c>
      <c r="I94" s="287">
        <f>data!W92</f>
        <v>4998.2578196872137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90626.880000000005</v>
      </c>
      <c r="E95" s="287">
        <f>data!S93</f>
        <v>640524.85</v>
      </c>
      <c r="F95" s="287">
        <f>data!T93</f>
        <v>8837.4</v>
      </c>
      <c r="G95" s="287">
        <f>data!U93</f>
        <v>3346.8</v>
      </c>
      <c r="H95" s="287">
        <f>data!V93</f>
        <v>0</v>
      </c>
      <c r="I95" s="287">
        <f>data!W93</f>
        <v>3357.8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70.840153414953406</v>
      </c>
      <c r="E96" s="294">
        <f>data!S94</f>
        <v>1.4896575340425128E-2</v>
      </c>
      <c r="F96" s="294">
        <f>data!T94</f>
        <v>13.726750683051133</v>
      </c>
      <c r="G96" s="294">
        <f>data!U94</f>
        <v>4.7945205472883258E-5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Tacoma General / Allenmore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409970.73</v>
      </c>
      <c r="D105" s="287">
        <f>data!Y59</f>
        <v>258068.95</v>
      </c>
      <c r="E105" s="287">
        <f>data!Z59</f>
        <v>0</v>
      </c>
      <c r="F105" s="287">
        <f>data!AA59</f>
        <v>23006.350000000002</v>
      </c>
      <c r="G105" s="299"/>
      <c r="H105" s="287">
        <f>data!AC59</f>
        <v>238920.99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21.849972599746582</v>
      </c>
      <c r="D106" s="294">
        <f>data!Y60</f>
        <v>91.79309998742562</v>
      </c>
      <c r="E106" s="294">
        <f>data!Z60</f>
        <v>26.838642462076898</v>
      </c>
      <c r="F106" s="294">
        <f>data!AA60</f>
        <v>4.9075801363140297</v>
      </c>
      <c r="G106" s="294">
        <f>data!AB60</f>
        <v>139.12152395354499</v>
      </c>
      <c r="H106" s="294">
        <f>data!AC60</f>
        <v>62.856826018786741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2905594.6199999996</v>
      </c>
      <c r="D107" s="287">
        <f>data!Y61</f>
        <v>11381611.790000001</v>
      </c>
      <c r="E107" s="287">
        <f>data!Z61</f>
        <v>5080918.43</v>
      </c>
      <c r="F107" s="287">
        <f>data!AA61</f>
        <v>718622.97</v>
      </c>
      <c r="G107" s="287">
        <f>data!AB61</f>
        <v>16625370.6</v>
      </c>
      <c r="H107" s="287">
        <f>data!AC61</f>
        <v>7060330.4299999988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524610</v>
      </c>
      <c r="D108" s="287">
        <f>data!Y62</f>
        <v>2274409</v>
      </c>
      <c r="E108" s="287">
        <f>data!Z62</f>
        <v>786472</v>
      </c>
      <c r="F108" s="287">
        <f>data!AA62</f>
        <v>138073</v>
      </c>
      <c r="G108" s="287">
        <f>data!AB62</f>
        <v>3617673</v>
      </c>
      <c r="H108" s="287">
        <f>data!AC62</f>
        <v>1571501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209587.19000000003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773735.35000000009</v>
      </c>
      <c r="D110" s="287">
        <f>data!Y64</f>
        <v>19291382.289999999</v>
      </c>
      <c r="E110" s="287">
        <f>data!Z64</f>
        <v>4864917.8100000005</v>
      </c>
      <c r="F110" s="287">
        <f>data!AA64</f>
        <v>636540.59</v>
      </c>
      <c r="G110" s="287">
        <f>data!AB64</f>
        <v>73605199.159999996</v>
      </c>
      <c r="H110" s="287">
        <f>data!AC64</f>
        <v>1609686.6199999999</v>
      </c>
      <c r="I110" s="287">
        <f>data!AD64</f>
        <v>30492.98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11526.4</v>
      </c>
      <c r="D111" s="287">
        <f>data!Y65</f>
        <v>117657.56</v>
      </c>
      <c r="E111" s="287">
        <f>data!Z65</f>
        <v>75377.289999999994</v>
      </c>
      <c r="F111" s="287">
        <f>data!AA65</f>
        <v>7029.51</v>
      </c>
      <c r="G111" s="287">
        <f>data!AB65</f>
        <v>71320.399999999994</v>
      </c>
      <c r="H111" s="287">
        <f>data!AC65</f>
        <v>13246.2</v>
      </c>
      <c r="I111" s="287">
        <f>data!AD65</f>
        <v>1169.01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996739.68</v>
      </c>
      <c r="D112" s="287">
        <f>data!Y66</f>
        <v>-665046.12</v>
      </c>
      <c r="E112" s="287">
        <f>data!Z66</f>
        <v>2499096.79</v>
      </c>
      <c r="F112" s="287">
        <f>data!AA66</f>
        <v>49671.39</v>
      </c>
      <c r="G112" s="287">
        <f>data!AB66</f>
        <v>894844.77</v>
      </c>
      <c r="H112" s="287">
        <f>data!AC66</f>
        <v>65099.62</v>
      </c>
      <c r="I112" s="287">
        <f>data!AD66</f>
        <v>2592860.94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244322</v>
      </c>
      <c r="D113" s="287">
        <f>data!Y67</f>
        <v>1108165</v>
      </c>
      <c r="E113" s="287">
        <f>data!Z67</f>
        <v>841490</v>
      </c>
      <c r="F113" s="287">
        <f>data!AA67</f>
        <v>23282</v>
      </c>
      <c r="G113" s="287">
        <f>data!AB67</f>
        <v>322047</v>
      </c>
      <c r="H113" s="287">
        <f>data!AC67</f>
        <v>268029</v>
      </c>
      <c r="I113" s="287">
        <f>data!AD67</f>
        <v>4196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518373.94000000006</v>
      </c>
      <c r="E114" s="287">
        <f>data!Z68</f>
        <v>0</v>
      </c>
      <c r="F114" s="287">
        <f>data!AA68</f>
        <v>0</v>
      </c>
      <c r="G114" s="287">
        <f>data!AB68</f>
        <v>64613.7</v>
      </c>
      <c r="H114" s="287">
        <f>data!AC68</f>
        <v>17850.879999999997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16399.129999999997</v>
      </c>
      <c r="D115" s="287">
        <f>data!Y69</f>
        <v>86674.26999999996</v>
      </c>
      <c r="E115" s="287">
        <f>data!Z69</f>
        <v>-1667.3300000000017</v>
      </c>
      <c r="F115" s="287">
        <f>data!AA69</f>
        <v>1268.6399999999976</v>
      </c>
      <c r="G115" s="287">
        <f>data!AB69</f>
        <v>52472.020000000033</v>
      </c>
      <c r="H115" s="287">
        <f>data!AC69</f>
        <v>253203.65999999997</v>
      </c>
      <c r="I115" s="287">
        <f>data!AD69</f>
        <v>214.21999999999957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-2256.94</v>
      </c>
      <c r="E116" s="287">
        <f>-data!Z84</f>
        <v>0</v>
      </c>
      <c r="F116" s="287">
        <f>-data!AA84</f>
        <v>0</v>
      </c>
      <c r="G116" s="287">
        <f>-data!AB84</f>
        <v>-71276.7</v>
      </c>
      <c r="H116" s="287">
        <f>-data!AC84</f>
        <v>-131323.61000000002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5472927.1799999997</v>
      </c>
      <c r="D117" s="287">
        <f>data!Y85</f>
        <v>34320557.979999997</v>
      </c>
      <c r="E117" s="287">
        <f>data!Z85</f>
        <v>14146604.99</v>
      </c>
      <c r="F117" s="287">
        <f>data!AA85</f>
        <v>1574488.0999999999</v>
      </c>
      <c r="G117" s="287">
        <f>data!AB85</f>
        <v>95182263.949999988</v>
      </c>
      <c r="H117" s="287">
        <f>data!AC85</f>
        <v>10727623.799999999</v>
      </c>
      <c r="I117" s="287">
        <f>data!AD85</f>
        <v>2628933.1500000004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3689171</v>
      </c>
      <c r="D119" s="295">
        <f>+data!M690</f>
        <v>15334973</v>
      </c>
      <c r="E119" s="295">
        <f>+data!M691</f>
        <v>7049683</v>
      </c>
      <c r="F119" s="295">
        <f>+data!M692</f>
        <v>709751</v>
      </c>
      <c r="G119" s="295">
        <f>+data!M693</f>
        <v>34770446</v>
      </c>
      <c r="H119" s="295">
        <f>+data!M694</f>
        <v>4403957</v>
      </c>
      <c r="I119" s="295">
        <f>+data!M695</f>
        <v>897440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86473234.859999999</v>
      </c>
      <c r="D120" s="287">
        <f>data!Y87</f>
        <v>110956468.40000001</v>
      </c>
      <c r="E120" s="287">
        <f>data!Z87</f>
        <v>40589426.200000003</v>
      </c>
      <c r="F120" s="287">
        <f>data!AA87</f>
        <v>3484403.9899999993</v>
      </c>
      <c r="G120" s="287">
        <f>data!AB87</f>
        <v>138305438.89000002</v>
      </c>
      <c r="H120" s="287">
        <f>data!AC87</f>
        <v>108072312.00000001</v>
      </c>
      <c r="I120" s="287">
        <f>data!AD87</f>
        <v>5331252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143606483.43000001</v>
      </c>
      <c r="D121" s="287">
        <f>data!Y88</f>
        <v>181587355.34999999</v>
      </c>
      <c r="E121" s="287">
        <f>data!Z88</f>
        <v>78805177.180000007</v>
      </c>
      <c r="F121" s="287">
        <f>data!AA88</f>
        <v>6464022.8700000001</v>
      </c>
      <c r="G121" s="287">
        <f>data!AB88</f>
        <v>291501891.93000001</v>
      </c>
      <c r="H121" s="287">
        <f>data!AC88</f>
        <v>1249625</v>
      </c>
      <c r="I121" s="287">
        <f>data!AD88</f>
        <v>99392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230079718.29000002</v>
      </c>
      <c r="D122" s="287">
        <f>data!Y89</f>
        <v>292543823.75</v>
      </c>
      <c r="E122" s="287">
        <f>data!Z89</f>
        <v>119394603.38000001</v>
      </c>
      <c r="F122" s="287">
        <f>data!AA89</f>
        <v>9948426.8599999994</v>
      </c>
      <c r="G122" s="287">
        <f>data!AB89</f>
        <v>429807330.82000005</v>
      </c>
      <c r="H122" s="287">
        <f>data!AC89</f>
        <v>109321937.00000001</v>
      </c>
      <c r="I122" s="287">
        <f>data!AD89</f>
        <v>5430644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2797.855</v>
      </c>
      <c r="D124" s="287">
        <f>data!Y90</f>
        <v>25012.902000000002</v>
      </c>
      <c r="E124" s="287">
        <f>data!Z90</f>
        <v>20828.250000000011</v>
      </c>
      <c r="F124" s="287">
        <f>data!AA90</f>
        <v>1708.6399999999999</v>
      </c>
      <c r="G124" s="287">
        <f>data!AB90</f>
        <v>13425.914999999997</v>
      </c>
      <c r="H124" s="287">
        <f>data!AC90</f>
        <v>2306.83</v>
      </c>
      <c r="I124" s="287">
        <f>data!AD90</f>
        <v>326.70999999999998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119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7425.5935717571301</v>
      </c>
      <c r="E126" s="287">
        <f>data!Z92</f>
        <v>0</v>
      </c>
      <c r="F126" s="287">
        <f>data!AA92</f>
        <v>0</v>
      </c>
      <c r="G126" s="287">
        <f>data!AB92</f>
        <v>1508.5650873965042</v>
      </c>
      <c r="H126" s="287">
        <f>data!AC92</f>
        <v>0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177359.74</v>
      </c>
      <c r="D127" s="287">
        <f>data!Y93</f>
        <v>195593.82</v>
      </c>
      <c r="E127" s="287">
        <f>data!Z93</f>
        <v>51787.070000000007</v>
      </c>
      <c r="F127" s="287">
        <f>data!AA93</f>
        <v>0</v>
      </c>
      <c r="G127" s="287">
        <f>data!AB93</f>
        <v>15809.85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13.810712326875247</v>
      </c>
      <c r="E128" s="294">
        <f>data!Z94</f>
        <v>2.1552520544992806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Tacoma General / Allenmore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128990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30182</v>
      </c>
      <c r="I137" s="287">
        <f>data!AK59</f>
        <v>3995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29.65032670826708</v>
      </c>
      <c r="D138" s="294">
        <f>data!AF60</f>
        <v>0</v>
      </c>
      <c r="E138" s="294">
        <f>data!AG60</f>
        <v>240.08605750135808</v>
      </c>
      <c r="F138" s="294">
        <f>data!AH60</f>
        <v>0</v>
      </c>
      <c r="G138" s="294">
        <f>data!AI60</f>
        <v>31.53982807787126</v>
      </c>
      <c r="H138" s="294">
        <f>data!AJ60</f>
        <v>349.93991022603564</v>
      </c>
      <c r="I138" s="294">
        <f>data!AK60</f>
        <v>1.0865006847826713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3054895.21</v>
      </c>
      <c r="D139" s="287">
        <f>data!AF61</f>
        <v>0</v>
      </c>
      <c r="E139" s="287">
        <f>data!AG61</f>
        <v>35317722.530000001</v>
      </c>
      <c r="F139" s="287">
        <f>data!AH61</f>
        <v>0</v>
      </c>
      <c r="G139" s="287">
        <f>data!AI61</f>
        <v>4456484.8900000006</v>
      </c>
      <c r="H139" s="287">
        <f>data!AJ61</f>
        <v>59620586.32</v>
      </c>
      <c r="I139" s="287">
        <f>data!AK61</f>
        <v>125491.81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722838</v>
      </c>
      <c r="D140" s="287">
        <f>data!AF62</f>
        <v>0</v>
      </c>
      <c r="E140" s="287">
        <f>data!AG62</f>
        <v>4389703</v>
      </c>
      <c r="F140" s="287">
        <f>data!AH62</f>
        <v>0</v>
      </c>
      <c r="G140" s="287">
        <f>data!AI62</f>
        <v>752587</v>
      </c>
      <c r="H140" s="287">
        <f>data!AJ62</f>
        <v>9684878</v>
      </c>
      <c r="I140" s="287">
        <f>data!AK62</f>
        <v>28386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7048673.6100000003</v>
      </c>
      <c r="F141" s="287">
        <f>data!AH63</f>
        <v>0</v>
      </c>
      <c r="G141" s="287">
        <f>data!AI63</f>
        <v>0</v>
      </c>
      <c r="H141" s="287">
        <f>data!AJ63</f>
        <v>-1766.16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12200.96</v>
      </c>
      <c r="D142" s="287">
        <f>data!AF64</f>
        <v>0</v>
      </c>
      <c r="E142" s="287">
        <f>data!AG64</f>
        <v>4561236.59</v>
      </c>
      <c r="F142" s="287">
        <f>data!AH64</f>
        <v>0</v>
      </c>
      <c r="G142" s="287">
        <f>data!AI64</f>
        <v>406844.18000000005</v>
      </c>
      <c r="H142" s="287">
        <f>data!AJ64</f>
        <v>4438765.1500000004</v>
      </c>
      <c r="I142" s="287">
        <f>data!AK64</f>
        <v>2128.0500000000002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10674.29</v>
      </c>
      <c r="D143" s="287">
        <f>data!AF65</f>
        <v>0</v>
      </c>
      <c r="E143" s="287">
        <f>data!AG65</f>
        <v>282944.07</v>
      </c>
      <c r="F143" s="287">
        <f>data!AH65</f>
        <v>0</v>
      </c>
      <c r="G143" s="287">
        <f>data!AI65</f>
        <v>37352.76</v>
      </c>
      <c r="H143" s="287">
        <f>data!AJ65</f>
        <v>164551.60999999999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1366.23</v>
      </c>
      <c r="D144" s="287">
        <f>data!AF66</f>
        <v>0</v>
      </c>
      <c r="E144" s="287">
        <f>data!AG66</f>
        <v>8437636.8200000003</v>
      </c>
      <c r="F144" s="287">
        <f>data!AH66</f>
        <v>0</v>
      </c>
      <c r="G144" s="287">
        <f>data!AI66</f>
        <v>138212.72</v>
      </c>
      <c r="H144" s="287">
        <f>data!AJ66</f>
        <v>2331727.0699999998</v>
      </c>
      <c r="I144" s="287">
        <f>data!AK66</f>
        <v>7543.28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52247</v>
      </c>
      <c r="D145" s="287">
        <f>data!AF67</f>
        <v>0</v>
      </c>
      <c r="E145" s="287">
        <f>data!AG67</f>
        <v>1391732</v>
      </c>
      <c r="F145" s="287">
        <f>data!AH67</f>
        <v>0</v>
      </c>
      <c r="G145" s="287">
        <f>data!AI67</f>
        <v>153833</v>
      </c>
      <c r="H145" s="287">
        <f>data!AJ67</f>
        <v>1721183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1125166.8400000001</v>
      </c>
      <c r="F146" s="287">
        <f>data!AH68</f>
        <v>0</v>
      </c>
      <c r="G146" s="287">
        <f>data!AI68</f>
        <v>40372.5</v>
      </c>
      <c r="H146" s="287">
        <f>data!AJ68</f>
        <v>2723021.44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3878.4599999999919</v>
      </c>
      <c r="D147" s="287">
        <f>data!AF69</f>
        <v>0</v>
      </c>
      <c r="E147" s="287">
        <f>data!AG69</f>
        <v>627653.8600000001</v>
      </c>
      <c r="F147" s="287">
        <f>data!AH69</f>
        <v>0</v>
      </c>
      <c r="G147" s="287">
        <f>data!AI69</f>
        <v>71647.699999999983</v>
      </c>
      <c r="H147" s="287">
        <f>data!AJ69</f>
        <v>421454.04000000015</v>
      </c>
      <c r="I147" s="287">
        <f>data!AK69</f>
        <v>61.429999999999836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-276.93</v>
      </c>
      <c r="D148" s="287">
        <f>-data!AF84</f>
        <v>0</v>
      </c>
      <c r="E148" s="287">
        <f>-data!AG84</f>
        <v>-8469</v>
      </c>
      <c r="F148" s="287">
        <f>-data!AH84</f>
        <v>0</v>
      </c>
      <c r="G148" s="287">
        <f>-data!AI84</f>
        <v>0</v>
      </c>
      <c r="H148" s="287">
        <f>-data!AJ84</f>
        <v>-524792.22</v>
      </c>
      <c r="I148" s="287">
        <f>-data!AK84</f>
        <v>-5790.75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3857823.2199999997</v>
      </c>
      <c r="D149" s="287">
        <f>data!AF85</f>
        <v>0</v>
      </c>
      <c r="E149" s="287">
        <f>data!AG85</f>
        <v>63174000.320000008</v>
      </c>
      <c r="F149" s="287">
        <f>data!AH85</f>
        <v>0</v>
      </c>
      <c r="G149" s="287">
        <f>data!AI85</f>
        <v>6057334.75</v>
      </c>
      <c r="H149" s="287">
        <f>data!AJ85</f>
        <v>80579608.25</v>
      </c>
      <c r="I149" s="287">
        <f>data!AK85</f>
        <v>157819.81999999998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1402616</v>
      </c>
      <c r="D151" s="295">
        <f>+data!M697</f>
        <v>0</v>
      </c>
      <c r="E151" s="295">
        <f>+data!M698</f>
        <v>29312979</v>
      </c>
      <c r="F151" s="295">
        <f>+data!M699</f>
        <v>0</v>
      </c>
      <c r="G151" s="295">
        <f>+data!M700</f>
        <v>2905325</v>
      </c>
      <c r="H151" s="295">
        <f>+data!M701</f>
        <v>28180761</v>
      </c>
      <c r="I151" s="295">
        <f>+data!M702</f>
        <v>53589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10348748</v>
      </c>
      <c r="D152" s="287">
        <f>data!AF87</f>
        <v>0</v>
      </c>
      <c r="E152" s="287">
        <f>data!AG87</f>
        <v>123797815.88</v>
      </c>
      <c r="F152" s="287">
        <f>data!AH87</f>
        <v>0</v>
      </c>
      <c r="G152" s="287">
        <f>data!AI87</f>
        <v>11520850</v>
      </c>
      <c r="H152" s="287">
        <f>data!AJ87</f>
        <v>7311656</v>
      </c>
      <c r="I152" s="287">
        <f>data!AK87</f>
        <v>28747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1058300.5</v>
      </c>
      <c r="D153" s="287">
        <f>data!AF88</f>
        <v>0</v>
      </c>
      <c r="E153" s="287">
        <f>data!AG88</f>
        <v>375353668.22000003</v>
      </c>
      <c r="F153" s="287">
        <f>data!AH88</f>
        <v>0</v>
      </c>
      <c r="G153" s="287">
        <f>data!AI88</f>
        <v>556895</v>
      </c>
      <c r="H153" s="287">
        <f>data!AJ88</f>
        <v>143024181.40000001</v>
      </c>
      <c r="I153" s="287">
        <f>data!AK88</f>
        <v>462720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11407048.5</v>
      </c>
      <c r="D154" s="287">
        <f>data!AF89</f>
        <v>0</v>
      </c>
      <c r="E154" s="287">
        <f>data!AG89</f>
        <v>499151484.10000002</v>
      </c>
      <c r="F154" s="287">
        <f>data!AH89</f>
        <v>0</v>
      </c>
      <c r="G154" s="287">
        <f>data!AI89</f>
        <v>12077745</v>
      </c>
      <c r="H154" s="287">
        <f>data!AJ89</f>
        <v>150335837.40000001</v>
      </c>
      <c r="I154" s="287">
        <f>data!AK89</f>
        <v>491467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1243.94</v>
      </c>
      <c r="D156" s="287">
        <f>data!AF90</f>
        <v>0</v>
      </c>
      <c r="E156" s="287">
        <f>data!AG90</f>
        <v>50968.28</v>
      </c>
      <c r="F156" s="287">
        <f>data!AH90</f>
        <v>0</v>
      </c>
      <c r="G156" s="287">
        <f>data!AI90</f>
        <v>7806.2720000000008</v>
      </c>
      <c r="H156" s="287">
        <f>data!AJ90</f>
        <v>14237.170000000004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17592</v>
      </c>
      <c r="F157" s="287">
        <f>data!AH91</f>
        <v>0</v>
      </c>
      <c r="G157" s="287">
        <f>data!AI91</f>
        <v>10948</v>
      </c>
      <c r="H157" s="287">
        <f>data!AJ91</f>
        <v>10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0</v>
      </c>
      <c r="D158" s="287">
        <f>data!AF92</f>
        <v>0</v>
      </c>
      <c r="E158" s="287">
        <f>data!AG92</f>
        <v>19210.576736430547</v>
      </c>
      <c r="F158" s="287">
        <f>data!AH92</f>
        <v>0</v>
      </c>
      <c r="G158" s="287">
        <f>data!AI92</f>
        <v>0</v>
      </c>
      <c r="H158" s="287">
        <f>data!AJ92</f>
        <v>11065.234038638455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6</v>
      </c>
      <c r="D159" s="287">
        <f>data!AF93</f>
        <v>0</v>
      </c>
      <c r="E159" s="287">
        <f>data!AG93</f>
        <v>577013.46</v>
      </c>
      <c r="F159" s="287">
        <f>data!AH93</f>
        <v>0</v>
      </c>
      <c r="G159" s="287">
        <f>data!AI93</f>
        <v>79263.039999999994</v>
      </c>
      <c r="H159" s="287">
        <f>data!AJ93</f>
        <v>74319.78</v>
      </c>
      <c r="I159" s="287">
        <f>data!AK93</f>
        <v>1232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124.79608628427451</v>
      </c>
      <c r="F160" s="294">
        <f>data!AH94</f>
        <v>0</v>
      </c>
      <c r="G160" s="294">
        <f>data!AI94</f>
        <v>22.328480133927606</v>
      </c>
      <c r="H160" s="294">
        <f>data!AJ94</f>
        <v>32.073108214784504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Tacoma General / Allenmore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33552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6.588385615535838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46.389958897754802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841595.12000000011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9954967.9499999993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178796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1322219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13655.75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383025.64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1158.3599999999999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11746.51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49912.93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1666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106079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554386.72000000009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189.02999999999952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31462.490000000005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1037060.2600000001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12346133.560000001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354939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4123911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2775356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738801.99999999988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25823819.829999998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3514158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25823819.829999998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113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9830.7799999999988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2.581945205125761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Tacoma General / Allenmore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410155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222.70054585990405</v>
      </c>
      <c r="G202" s="294">
        <f>data!AW60</f>
        <v>109.31603217680605</v>
      </c>
      <c r="H202" s="294">
        <f>data!AX60</f>
        <v>0</v>
      </c>
      <c r="I202" s="294">
        <f>data!AY60</f>
        <v>13.353430135157064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37443335.850000001</v>
      </c>
      <c r="G203" s="287">
        <f>data!AW61</f>
        <v>10491022.85</v>
      </c>
      <c r="H203" s="287">
        <f>data!AX61</f>
        <v>0</v>
      </c>
      <c r="I203" s="287">
        <f>data!AY61</f>
        <v>789728.76000000013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6161240</v>
      </c>
      <c r="G204" s="287">
        <f>data!AW62</f>
        <v>2726917</v>
      </c>
      <c r="H204" s="287">
        <f>data!AX62</f>
        <v>0</v>
      </c>
      <c r="I204" s="287">
        <f>data!AY62</f>
        <v>291080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1859999.73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5087477.5500000007</v>
      </c>
      <c r="G206" s="287">
        <f>data!AW64</f>
        <v>51719.5</v>
      </c>
      <c r="H206" s="287">
        <f>data!AX64</f>
        <v>0</v>
      </c>
      <c r="I206" s="287">
        <f>data!AY64</f>
        <v>396495.92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208217.02000000002</v>
      </c>
      <c r="G207" s="287">
        <f>data!AW65</f>
        <v>18538.23</v>
      </c>
      <c r="H207" s="287">
        <f>data!AX65</f>
        <v>0</v>
      </c>
      <c r="I207" s="287">
        <f>data!AY65</f>
        <v>38951.800000000003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-860276.58</v>
      </c>
      <c r="G208" s="287">
        <f>data!AW66</f>
        <v>-2910155.25</v>
      </c>
      <c r="H208" s="287">
        <f>data!AX66</f>
        <v>0</v>
      </c>
      <c r="I208" s="287">
        <f>data!AY66</f>
        <v>15207.68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1459779</v>
      </c>
      <c r="G209" s="287">
        <f>data!AW67</f>
        <v>45446</v>
      </c>
      <c r="H209" s="287">
        <f>data!AX67</f>
        <v>0</v>
      </c>
      <c r="I209" s="287">
        <f>data!AY67</f>
        <v>142593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781206.32999999984</v>
      </c>
      <c r="G210" s="287">
        <f>data!AW68</f>
        <v>14280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441988.18000000005</v>
      </c>
      <c r="G211" s="287">
        <f>data!AW69</f>
        <v>206970.21</v>
      </c>
      <c r="H211" s="287">
        <f>data!AX69</f>
        <v>0</v>
      </c>
      <c r="I211" s="287">
        <f>data!AY69</f>
        <v>9091.0399999999936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-174276.53999999998</v>
      </c>
      <c r="G212" s="287">
        <f>-data!AW84</f>
        <v>-1754622.8500000003</v>
      </c>
      <c r="H212" s="287">
        <f>-data!AX84</f>
        <v>0</v>
      </c>
      <c r="I212" s="287">
        <f>-data!AY84</f>
        <v>-351547.36999999994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52408690.539999999</v>
      </c>
      <c r="G213" s="287">
        <f>data!AW85</f>
        <v>8890115.6900000013</v>
      </c>
      <c r="H213" s="287">
        <f>data!AX85</f>
        <v>0</v>
      </c>
      <c r="I213" s="287">
        <f>data!AY85</f>
        <v>1331600.8300000003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21282284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50730503.449999996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119803212.00999999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170533715.45999998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32832.744999999995</v>
      </c>
      <c r="G220" s="287">
        <f>data!AW90</f>
        <v>854.28</v>
      </c>
      <c r="H220" s="287">
        <f>data!AX90</f>
        <v>0</v>
      </c>
      <c r="I220" s="287">
        <f>data!AY90</f>
        <v>7753.91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20174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23868.953024379029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58289.970000000008</v>
      </c>
      <c r="G223" s="287">
        <f>data!AW93</f>
        <v>2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45.051084240403959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Tacoma General / Allenmore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552104.41499999992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27.132824653817423</v>
      </c>
      <c r="F234" s="294">
        <f>data!BC60</f>
        <v>18.334136298858336</v>
      </c>
      <c r="G234" s="294">
        <f>data!BD60</f>
        <v>8.5410595878710875</v>
      </c>
      <c r="H234" s="294">
        <f>data!BE60</f>
        <v>10.112060957518898</v>
      </c>
      <c r="I234" s="294">
        <f>data!BF60</f>
        <v>22.727024654420958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2934304.02</v>
      </c>
      <c r="F235" s="287">
        <f>data!BC61</f>
        <v>1806419.6900000002</v>
      </c>
      <c r="G235" s="287">
        <f>data!BD61</f>
        <v>475319.64999999997</v>
      </c>
      <c r="H235" s="287">
        <f>data!BE61</f>
        <v>1061423.46</v>
      </c>
      <c r="I235" s="287">
        <f>data!BF61</f>
        <v>1140732.3600000001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694921</v>
      </c>
      <c r="F236" s="287">
        <f>data!BC62</f>
        <v>452405</v>
      </c>
      <c r="G236" s="287">
        <f>data!BD62</f>
        <v>183465</v>
      </c>
      <c r="H236" s="287">
        <f>data!BE62</f>
        <v>256463</v>
      </c>
      <c r="I236" s="287">
        <f>data!BF62</f>
        <v>475091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20092.61</v>
      </c>
      <c r="F238" s="287">
        <f>data!BC64</f>
        <v>16977.490000000002</v>
      </c>
      <c r="G238" s="287">
        <f>data!BD64</f>
        <v>-9026.9999999999982</v>
      </c>
      <c r="H238" s="287">
        <f>data!BE64</f>
        <v>9925.6</v>
      </c>
      <c r="I238" s="287">
        <f>data!BF64</f>
        <v>123531.65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4711.0600000000004</v>
      </c>
      <c r="F239" s="287">
        <f>data!BC65</f>
        <v>2866.1699999999996</v>
      </c>
      <c r="G239" s="287">
        <f>data!BD65</f>
        <v>10321.31</v>
      </c>
      <c r="H239" s="287">
        <f>data!BE65</f>
        <v>95320.82</v>
      </c>
      <c r="I239" s="287">
        <f>data!BF65</f>
        <v>12574.53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0</v>
      </c>
      <c r="E240" s="287">
        <f>data!BB66</f>
        <v>17892.55</v>
      </c>
      <c r="F240" s="287">
        <f>data!BC66</f>
        <v>0</v>
      </c>
      <c r="G240" s="287">
        <f>data!BD66</f>
        <v>82969.09</v>
      </c>
      <c r="H240" s="287">
        <f>data!BE66</f>
        <v>794948.62</v>
      </c>
      <c r="I240" s="287">
        <f>data!BF66</f>
        <v>23525.29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10342</v>
      </c>
      <c r="F241" s="287">
        <f>data!BC67</f>
        <v>3263</v>
      </c>
      <c r="G241" s="287">
        <f>data!BD67</f>
        <v>28012</v>
      </c>
      <c r="H241" s="287">
        <f>data!BE67</f>
        <v>313689</v>
      </c>
      <c r="I241" s="287">
        <f>data!BF67</f>
        <v>30204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200.51</v>
      </c>
      <c r="H242" s="287">
        <f>data!BE68</f>
        <v>0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14146.069999999996</v>
      </c>
      <c r="F243" s="287">
        <f>data!BC69</f>
        <v>0</v>
      </c>
      <c r="G243" s="287">
        <f>data!BD69</f>
        <v>2524.3999999999996</v>
      </c>
      <c r="H243" s="287">
        <f>data!BE69</f>
        <v>47192.289999999979</v>
      </c>
      <c r="I243" s="287">
        <f>data!BF69</f>
        <v>243251.09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-10201.18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0</v>
      </c>
      <c r="E245" s="287">
        <f>data!BB85</f>
        <v>3686208.1299999994</v>
      </c>
      <c r="F245" s="287">
        <f>data!BC85</f>
        <v>2281931.3500000006</v>
      </c>
      <c r="G245" s="287">
        <f>data!BD85</f>
        <v>773784.96</v>
      </c>
      <c r="H245" s="287">
        <f>data!BE85</f>
        <v>2578962.79</v>
      </c>
      <c r="I245" s="287">
        <f>data!BF85</f>
        <v>2048909.9200000002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0</v>
      </c>
      <c r="E252" s="303">
        <f>data!BB90</f>
        <v>772.52</v>
      </c>
      <c r="F252" s="303">
        <f>data!BC90</f>
        <v>0</v>
      </c>
      <c r="G252" s="303">
        <f>data!BD90</f>
        <v>2167</v>
      </c>
      <c r="H252" s="303">
        <f>data!BE90</f>
        <v>22807.849999999995</v>
      </c>
      <c r="I252" s="303">
        <f>data!BF90</f>
        <v>2006.92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Tacoma General / Allenmore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31.608686981971417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1823747.62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677087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32539.97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7724.0300000000007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90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19584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1765.2800000000007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0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2562537.9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1432.76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63625.095722171114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Tacoma General / Allenmore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12.975914381784122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3765817.34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280674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286121.17000000004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282830.83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55097.19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11390662.060000001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583802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28434.94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681784.82999999984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-9253.91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17345970.449999999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10024.09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Tacoma General / Allenmore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34.238797940515241</v>
      </c>
      <c r="G330" s="294">
        <f>data!BY60</f>
        <v>13.337099998173001</v>
      </c>
      <c r="H330" s="294">
        <f>data!BZ60</f>
        <v>22.171133558606694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4660958.87</v>
      </c>
      <c r="G331" s="306">
        <f>data!BY61</f>
        <v>2920437.13</v>
      </c>
      <c r="H331" s="306">
        <f>data!BZ61</f>
        <v>3487894.5399999996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855950</v>
      </c>
      <c r="G332" s="306">
        <f>data!BY62</f>
        <v>406577</v>
      </c>
      <c r="H332" s="306">
        <f>data!BZ62</f>
        <v>476632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102</v>
      </c>
      <c r="G333" s="306">
        <f>data!BY63</f>
        <v>12000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33240.800000000003</v>
      </c>
      <c r="G334" s="306">
        <f>data!BY64</f>
        <v>12497.59</v>
      </c>
      <c r="H334" s="306">
        <f>data!BZ64</f>
        <v>5038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25409.609999999997</v>
      </c>
      <c r="G335" s="306">
        <f>data!BY65</f>
        <v>2455.42</v>
      </c>
      <c r="H335" s="306">
        <f>data!BZ65</f>
        <v>7572.07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170182.22</v>
      </c>
      <c r="G336" s="306">
        <f>data!BY66</f>
        <v>941691.41</v>
      </c>
      <c r="H336" s="306">
        <f>data!BZ66</f>
        <v>-319152.28999999998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32494</v>
      </c>
      <c r="G337" s="306">
        <f>data!BY67</f>
        <v>42463</v>
      </c>
      <c r="H337" s="306">
        <f>data!BZ67</f>
        <v>24930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10496.25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63687.45</v>
      </c>
      <c r="G339" s="306">
        <f>data!BY69</f>
        <v>104133.59999999999</v>
      </c>
      <c r="H339" s="306">
        <f>data!BZ69</f>
        <v>50928.670000000006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-107888.36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0</v>
      </c>
      <c r="F341" s="287">
        <f>data!BX85</f>
        <v>5842024.9500000002</v>
      </c>
      <c r="G341" s="287">
        <f>data!BY85</f>
        <v>4344863.0399999991</v>
      </c>
      <c r="H341" s="287">
        <f>data!BZ85</f>
        <v>3733842.9899999993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2529.8799999999997</v>
      </c>
      <c r="G348" s="303">
        <f>data!BY90</f>
        <v>497.74</v>
      </c>
      <c r="H348" s="303">
        <f>data!BZ90</f>
        <v>380.67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Tacoma General / Allenmore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22.01562807917594</v>
      </c>
      <c r="E362" s="309"/>
      <c r="F362" s="297"/>
      <c r="G362" s="297"/>
      <c r="H362" s="297"/>
      <c r="I362" s="310">
        <f>data!CE60</f>
        <v>3347.0194488565721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10629146.310000001</v>
      </c>
      <c r="E363" s="311"/>
      <c r="F363" s="311"/>
      <c r="G363" s="311"/>
      <c r="H363" s="311"/>
      <c r="I363" s="306">
        <f>data!CE61</f>
        <v>449281703.38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580814</v>
      </c>
      <c r="E364" s="311"/>
      <c r="F364" s="311"/>
      <c r="G364" s="311"/>
      <c r="H364" s="311"/>
      <c r="I364" s="306">
        <f>data!CE62</f>
        <v>79415347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18839582.030000001</v>
      </c>
      <c r="E365" s="311"/>
      <c r="F365" s="311"/>
      <c r="G365" s="311"/>
      <c r="H365" s="311"/>
      <c r="I365" s="306">
        <f>data!CE63</f>
        <v>41301239.260000005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5571910.5200000005</v>
      </c>
      <c r="E366" s="311"/>
      <c r="F366" s="311"/>
      <c r="G366" s="311"/>
      <c r="H366" s="311"/>
      <c r="I366" s="306">
        <f>data!CE64</f>
        <v>235047932.23000005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39104.83</v>
      </c>
      <c r="E367" s="311"/>
      <c r="F367" s="311"/>
      <c r="G367" s="311"/>
      <c r="H367" s="311"/>
      <c r="I367" s="306">
        <f>data!CE65</f>
        <v>2756738.4599999986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214540170.94999999</v>
      </c>
      <c r="E368" s="311"/>
      <c r="F368" s="311"/>
      <c r="G368" s="311"/>
      <c r="H368" s="311"/>
      <c r="I368" s="306">
        <f>data!CE66</f>
        <v>330294267.25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529553</v>
      </c>
      <c r="E369" s="311"/>
      <c r="F369" s="311"/>
      <c r="G369" s="311"/>
      <c r="H369" s="311"/>
      <c r="I369" s="306">
        <f>data!CE67</f>
        <v>18459745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38430.97</v>
      </c>
      <c r="E370" s="311"/>
      <c r="F370" s="311"/>
      <c r="G370" s="311"/>
      <c r="H370" s="311"/>
      <c r="I370" s="306">
        <f>data!CE68</f>
        <v>9460513.1500000004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23140663.329999998</v>
      </c>
      <c r="E371" s="306">
        <f>data!CD69</f>
        <v>28928690.019999996</v>
      </c>
      <c r="F371" s="311"/>
      <c r="G371" s="311"/>
      <c r="H371" s="311"/>
      <c r="I371" s="306">
        <f>data!CE69</f>
        <v>83024693.609999985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-4047110.1800000006</v>
      </c>
      <c r="E372" s="287">
        <f>-data!CD84</f>
        <v>0</v>
      </c>
      <c r="F372" s="297"/>
      <c r="G372" s="297"/>
      <c r="H372" s="297"/>
      <c r="I372" s="287">
        <f>-data!CE84</f>
        <v>-24763295.469999995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269862265.75999999</v>
      </c>
      <c r="E373" s="306">
        <f>data!CD85</f>
        <v>28928690.019999996</v>
      </c>
      <c r="F373" s="311"/>
      <c r="G373" s="311"/>
      <c r="H373" s="311"/>
      <c r="I373" s="287">
        <f>data!CE85</f>
        <v>1199515588.4000001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1952218546.6499999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2256903198.0999999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4209121744.7500005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3573.97</v>
      </c>
      <c r="E380" s="297"/>
      <c r="F380" s="297"/>
      <c r="G380" s="297"/>
      <c r="H380" s="297"/>
      <c r="I380" s="287">
        <f>data!CE90</f>
        <v>552104.41499999992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410155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252886.40000000002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3649578.7899999991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1097.6379245071732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C205" transitionEvaluation="1" transitionEntry="1" codeName="Sheet12">
    <tabColor rgb="FF92D050"/>
    <pageSetUpPr autoPageBreaks="0" fitToPage="1"/>
  </sheetPr>
  <dimension ref="A1:CF717"/>
  <sheetViews>
    <sheetView topLeftCell="A45" zoomScale="85" zoomScaleNormal="85" workbookViewId="0">
      <pane xSplit="2" ySplit="1" topLeftCell="C205" activePane="bottomRight" state="frozen"/>
      <selection activeCell="A45" sqref="A45"/>
      <selection pane="topRight" activeCell="C45" sqref="C45"/>
      <selection pane="bottomLeft" activeCell="A46" sqref="A46"/>
      <selection pane="bottomRight" activeCell="C46" sqref="C46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27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28" t="s">
        <v>18</v>
      </c>
      <c r="B37" s="329"/>
      <c r="C37" s="330"/>
      <c r="D37" s="329"/>
      <c r="E37" s="329"/>
      <c r="F37" s="329"/>
      <c r="G37" s="329"/>
    </row>
    <row r="38" spans="1:83" x14ac:dyDescent="0.35">
      <c r="A38" s="331" t="s">
        <v>1342</v>
      </c>
      <c r="B38" s="332"/>
      <c r="C38" s="330"/>
      <c r="D38" s="329"/>
      <c r="E38" s="329"/>
      <c r="F38" s="329"/>
      <c r="G38" s="329"/>
    </row>
    <row r="39" spans="1:83" x14ac:dyDescent="0.35">
      <c r="A39" s="333" t="s">
        <v>1340</v>
      </c>
      <c r="B39" s="332"/>
      <c r="C39" s="330"/>
      <c r="D39" s="329"/>
      <c r="E39" s="329"/>
      <c r="F39" s="329"/>
      <c r="G39" s="329"/>
    </row>
    <row r="40" spans="1:83" x14ac:dyDescent="0.35">
      <c r="A40" s="334" t="s">
        <v>1343</v>
      </c>
      <c r="B40" s="329"/>
      <c r="C40" s="330"/>
      <c r="D40" s="329"/>
      <c r="E40" s="329"/>
      <c r="F40" s="329"/>
      <c r="G40" s="329"/>
    </row>
    <row r="41" spans="1:83" x14ac:dyDescent="0.35">
      <c r="A41" s="333" t="s">
        <v>1341</v>
      </c>
      <c r="B41" s="329"/>
      <c r="C41" s="330"/>
      <c r="D41" s="329"/>
      <c r="E41" s="329"/>
      <c r="F41" s="329"/>
      <c r="G41" s="329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>
        <v>10895204.9</v>
      </c>
      <c r="D48" s="213">
        <v>3393801.16</v>
      </c>
      <c r="E48" s="213">
        <v>5125155.54</v>
      </c>
      <c r="F48" s="213">
        <v>-1611.18</v>
      </c>
      <c r="G48" s="213">
        <v>0</v>
      </c>
      <c r="H48" s="213">
        <v>1275438.98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3207891.4299999997</v>
      </c>
      <c r="P48" s="213">
        <v>5593652.79</v>
      </c>
      <c r="Q48" s="213">
        <v>0</v>
      </c>
      <c r="R48" s="213">
        <v>1801187.1099999999</v>
      </c>
      <c r="S48" s="213">
        <v>1022194.5899999999</v>
      </c>
      <c r="T48" s="213">
        <v>576434.91999999993</v>
      </c>
      <c r="U48" s="213">
        <v>5766516.5300000003</v>
      </c>
      <c r="V48" s="213">
        <v>0</v>
      </c>
      <c r="W48" s="213">
        <v>535858.47000000009</v>
      </c>
      <c r="X48" s="213">
        <v>451314.11</v>
      </c>
      <c r="Y48" s="213">
        <v>2324974.3200000003</v>
      </c>
      <c r="Z48" s="213">
        <v>786097.21000000008</v>
      </c>
      <c r="AA48" s="213">
        <v>133825.84</v>
      </c>
      <c r="AB48" s="213">
        <v>3401722.85</v>
      </c>
      <c r="AC48" s="213">
        <v>1730287.65</v>
      </c>
      <c r="AD48" s="213">
        <v>0</v>
      </c>
      <c r="AE48" s="213">
        <v>648556.35</v>
      </c>
      <c r="AF48" s="213">
        <v>0</v>
      </c>
      <c r="AG48" s="213">
        <v>4492688.37</v>
      </c>
      <c r="AH48" s="213">
        <v>0</v>
      </c>
      <c r="AI48" s="213">
        <v>662097.75</v>
      </c>
      <c r="AJ48" s="213">
        <v>9720656.370000001</v>
      </c>
      <c r="AK48" s="213">
        <v>36537.96</v>
      </c>
      <c r="AL48" s="213">
        <v>152073.71000000002</v>
      </c>
      <c r="AM48" s="213">
        <v>0</v>
      </c>
      <c r="AN48" s="213">
        <v>0</v>
      </c>
      <c r="AO48" s="213">
        <v>0</v>
      </c>
      <c r="AP48" s="213">
        <v>1265855.07</v>
      </c>
      <c r="AQ48" s="213">
        <v>0</v>
      </c>
      <c r="AR48" s="213">
        <v>0</v>
      </c>
      <c r="AS48" s="213">
        <v>0</v>
      </c>
      <c r="AT48" s="213">
        <v>0</v>
      </c>
      <c r="AU48" s="213">
        <v>0</v>
      </c>
      <c r="AV48" s="213">
        <v>6040770.25</v>
      </c>
      <c r="AW48" s="213">
        <v>1783995.6400000001</v>
      </c>
      <c r="AX48" s="213">
        <v>0</v>
      </c>
      <c r="AY48" s="213">
        <v>308451.44</v>
      </c>
      <c r="AZ48" s="213">
        <v>0</v>
      </c>
      <c r="BA48" s="213">
        <v>0</v>
      </c>
      <c r="BB48" s="213">
        <v>631874.68000000005</v>
      </c>
      <c r="BC48" s="213">
        <v>451144.66000000003</v>
      </c>
      <c r="BD48" s="213">
        <v>194375.46</v>
      </c>
      <c r="BE48" s="213">
        <v>251097.05000000002</v>
      </c>
      <c r="BF48" s="213">
        <v>494621.62</v>
      </c>
      <c r="BG48" s="213">
        <v>0</v>
      </c>
      <c r="BH48" s="213">
        <v>0</v>
      </c>
      <c r="BI48" s="213">
        <v>0</v>
      </c>
      <c r="BJ48" s="213">
        <v>0</v>
      </c>
      <c r="BK48" s="213">
        <v>0</v>
      </c>
      <c r="BL48" s="213">
        <v>787518.09000000008</v>
      </c>
      <c r="BM48" s="213">
        <v>0</v>
      </c>
      <c r="BN48" s="213">
        <v>364471.63</v>
      </c>
      <c r="BO48" s="213">
        <v>0</v>
      </c>
      <c r="BP48" s="213">
        <v>0</v>
      </c>
      <c r="BQ48" s="213">
        <v>0</v>
      </c>
      <c r="BR48" s="213">
        <v>0</v>
      </c>
      <c r="BS48" s="213">
        <v>0</v>
      </c>
      <c r="BT48" s="213">
        <v>0</v>
      </c>
      <c r="BU48" s="213">
        <v>0</v>
      </c>
      <c r="BV48" s="213">
        <v>0</v>
      </c>
      <c r="BW48" s="213">
        <v>0</v>
      </c>
      <c r="BX48" s="213">
        <v>909390.11</v>
      </c>
      <c r="BY48" s="213">
        <v>318608.28999999998</v>
      </c>
      <c r="BZ48" s="213">
        <v>484998</v>
      </c>
      <c r="CA48" s="213">
        <v>0</v>
      </c>
      <c r="CB48" s="213">
        <v>0</v>
      </c>
      <c r="CC48" s="213">
        <v>1639890.1600000001</v>
      </c>
      <c r="CD48" s="20"/>
      <c r="CE48" s="32">
        <f>SUM(C48:CC48)</f>
        <v>79659619.88000001</v>
      </c>
    </row>
    <row r="49" spans="1:83" x14ac:dyDescent="0.3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>
        <v>1483176.5699999998</v>
      </c>
      <c r="D52" s="213">
        <v>255479.99000000002</v>
      </c>
      <c r="E52" s="213">
        <v>178613.86000000002</v>
      </c>
      <c r="F52" s="213">
        <v>0</v>
      </c>
      <c r="G52" s="213">
        <v>0</v>
      </c>
      <c r="H52" s="213">
        <v>62141.80000000001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213">
        <v>279301.95999999996</v>
      </c>
      <c r="P52" s="213">
        <v>2964718.0599999996</v>
      </c>
      <c r="Q52" s="213">
        <v>0</v>
      </c>
      <c r="R52" s="213">
        <v>35846.370000000003</v>
      </c>
      <c r="S52" s="213">
        <v>176621.85</v>
      </c>
      <c r="T52" s="213">
        <v>9608.2999999999993</v>
      </c>
      <c r="U52" s="213">
        <v>391090.44000000006</v>
      </c>
      <c r="V52" s="213">
        <v>0</v>
      </c>
      <c r="W52" s="213">
        <v>386292.82999999996</v>
      </c>
      <c r="X52" s="213">
        <v>100512.32000000001</v>
      </c>
      <c r="Y52" s="213">
        <v>1499226.6099999999</v>
      </c>
      <c r="Z52" s="213">
        <v>614158.4</v>
      </c>
      <c r="AA52" s="213">
        <v>1262.54</v>
      </c>
      <c r="AB52" s="213">
        <v>316802.22000000003</v>
      </c>
      <c r="AC52" s="213">
        <v>307642.98</v>
      </c>
      <c r="AD52" s="213">
        <v>0</v>
      </c>
      <c r="AE52" s="213">
        <v>36052.279999999992</v>
      </c>
      <c r="AF52" s="213">
        <v>0</v>
      </c>
      <c r="AG52" s="213">
        <v>620807.0199999999</v>
      </c>
      <c r="AH52" s="213">
        <v>0</v>
      </c>
      <c r="AI52" s="213">
        <v>112854.04</v>
      </c>
      <c r="AJ52" s="213">
        <v>1587226.8</v>
      </c>
      <c r="AK52" s="213">
        <v>0</v>
      </c>
      <c r="AL52" s="213">
        <v>0</v>
      </c>
      <c r="AM52" s="213">
        <v>0</v>
      </c>
      <c r="AN52" s="213">
        <v>0</v>
      </c>
      <c r="AO52" s="213">
        <v>0</v>
      </c>
      <c r="AP52" s="213">
        <v>33216.499999999993</v>
      </c>
      <c r="AQ52" s="213">
        <v>0</v>
      </c>
      <c r="AR52" s="213">
        <v>0</v>
      </c>
      <c r="AS52" s="213">
        <v>0</v>
      </c>
      <c r="AT52" s="213">
        <v>0</v>
      </c>
      <c r="AU52" s="213">
        <v>0</v>
      </c>
      <c r="AV52" s="213">
        <v>1297277.74</v>
      </c>
      <c r="AW52" s="213">
        <v>16444.63</v>
      </c>
      <c r="AX52" s="213">
        <v>0</v>
      </c>
      <c r="AY52" s="213">
        <v>36398.839999999997</v>
      </c>
      <c r="AZ52" s="213">
        <v>0</v>
      </c>
      <c r="BA52" s="213">
        <v>0</v>
      </c>
      <c r="BB52" s="213">
        <v>168.27</v>
      </c>
      <c r="BC52" s="213">
        <v>8779.24</v>
      </c>
      <c r="BD52" s="213">
        <v>0</v>
      </c>
      <c r="BE52" s="213">
        <v>2975.9499999999994</v>
      </c>
      <c r="BF52" s="213">
        <v>1164.3800000000001</v>
      </c>
      <c r="BG52" s="213">
        <v>0</v>
      </c>
      <c r="BH52" s="213">
        <v>0</v>
      </c>
      <c r="BI52" s="213">
        <v>0</v>
      </c>
      <c r="BJ52" s="213">
        <v>0</v>
      </c>
      <c r="BK52" s="213">
        <v>0</v>
      </c>
      <c r="BL52" s="213">
        <v>4145.0300000000007</v>
      </c>
      <c r="BM52" s="213">
        <v>0</v>
      </c>
      <c r="BN52" s="213">
        <v>468715.52999999997</v>
      </c>
      <c r="BO52" s="213">
        <v>0</v>
      </c>
      <c r="BP52" s="213">
        <v>0</v>
      </c>
      <c r="BQ52" s="213">
        <v>0</v>
      </c>
      <c r="BR52" s="213">
        <v>0</v>
      </c>
      <c r="BS52" s="213">
        <v>0</v>
      </c>
      <c r="BT52" s="213">
        <v>0</v>
      </c>
      <c r="BU52" s="213">
        <v>0</v>
      </c>
      <c r="BV52" s="213">
        <v>0</v>
      </c>
      <c r="BW52" s="213">
        <v>0</v>
      </c>
      <c r="BX52" s="213">
        <v>0</v>
      </c>
      <c r="BY52" s="213">
        <v>57095.42</v>
      </c>
      <c r="BZ52" s="213">
        <v>64598.05000000001</v>
      </c>
      <c r="CA52" s="213">
        <v>0</v>
      </c>
      <c r="CB52" s="213">
        <v>0</v>
      </c>
      <c r="CC52" s="213">
        <v>2820018.4499999946</v>
      </c>
      <c r="CD52" s="20"/>
      <c r="CE52" s="32">
        <f>SUM(C52:CD52)</f>
        <v>16230435.269999992</v>
      </c>
    </row>
    <row r="53" spans="1:83" x14ac:dyDescent="0.3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46835</v>
      </c>
      <c r="D60" s="213">
        <v>20797</v>
      </c>
      <c r="E60" s="213">
        <v>40778</v>
      </c>
      <c r="F60" s="213">
        <v>0</v>
      </c>
      <c r="G60" s="213">
        <v>7989</v>
      </c>
      <c r="H60" s="213">
        <v>0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4">
        <v>2872820</v>
      </c>
      <c r="Q60" s="214">
        <v>2509935</v>
      </c>
      <c r="R60" s="214">
        <v>0</v>
      </c>
      <c r="S60" s="263"/>
      <c r="T60" s="263"/>
      <c r="U60" s="227"/>
      <c r="V60" s="214">
        <v>47470</v>
      </c>
      <c r="W60" s="214">
        <v>127609.58</v>
      </c>
      <c r="X60" s="214">
        <v>362585.48</v>
      </c>
      <c r="Y60" s="214">
        <v>246796.69</v>
      </c>
      <c r="Z60" s="214">
        <v>167545.10999999999</v>
      </c>
      <c r="AA60" s="214">
        <v>22738.440000000002</v>
      </c>
      <c r="AB60" s="263"/>
      <c r="AC60" s="214">
        <v>270122.17000000004</v>
      </c>
      <c r="AD60" s="214"/>
      <c r="AE60" s="214">
        <v>116223</v>
      </c>
      <c r="AF60" s="214">
        <v>0</v>
      </c>
      <c r="AG60" s="214">
        <v>901890.00000000012</v>
      </c>
      <c r="AH60" s="214">
        <v>29955.940000000002</v>
      </c>
      <c r="AI60" s="214">
        <v>5154</v>
      </c>
      <c r="AJ60" s="214">
        <v>30077</v>
      </c>
      <c r="AK60" s="214">
        <v>0</v>
      </c>
      <c r="AL60" s="214">
        <v>0</v>
      </c>
      <c r="AM60" s="214">
        <v>0</v>
      </c>
      <c r="AN60" s="214">
        <v>0</v>
      </c>
      <c r="AO60" s="214">
        <v>0</v>
      </c>
      <c r="AP60" s="214">
        <v>0</v>
      </c>
      <c r="AQ60" s="214">
        <v>0</v>
      </c>
      <c r="AR60" s="214">
        <v>0</v>
      </c>
      <c r="AS60" s="214">
        <v>0</v>
      </c>
      <c r="AT60" s="214">
        <v>0</v>
      </c>
      <c r="AU60" s="214">
        <v>0</v>
      </c>
      <c r="AV60" s="263"/>
      <c r="AW60" s="263"/>
      <c r="AX60" s="263"/>
      <c r="AY60" s="214">
        <v>368143</v>
      </c>
      <c r="AZ60" s="214">
        <v>0</v>
      </c>
      <c r="BA60" s="263"/>
      <c r="BB60" s="263"/>
      <c r="BC60" s="263"/>
      <c r="BD60" s="263"/>
      <c r="BE60" s="214">
        <v>548092.07499999984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447.47893144555087</v>
      </c>
      <c r="D61" s="243">
        <v>160.27827121092082</v>
      </c>
      <c r="E61" s="243">
        <v>241.32866298063993</v>
      </c>
      <c r="F61" s="243">
        <v>7.6252054784075055E-2</v>
      </c>
      <c r="G61" s="243">
        <v>0</v>
      </c>
      <c r="H61" s="243">
        <v>55.236103417090952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132.56636915992243</v>
      </c>
      <c r="P61" s="244">
        <v>237.58845270717967</v>
      </c>
      <c r="Q61" s="244">
        <v>0</v>
      </c>
      <c r="R61" s="244">
        <v>78.802936290574948</v>
      </c>
      <c r="S61" s="245">
        <v>49.586197253481345</v>
      </c>
      <c r="T61" s="245">
        <v>21.291324654617629</v>
      </c>
      <c r="U61" s="246">
        <v>244.22899791174947</v>
      </c>
      <c r="V61" s="244">
        <v>0</v>
      </c>
      <c r="W61" s="244">
        <v>21.1797130107973</v>
      </c>
      <c r="X61" s="244">
        <v>18.556405476910083</v>
      </c>
      <c r="Y61" s="244">
        <v>94.530809576091684</v>
      </c>
      <c r="Z61" s="244">
        <v>27.359859585293169</v>
      </c>
      <c r="AA61" s="244">
        <v>4.9757054787704513</v>
      </c>
      <c r="AB61" s="245">
        <v>132.56212600923806</v>
      </c>
      <c r="AC61" s="244">
        <v>69.113339716559821</v>
      </c>
      <c r="AD61" s="244">
        <v>0</v>
      </c>
      <c r="AE61" s="244">
        <v>26.445832188158104</v>
      </c>
      <c r="AF61" s="244">
        <v>0</v>
      </c>
      <c r="AG61" s="244">
        <v>216.64436640867885</v>
      </c>
      <c r="AH61" s="244">
        <v>0</v>
      </c>
      <c r="AI61" s="244">
        <v>28.10016232491779</v>
      </c>
      <c r="AJ61" s="244">
        <v>353.54431570499389</v>
      </c>
      <c r="AK61" s="244">
        <v>1.4352445203513367</v>
      </c>
      <c r="AL61" s="244">
        <v>5.8575904101564946</v>
      </c>
      <c r="AM61" s="244">
        <v>0</v>
      </c>
      <c r="AN61" s="244">
        <v>0</v>
      </c>
      <c r="AO61" s="244">
        <v>0</v>
      </c>
      <c r="AP61" s="244">
        <v>45.529596569105536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225.42406366775015</v>
      </c>
      <c r="AW61" s="245">
        <v>68.585697935810188</v>
      </c>
      <c r="AX61" s="245">
        <v>0</v>
      </c>
      <c r="AY61" s="244">
        <v>13.897718491246891</v>
      </c>
      <c r="AZ61" s="244">
        <v>0</v>
      </c>
      <c r="BA61" s="245">
        <v>0</v>
      </c>
      <c r="BB61" s="245">
        <v>24.883585613029648</v>
      </c>
      <c r="BC61" s="245">
        <v>18.635217805666407</v>
      </c>
      <c r="BD61" s="245">
        <v>9.0353698617759761</v>
      </c>
      <c r="BE61" s="244">
        <v>9.9631671219228544</v>
      </c>
      <c r="BF61" s="245">
        <v>23.250073284486295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36.516152049792311</v>
      </c>
      <c r="BM61" s="245">
        <v>0</v>
      </c>
      <c r="BN61" s="245">
        <v>12.388043833919445</v>
      </c>
      <c r="BO61" s="245">
        <v>0</v>
      </c>
      <c r="BP61" s="245">
        <v>0</v>
      </c>
      <c r="BQ61" s="245">
        <v>0</v>
      </c>
      <c r="BR61" s="245">
        <v>0</v>
      </c>
      <c r="BS61" s="245">
        <v>0</v>
      </c>
      <c r="BT61" s="245">
        <v>0</v>
      </c>
      <c r="BU61" s="245">
        <v>0</v>
      </c>
      <c r="BV61" s="245">
        <v>0</v>
      </c>
      <c r="BW61" s="245">
        <v>0</v>
      </c>
      <c r="BX61" s="245">
        <v>35.348849310226193</v>
      </c>
      <c r="BY61" s="245">
        <v>11.456108902540258</v>
      </c>
      <c r="BZ61" s="245">
        <v>22.333989038036442</v>
      </c>
      <c r="CA61" s="245">
        <v>0</v>
      </c>
      <c r="CB61" s="245">
        <v>0</v>
      </c>
      <c r="CC61" s="245">
        <v>48.540704102939628</v>
      </c>
      <c r="CD61" s="247" t="s">
        <v>233</v>
      </c>
      <c r="CE61" s="268">
        <f t="shared" ref="CE61:CE69" si="4">SUM(C61:CD61)</f>
        <v>3274.556307085677</v>
      </c>
    </row>
    <row r="62" spans="1:83" x14ac:dyDescent="0.35">
      <c r="A62" s="39" t="s">
        <v>248</v>
      </c>
      <c r="B62" s="20"/>
      <c r="C62" s="213">
        <v>51185617.910000004</v>
      </c>
      <c r="D62" s="213">
        <v>18298292.079999998</v>
      </c>
      <c r="E62" s="213">
        <v>27308654.469999999</v>
      </c>
      <c r="F62" s="213">
        <v>25559.169999999995</v>
      </c>
      <c r="G62" s="213">
        <v>0</v>
      </c>
      <c r="H62" s="213">
        <v>5722905.6799999997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16434514.799999999</v>
      </c>
      <c r="P62" s="214">
        <v>23828449.890000001</v>
      </c>
      <c r="Q62" s="214">
        <v>0</v>
      </c>
      <c r="R62" s="214">
        <v>9537248.120000001</v>
      </c>
      <c r="S62" s="228">
        <v>3500992.25</v>
      </c>
      <c r="T62" s="228">
        <v>2603687.02</v>
      </c>
      <c r="U62" s="227">
        <v>16916498.899999999</v>
      </c>
      <c r="V62" s="214">
        <v>0</v>
      </c>
      <c r="W62" s="214">
        <v>2569454.8600000003</v>
      </c>
      <c r="X62" s="214">
        <v>2269828.92</v>
      </c>
      <c r="Y62" s="214">
        <v>10563030.130000001</v>
      </c>
      <c r="Z62" s="214">
        <v>4699845.6500000004</v>
      </c>
      <c r="AA62" s="214">
        <v>651142.73</v>
      </c>
      <c r="AB62" s="240">
        <v>14702778.530000001</v>
      </c>
      <c r="AC62" s="214">
        <v>7464293.2899999991</v>
      </c>
      <c r="AD62" s="214">
        <v>0</v>
      </c>
      <c r="AE62" s="214">
        <v>2594372.36</v>
      </c>
      <c r="AF62" s="214">
        <v>0</v>
      </c>
      <c r="AG62" s="214">
        <v>25410099.319999997</v>
      </c>
      <c r="AH62" s="214">
        <v>0</v>
      </c>
      <c r="AI62" s="214">
        <v>3572022.6200000006</v>
      </c>
      <c r="AJ62" s="214">
        <v>57851497.159999996</v>
      </c>
      <c r="AK62" s="214">
        <v>153672.54999999999</v>
      </c>
      <c r="AL62" s="214">
        <v>684645.57</v>
      </c>
      <c r="AM62" s="214">
        <v>0</v>
      </c>
      <c r="AN62" s="214">
        <v>0</v>
      </c>
      <c r="AO62" s="214">
        <v>0</v>
      </c>
      <c r="AP62" s="214">
        <v>10141413.889999999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33023881.889999997</v>
      </c>
      <c r="AW62" s="228">
        <v>6508067.0000000009</v>
      </c>
      <c r="AX62" s="228">
        <v>0</v>
      </c>
      <c r="AY62" s="214">
        <v>753165.92</v>
      </c>
      <c r="AZ62" s="214">
        <v>0</v>
      </c>
      <c r="BA62" s="228">
        <v>0</v>
      </c>
      <c r="BB62" s="228">
        <v>2579159.1</v>
      </c>
      <c r="BC62" s="228">
        <v>1661370.67</v>
      </c>
      <c r="BD62" s="228">
        <v>465859.98000000004</v>
      </c>
      <c r="BE62" s="214">
        <v>983045</v>
      </c>
      <c r="BF62" s="228">
        <v>1050223.9299999997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1917523.53</v>
      </c>
      <c r="BM62" s="228">
        <v>0</v>
      </c>
      <c r="BN62" s="228">
        <v>2835087.46</v>
      </c>
      <c r="BO62" s="228">
        <v>0</v>
      </c>
      <c r="BP62" s="228">
        <v>0</v>
      </c>
      <c r="BQ62" s="228">
        <v>0</v>
      </c>
      <c r="BR62" s="228">
        <v>0</v>
      </c>
      <c r="BS62" s="228">
        <v>0</v>
      </c>
      <c r="BT62" s="228">
        <v>0</v>
      </c>
      <c r="BU62" s="228">
        <v>0</v>
      </c>
      <c r="BV62" s="228">
        <v>0</v>
      </c>
      <c r="BW62" s="228">
        <v>0</v>
      </c>
      <c r="BX62" s="228">
        <v>4168170.5500000003</v>
      </c>
      <c r="BY62" s="228">
        <v>2491562.79</v>
      </c>
      <c r="BZ62" s="228">
        <v>2589993.0100000002</v>
      </c>
      <c r="CA62" s="228">
        <v>0</v>
      </c>
      <c r="CB62" s="228">
        <v>0</v>
      </c>
      <c r="CC62" s="228">
        <v>7480148.4499999993</v>
      </c>
      <c r="CD62" s="29" t="s">
        <v>233</v>
      </c>
      <c r="CE62" s="32">
        <f t="shared" si="4"/>
        <v>387197777.15000004</v>
      </c>
    </row>
    <row r="63" spans="1:83" x14ac:dyDescent="0.35">
      <c r="A63" s="39" t="s">
        <v>9</v>
      </c>
      <c r="B63" s="20"/>
      <c r="C63" s="269">
        <f>ROUND(C48+C49,0)</f>
        <v>10895205</v>
      </c>
      <c r="D63" s="269">
        <f t="shared" ref="D63:BO63" si="5">ROUND(D48+D49,0)</f>
        <v>3393801</v>
      </c>
      <c r="E63" s="269">
        <f t="shared" si="5"/>
        <v>5125156</v>
      </c>
      <c r="F63" s="269">
        <f t="shared" si="5"/>
        <v>-1611</v>
      </c>
      <c r="G63" s="269">
        <f t="shared" si="5"/>
        <v>0</v>
      </c>
      <c r="H63" s="269">
        <f t="shared" si="5"/>
        <v>1275439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3207891</v>
      </c>
      <c r="P63" s="269">
        <f t="shared" si="5"/>
        <v>5593653</v>
      </c>
      <c r="Q63" s="269">
        <f t="shared" si="5"/>
        <v>0</v>
      </c>
      <c r="R63" s="269">
        <f t="shared" si="5"/>
        <v>1801187</v>
      </c>
      <c r="S63" s="269">
        <f t="shared" si="5"/>
        <v>1022195</v>
      </c>
      <c r="T63" s="269">
        <f t="shared" si="5"/>
        <v>576435</v>
      </c>
      <c r="U63" s="269">
        <f t="shared" si="5"/>
        <v>5766517</v>
      </c>
      <c r="V63" s="269">
        <f t="shared" si="5"/>
        <v>0</v>
      </c>
      <c r="W63" s="269">
        <f t="shared" si="5"/>
        <v>535858</v>
      </c>
      <c r="X63" s="269">
        <f t="shared" si="5"/>
        <v>451314</v>
      </c>
      <c r="Y63" s="269">
        <f t="shared" si="5"/>
        <v>2324974</v>
      </c>
      <c r="Z63" s="269">
        <f t="shared" si="5"/>
        <v>786097</v>
      </c>
      <c r="AA63" s="269">
        <f t="shared" si="5"/>
        <v>133826</v>
      </c>
      <c r="AB63" s="269">
        <f t="shared" si="5"/>
        <v>3401723</v>
      </c>
      <c r="AC63" s="269">
        <f t="shared" si="5"/>
        <v>1730288</v>
      </c>
      <c r="AD63" s="269">
        <f t="shared" si="5"/>
        <v>0</v>
      </c>
      <c r="AE63" s="269">
        <f t="shared" si="5"/>
        <v>648556</v>
      </c>
      <c r="AF63" s="269">
        <f t="shared" si="5"/>
        <v>0</v>
      </c>
      <c r="AG63" s="269">
        <f t="shared" si="5"/>
        <v>4492688</v>
      </c>
      <c r="AH63" s="269">
        <f t="shared" si="5"/>
        <v>0</v>
      </c>
      <c r="AI63" s="269">
        <f t="shared" si="5"/>
        <v>662098</v>
      </c>
      <c r="AJ63" s="269">
        <f t="shared" si="5"/>
        <v>9720656</v>
      </c>
      <c r="AK63" s="269">
        <f t="shared" si="5"/>
        <v>36538</v>
      </c>
      <c r="AL63" s="269">
        <f t="shared" si="5"/>
        <v>152074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1265855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6040770</v>
      </c>
      <c r="AW63" s="269">
        <f t="shared" si="5"/>
        <v>1783996</v>
      </c>
      <c r="AX63" s="269">
        <f t="shared" si="5"/>
        <v>0</v>
      </c>
      <c r="AY63" s="269">
        <f t="shared" si="5"/>
        <v>308451</v>
      </c>
      <c r="AZ63" s="269">
        <f t="shared" si="5"/>
        <v>0</v>
      </c>
      <c r="BA63" s="269">
        <f t="shared" si="5"/>
        <v>0</v>
      </c>
      <c r="BB63" s="269">
        <f t="shared" si="5"/>
        <v>631875</v>
      </c>
      <c r="BC63" s="269">
        <f t="shared" si="5"/>
        <v>451145</v>
      </c>
      <c r="BD63" s="269">
        <f t="shared" si="5"/>
        <v>194375</v>
      </c>
      <c r="BE63" s="269">
        <f t="shared" si="5"/>
        <v>251097</v>
      </c>
      <c r="BF63" s="269">
        <f t="shared" si="5"/>
        <v>494622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787518</v>
      </c>
      <c r="BM63" s="269">
        <f t="shared" si="5"/>
        <v>0</v>
      </c>
      <c r="BN63" s="269">
        <f t="shared" si="5"/>
        <v>364472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909390</v>
      </c>
      <c r="BY63" s="269">
        <f t="shared" si="6"/>
        <v>318608</v>
      </c>
      <c r="BZ63" s="269">
        <f t="shared" si="6"/>
        <v>484998</v>
      </c>
      <c r="CA63" s="269">
        <f t="shared" si="6"/>
        <v>0</v>
      </c>
      <c r="CB63" s="269">
        <f t="shared" si="6"/>
        <v>0</v>
      </c>
      <c r="CC63" s="269">
        <f t="shared" si="6"/>
        <v>1639890</v>
      </c>
      <c r="CD63" s="29" t="s">
        <v>233</v>
      </c>
      <c r="CE63" s="32">
        <f t="shared" si="4"/>
        <v>79659620</v>
      </c>
    </row>
    <row r="64" spans="1:83" x14ac:dyDescent="0.35">
      <c r="A64" s="39" t="s">
        <v>249</v>
      </c>
      <c r="B64" s="20"/>
      <c r="C64" s="213">
        <v>214597.92</v>
      </c>
      <c r="D64" s="213">
        <v>0</v>
      </c>
      <c r="E64" s="213">
        <v>0</v>
      </c>
      <c r="F64" s="213">
        <v>0</v>
      </c>
      <c r="G64" s="213">
        <v>0</v>
      </c>
      <c r="H64" s="213">
        <v>641726.00000000012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965907.72</v>
      </c>
      <c r="P64" s="214">
        <v>12010416.019999998</v>
      </c>
      <c r="Q64" s="214">
        <v>0</v>
      </c>
      <c r="R64" s="214">
        <v>0</v>
      </c>
      <c r="S64" s="228">
        <v>0</v>
      </c>
      <c r="T64" s="228">
        <v>0</v>
      </c>
      <c r="U64" s="227">
        <v>0</v>
      </c>
      <c r="V64" s="214">
        <v>0</v>
      </c>
      <c r="W64" s="214">
        <v>0</v>
      </c>
      <c r="X64" s="214">
        <v>0</v>
      </c>
      <c r="Y64" s="214">
        <v>227622.18</v>
      </c>
      <c r="Z64" s="214">
        <v>76.599999999999994</v>
      </c>
      <c r="AA64" s="214">
        <v>0</v>
      </c>
      <c r="AB64" s="240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5195762.88</v>
      </c>
      <c r="AH64" s="214">
        <v>0</v>
      </c>
      <c r="AI64" s="214">
        <v>0</v>
      </c>
      <c r="AJ64" s="214">
        <v>3669.34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1048106.1299999999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0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15951.210000000003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0</v>
      </c>
      <c r="BX64" s="228">
        <v>0</v>
      </c>
      <c r="BY64" s="228">
        <v>5501.5900000000111</v>
      </c>
      <c r="BZ64" s="228">
        <v>0</v>
      </c>
      <c r="CA64" s="228">
        <v>0</v>
      </c>
      <c r="CB64" s="228">
        <v>0</v>
      </c>
      <c r="CC64" s="228">
        <v>14484657.800000001</v>
      </c>
      <c r="CD64" s="29" t="s">
        <v>233</v>
      </c>
      <c r="CE64" s="32">
        <f t="shared" si="4"/>
        <v>34813995.390000001</v>
      </c>
    </row>
    <row r="65" spans="1:83" x14ac:dyDescent="0.35">
      <c r="A65" s="39" t="s">
        <v>250</v>
      </c>
      <c r="B65" s="20"/>
      <c r="C65" s="213">
        <v>7364790.4900000002</v>
      </c>
      <c r="D65" s="213">
        <v>1977748.2599999998</v>
      </c>
      <c r="E65" s="213">
        <v>1852047.48</v>
      </c>
      <c r="F65" s="213">
        <v>0</v>
      </c>
      <c r="G65" s="213">
        <v>0</v>
      </c>
      <c r="H65" s="213">
        <v>75963.34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1787568.03</v>
      </c>
      <c r="P65" s="214">
        <v>58582055.690000005</v>
      </c>
      <c r="Q65" s="214">
        <v>0</v>
      </c>
      <c r="R65" s="214">
        <v>520350.5</v>
      </c>
      <c r="S65" s="228">
        <v>1345468.8199999998</v>
      </c>
      <c r="T65" s="228">
        <v>13496055.48</v>
      </c>
      <c r="U65" s="227">
        <v>19396261.34</v>
      </c>
      <c r="V65" s="214">
        <v>0</v>
      </c>
      <c r="W65" s="214">
        <v>623571.95000000007</v>
      </c>
      <c r="X65" s="214">
        <v>708072.19000000006</v>
      </c>
      <c r="Y65" s="214">
        <v>16314697.489999998</v>
      </c>
      <c r="Z65" s="214">
        <v>3698273.6799999997</v>
      </c>
      <c r="AA65" s="214">
        <v>554736.61</v>
      </c>
      <c r="AB65" s="240">
        <v>71600560.480000004</v>
      </c>
      <c r="AC65" s="214">
        <v>1904768.1799999997</v>
      </c>
      <c r="AD65" s="214">
        <v>31591.21</v>
      </c>
      <c r="AE65" s="214">
        <v>12440.43</v>
      </c>
      <c r="AF65" s="214">
        <v>0</v>
      </c>
      <c r="AG65" s="214">
        <v>4613357.7700000005</v>
      </c>
      <c r="AH65" s="214">
        <v>0</v>
      </c>
      <c r="AI65" s="214">
        <v>424021.62</v>
      </c>
      <c r="AJ65" s="214">
        <v>4305572.92</v>
      </c>
      <c r="AK65" s="214">
        <v>2132.4699999999998</v>
      </c>
      <c r="AL65" s="214">
        <v>23224.240000000002</v>
      </c>
      <c r="AM65" s="214">
        <v>0</v>
      </c>
      <c r="AN65" s="214">
        <v>0</v>
      </c>
      <c r="AO65" s="214">
        <v>0</v>
      </c>
      <c r="AP65" s="214">
        <v>412372.94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4281485.47</v>
      </c>
      <c r="AW65" s="228">
        <v>69665.759999999995</v>
      </c>
      <c r="AX65" s="228">
        <v>0</v>
      </c>
      <c r="AY65" s="214">
        <v>220763.85000000003</v>
      </c>
      <c r="AZ65" s="214">
        <v>0</v>
      </c>
      <c r="BA65" s="228">
        <v>0</v>
      </c>
      <c r="BB65" s="228">
        <v>-4056.5999999999981</v>
      </c>
      <c r="BC65" s="228">
        <v>17474.04</v>
      </c>
      <c r="BD65" s="228">
        <v>7344.6100000000006</v>
      </c>
      <c r="BE65" s="214">
        <v>17955.23</v>
      </c>
      <c r="BF65" s="228">
        <v>78839.83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32308.67</v>
      </c>
      <c r="BM65" s="228">
        <v>0</v>
      </c>
      <c r="BN65" s="228">
        <v>388527.26</v>
      </c>
      <c r="BO65" s="228">
        <v>0</v>
      </c>
      <c r="BP65" s="228">
        <v>0</v>
      </c>
      <c r="BQ65" s="228">
        <v>0</v>
      </c>
      <c r="BR65" s="228">
        <v>0</v>
      </c>
      <c r="BS65" s="228">
        <v>0</v>
      </c>
      <c r="BT65" s="228">
        <v>0</v>
      </c>
      <c r="BU65" s="228">
        <v>0</v>
      </c>
      <c r="BV65" s="228">
        <v>0</v>
      </c>
      <c r="BW65" s="228">
        <v>0</v>
      </c>
      <c r="BX65" s="228">
        <v>17617.12</v>
      </c>
      <c r="BY65" s="228">
        <v>12300.35</v>
      </c>
      <c r="BZ65" s="228">
        <v>2520.2399999999998</v>
      </c>
      <c r="CA65" s="228">
        <v>0</v>
      </c>
      <c r="CB65" s="228">
        <v>0</v>
      </c>
      <c r="CC65" s="228">
        <v>5240684.8299999991</v>
      </c>
      <c r="CD65" s="29" t="s">
        <v>233</v>
      </c>
      <c r="CE65" s="32">
        <f t="shared" si="4"/>
        <v>222011134.27000004</v>
      </c>
    </row>
    <row r="66" spans="1:83" x14ac:dyDescent="0.35">
      <c r="A66" s="39" t="s">
        <v>251</v>
      </c>
      <c r="B66" s="20"/>
      <c r="C66" s="213">
        <v>316043.45999999996</v>
      </c>
      <c r="D66" s="213">
        <v>126615.37000000001</v>
      </c>
      <c r="E66" s="213">
        <v>152309.28999999998</v>
      </c>
      <c r="F66" s="213">
        <v>0</v>
      </c>
      <c r="G66" s="213">
        <v>0</v>
      </c>
      <c r="H66" s="213">
        <v>55784.640000000007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162715.41</v>
      </c>
      <c r="P66" s="214">
        <v>319202.91000000003</v>
      </c>
      <c r="Q66" s="214">
        <v>0</v>
      </c>
      <c r="R66" s="214">
        <v>65276.110000000008</v>
      </c>
      <c r="S66" s="228">
        <v>62490.270000000011</v>
      </c>
      <c r="T66" s="228">
        <v>6022.4300000000012</v>
      </c>
      <c r="U66" s="227">
        <v>120405.18</v>
      </c>
      <c r="V66" s="214">
        <v>0</v>
      </c>
      <c r="W66" s="214">
        <v>7019.09</v>
      </c>
      <c r="X66" s="214">
        <v>11328.03</v>
      </c>
      <c r="Y66" s="214">
        <v>102472.76</v>
      </c>
      <c r="Z66" s="214">
        <v>75645.06</v>
      </c>
      <c r="AA66" s="214">
        <v>7933.85</v>
      </c>
      <c r="AB66" s="240">
        <v>65387.05</v>
      </c>
      <c r="AC66" s="214">
        <v>20806.240000000002</v>
      </c>
      <c r="AD66" s="214">
        <v>1171.5</v>
      </c>
      <c r="AE66" s="214">
        <v>11154.49</v>
      </c>
      <c r="AF66" s="214">
        <v>0</v>
      </c>
      <c r="AG66" s="214">
        <v>257843.65000000002</v>
      </c>
      <c r="AH66" s="214">
        <v>0</v>
      </c>
      <c r="AI66" s="214">
        <v>37259.75</v>
      </c>
      <c r="AJ66" s="214">
        <v>250332.49999999997</v>
      </c>
      <c r="AK66" s="214">
        <v>0</v>
      </c>
      <c r="AL66" s="214">
        <v>1130.72</v>
      </c>
      <c r="AM66" s="214">
        <v>0</v>
      </c>
      <c r="AN66" s="214">
        <v>0</v>
      </c>
      <c r="AO66" s="214">
        <v>0</v>
      </c>
      <c r="AP66" s="214">
        <v>15384.7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213110.97</v>
      </c>
      <c r="AW66" s="228">
        <v>21813.1</v>
      </c>
      <c r="AX66" s="228">
        <v>0</v>
      </c>
      <c r="AY66" s="214">
        <v>39189.89</v>
      </c>
      <c r="AZ66" s="214">
        <v>0</v>
      </c>
      <c r="BA66" s="228">
        <v>0</v>
      </c>
      <c r="BB66" s="228">
        <v>5435.25</v>
      </c>
      <c r="BC66" s="228">
        <v>2064.2299999999996</v>
      </c>
      <c r="BD66" s="228">
        <v>10318.459999999999</v>
      </c>
      <c r="BE66" s="214">
        <v>114825.68000000002</v>
      </c>
      <c r="BF66" s="228">
        <v>13458.25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6869.66</v>
      </c>
      <c r="BM66" s="228">
        <v>0</v>
      </c>
      <c r="BN66" s="228">
        <v>52000.86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0</v>
      </c>
      <c r="BW66" s="228">
        <v>0</v>
      </c>
      <c r="BX66" s="228">
        <v>21242.17</v>
      </c>
      <c r="BY66" s="228">
        <v>1923.46</v>
      </c>
      <c r="BZ66" s="228">
        <v>7864.1500000000015</v>
      </c>
      <c r="CA66" s="228">
        <v>0</v>
      </c>
      <c r="CB66" s="228">
        <v>0</v>
      </c>
      <c r="CC66" s="228">
        <v>56542.28</v>
      </c>
      <c r="CD66" s="29" t="s">
        <v>233</v>
      </c>
      <c r="CE66" s="32">
        <f t="shared" si="4"/>
        <v>2818392.870000001</v>
      </c>
    </row>
    <row r="67" spans="1:83" x14ac:dyDescent="0.35">
      <c r="A67" s="39" t="s">
        <v>252</v>
      </c>
      <c r="B67" s="20"/>
      <c r="C67" s="213">
        <v>954350.96</v>
      </c>
      <c r="D67" s="213">
        <v>280786.90000000002</v>
      </c>
      <c r="E67" s="213">
        <v>312626.25</v>
      </c>
      <c r="F67" s="213">
        <v>59.43</v>
      </c>
      <c r="G67" s="213">
        <v>0</v>
      </c>
      <c r="H67" s="213">
        <v>35171.440000000002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599938.82999999996</v>
      </c>
      <c r="P67" s="214">
        <v>3818352.29</v>
      </c>
      <c r="Q67" s="214">
        <v>0</v>
      </c>
      <c r="R67" s="214">
        <v>45266.18</v>
      </c>
      <c r="S67" s="228">
        <v>1054270.52</v>
      </c>
      <c r="T67" s="228">
        <v>15075.38</v>
      </c>
      <c r="U67" s="227">
        <v>5684207.6100000003</v>
      </c>
      <c r="V67" s="214">
        <v>0</v>
      </c>
      <c r="W67" s="214">
        <v>202922.4</v>
      </c>
      <c r="X67" s="214">
        <v>110032.16</v>
      </c>
      <c r="Y67" s="214">
        <v>345679.07</v>
      </c>
      <c r="Z67" s="214">
        <v>2286943.34</v>
      </c>
      <c r="AA67" s="214">
        <v>7732.32</v>
      </c>
      <c r="AB67" s="240">
        <v>822308.81</v>
      </c>
      <c r="AC67" s="214">
        <v>75764.800000000003</v>
      </c>
      <c r="AD67" s="214">
        <v>2012536.97</v>
      </c>
      <c r="AE67" s="214">
        <v>415.39</v>
      </c>
      <c r="AF67" s="214">
        <v>0</v>
      </c>
      <c r="AG67" s="214">
        <v>6215696.04</v>
      </c>
      <c r="AH67" s="214">
        <v>0</v>
      </c>
      <c r="AI67" s="214">
        <v>50281.78</v>
      </c>
      <c r="AJ67" s="214">
        <v>652221.89</v>
      </c>
      <c r="AK67" s="214">
        <v>10592.48</v>
      </c>
      <c r="AL67" s="214">
        <v>0</v>
      </c>
      <c r="AM67" s="214">
        <v>0</v>
      </c>
      <c r="AN67" s="214">
        <v>0</v>
      </c>
      <c r="AO67" s="214">
        <v>0</v>
      </c>
      <c r="AP67" s="214">
        <v>41861.870000000003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1385991.22</v>
      </c>
      <c r="AW67" s="228">
        <v>41336.68</v>
      </c>
      <c r="AX67" s="228">
        <v>0</v>
      </c>
      <c r="AY67" s="214">
        <v>19611.310000000001</v>
      </c>
      <c r="AZ67" s="214">
        <v>0</v>
      </c>
      <c r="BA67" s="228">
        <v>0</v>
      </c>
      <c r="BB67" s="228">
        <v>8661.69</v>
      </c>
      <c r="BC67" s="228">
        <v>3991.95</v>
      </c>
      <c r="BD67" s="228">
        <v>117990.95</v>
      </c>
      <c r="BE67" s="214">
        <v>544402.18000000005</v>
      </c>
      <c r="BF67" s="228">
        <v>44464.84</v>
      </c>
      <c r="BG67" s="228">
        <v>0</v>
      </c>
      <c r="BH67" s="228">
        <v>0</v>
      </c>
      <c r="BI67" s="228">
        <v>0</v>
      </c>
      <c r="BJ67" s="228">
        <v>0</v>
      </c>
      <c r="BK67" s="228">
        <v>0</v>
      </c>
      <c r="BL67" s="228">
        <v>210.77</v>
      </c>
      <c r="BM67" s="228">
        <v>0</v>
      </c>
      <c r="BN67" s="228">
        <v>481817.98</v>
      </c>
      <c r="BO67" s="228">
        <v>0</v>
      </c>
      <c r="BP67" s="228">
        <v>0</v>
      </c>
      <c r="BQ67" s="228">
        <v>0</v>
      </c>
      <c r="BR67" s="228">
        <v>0</v>
      </c>
      <c r="BS67" s="228">
        <v>0</v>
      </c>
      <c r="BT67" s="228">
        <v>0</v>
      </c>
      <c r="BU67" s="228">
        <v>0</v>
      </c>
      <c r="BV67" s="228">
        <v>0</v>
      </c>
      <c r="BW67" s="228">
        <v>0</v>
      </c>
      <c r="BX67" s="228">
        <v>232182.16</v>
      </c>
      <c r="BY67" s="228">
        <v>341288.89</v>
      </c>
      <c r="BZ67" s="228">
        <v>470.93</v>
      </c>
      <c r="CA67" s="228">
        <v>0</v>
      </c>
      <c r="CB67" s="228">
        <v>0</v>
      </c>
      <c r="CC67" s="228">
        <v>192783327.75000003</v>
      </c>
      <c r="CD67" s="29" t="s">
        <v>233</v>
      </c>
      <c r="CE67" s="32">
        <f t="shared" si="4"/>
        <v>221640844.41000003</v>
      </c>
    </row>
    <row r="68" spans="1:83" x14ac:dyDescent="0.35">
      <c r="A68" s="39" t="s">
        <v>11</v>
      </c>
      <c r="B68" s="20"/>
      <c r="C68" s="32">
        <f t="shared" ref="C68:BN68" si="7">ROUND(C52+C53,0)</f>
        <v>1483177</v>
      </c>
      <c r="D68" s="32">
        <f t="shared" si="7"/>
        <v>255480</v>
      </c>
      <c r="E68" s="32">
        <f t="shared" si="7"/>
        <v>178614</v>
      </c>
      <c r="F68" s="32">
        <f t="shared" si="7"/>
        <v>0</v>
      </c>
      <c r="G68" s="32">
        <f t="shared" si="7"/>
        <v>0</v>
      </c>
      <c r="H68" s="32">
        <f t="shared" si="7"/>
        <v>62142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279302</v>
      </c>
      <c r="P68" s="32">
        <f t="shared" si="7"/>
        <v>2964718</v>
      </c>
      <c r="Q68" s="32">
        <f t="shared" si="7"/>
        <v>0</v>
      </c>
      <c r="R68" s="32">
        <f t="shared" si="7"/>
        <v>35846</v>
      </c>
      <c r="S68" s="32">
        <f t="shared" si="7"/>
        <v>176622</v>
      </c>
      <c r="T68" s="32">
        <f t="shared" si="7"/>
        <v>9608</v>
      </c>
      <c r="U68" s="32">
        <f t="shared" si="7"/>
        <v>391090</v>
      </c>
      <c r="V68" s="32">
        <f t="shared" si="7"/>
        <v>0</v>
      </c>
      <c r="W68" s="32">
        <f t="shared" si="7"/>
        <v>386293</v>
      </c>
      <c r="X68" s="32">
        <f t="shared" si="7"/>
        <v>100512</v>
      </c>
      <c r="Y68" s="32">
        <f t="shared" si="7"/>
        <v>1499227</v>
      </c>
      <c r="Z68" s="32">
        <f t="shared" si="7"/>
        <v>614158</v>
      </c>
      <c r="AA68" s="32">
        <f t="shared" si="7"/>
        <v>1263</v>
      </c>
      <c r="AB68" s="32">
        <f t="shared" si="7"/>
        <v>316802</v>
      </c>
      <c r="AC68" s="32">
        <f t="shared" si="7"/>
        <v>307643</v>
      </c>
      <c r="AD68" s="32">
        <f t="shared" si="7"/>
        <v>0</v>
      </c>
      <c r="AE68" s="32">
        <f t="shared" si="7"/>
        <v>36052</v>
      </c>
      <c r="AF68" s="32">
        <f t="shared" si="7"/>
        <v>0</v>
      </c>
      <c r="AG68" s="32">
        <f t="shared" si="7"/>
        <v>620807</v>
      </c>
      <c r="AH68" s="32">
        <f t="shared" si="7"/>
        <v>0</v>
      </c>
      <c r="AI68" s="32">
        <f t="shared" si="7"/>
        <v>112854</v>
      </c>
      <c r="AJ68" s="32">
        <f t="shared" si="7"/>
        <v>1587227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33217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1297278</v>
      </c>
      <c r="AW68" s="32">
        <f t="shared" si="7"/>
        <v>16445</v>
      </c>
      <c r="AX68" s="32">
        <f t="shared" si="7"/>
        <v>0</v>
      </c>
      <c r="AY68" s="32">
        <f t="shared" si="7"/>
        <v>36399</v>
      </c>
      <c r="AZ68" s="32">
        <f t="shared" si="7"/>
        <v>0</v>
      </c>
      <c r="BA68" s="32">
        <f t="shared" si="7"/>
        <v>0</v>
      </c>
      <c r="BB68" s="32">
        <f t="shared" si="7"/>
        <v>168</v>
      </c>
      <c r="BC68" s="32">
        <f t="shared" si="7"/>
        <v>8779</v>
      </c>
      <c r="BD68" s="32">
        <f t="shared" si="7"/>
        <v>0</v>
      </c>
      <c r="BE68" s="32">
        <f t="shared" si="7"/>
        <v>2976</v>
      </c>
      <c r="BF68" s="32">
        <f t="shared" si="7"/>
        <v>1164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4145</v>
      </c>
      <c r="BM68" s="32">
        <f t="shared" si="7"/>
        <v>0</v>
      </c>
      <c r="BN68" s="32">
        <f t="shared" si="7"/>
        <v>468716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57095</v>
      </c>
      <c r="BZ68" s="32">
        <f t="shared" si="8"/>
        <v>64598</v>
      </c>
      <c r="CA68" s="32">
        <f t="shared" si="8"/>
        <v>0</v>
      </c>
      <c r="CB68" s="32">
        <f t="shared" si="8"/>
        <v>0</v>
      </c>
      <c r="CC68" s="32">
        <f t="shared" si="8"/>
        <v>2820018</v>
      </c>
      <c r="CD68" s="29" t="s">
        <v>233</v>
      </c>
      <c r="CE68" s="32">
        <f t="shared" si="4"/>
        <v>16230435</v>
      </c>
    </row>
    <row r="69" spans="1:83" x14ac:dyDescent="0.35">
      <c r="A69" s="39" t="s">
        <v>253</v>
      </c>
      <c r="B69" s="32"/>
      <c r="C69" s="213">
        <v>440678.22000000003</v>
      </c>
      <c r="D69" s="213">
        <v>288511</v>
      </c>
      <c r="E69" s="213">
        <v>578677.27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70049.62999999999</v>
      </c>
      <c r="P69" s="214">
        <v>997270.98</v>
      </c>
      <c r="Q69" s="214">
        <v>0</v>
      </c>
      <c r="R69" s="214">
        <v>157517.47</v>
      </c>
      <c r="S69" s="228">
        <v>36.450000000000003</v>
      </c>
      <c r="T69" s="228">
        <v>625.83000000000004</v>
      </c>
      <c r="U69" s="227">
        <v>241812.79</v>
      </c>
      <c r="V69" s="214">
        <v>0</v>
      </c>
      <c r="W69" s="214">
        <v>0</v>
      </c>
      <c r="X69" s="214">
        <v>0</v>
      </c>
      <c r="Y69" s="214">
        <v>480283.39999999997</v>
      </c>
      <c r="Z69" s="214">
        <v>8.16</v>
      </c>
      <c r="AA69" s="214">
        <v>0</v>
      </c>
      <c r="AB69" s="240">
        <v>58346.420000000006</v>
      </c>
      <c r="AC69" s="214">
        <v>50736.830000000009</v>
      </c>
      <c r="AD69" s="214">
        <v>0</v>
      </c>
      <c r="AE69" s="214">
        <v>0</v>
      </c>
      <c r="AF69" s="214">
        <v>0</v>
      </c>
      <c r="AG69" s="214">
        <v>864039.82000000007</v>
      </c>
      <c r="AH69" s="214">
        <v>0</v>
      </c>
      <c r="AI69" s="214">
        <v>7369.3799999999992</v>
      </c>
      <c r="AJ69" s="214">
        <v>2143370.59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614975.29999999993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874332.25000000012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12.82</v>
      </c>
      <c r="BE69" s="214">
        <v>0</v>
      </c>
      <c r="BF69" s="228">
        <v>27.18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12.35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36906.470000000008</v>
      </c>
      <c r="CD69" s="29" t="s">
        <v>233</v>
      </c>
      <c r="CE69" s="32">
        <f t="shared" si="4"/>
        <v>7905600.6099999994</v>
      </c>
    </row>
    <row r="70" spans="1:83" x14ac:dyDescent="0.35">
      <c r="A70" s="39" t="s">
        <v>254</v>
      </c>
      <c r="B70" s="20"/>
      <c r="C70" s="32">
        <f t="shared" ref="C70:BN70" si="9">SUM(C71:C84)</f>
        <v>907879.45000000042</v>
      </c>
      <c r="D70" s="32">
        <f t="shared" si="9"/>
        <v>354958.53000000009</v>
      </c>
      <c r="E70" s="32">
        <f t="shared" si="9"/>
        <v>319713.89000000013</v>
      </c>
      <c r="F70" s="32">
        <f t="shared" si="9"/>
        <v>0</v>
      </c>
      <c r="G70" s="32">
        <f t="shared" si="9"/>
        <v>0</v>
      </c>
      <c r="H70" s="32">
        <f t="shared" si="9"/>
        <v>158700.51999999999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170852.72999999995</v>
      </c>
      <c r="P70" s="32">
        <f t="shared" si="9"/>
        <v>669442.28999999992</v>
      </c>
      <c r="Q70" s="32">
        <f t="shared" si="9"/>
        <v>0</v>
      </c>
      <c r="R70" s="32">
        <f t="shared" si="9"/>
        <v>126099.56999999998</v>
      </c>
      <c r="S70" s="32">
        <f t="shared" si="9"/>
        <v>43223.049999999996</v>
      </c>
      <c r="T70" s="32">
        <f t="shared" si="9"/>
        <v>40378.150000000016</v>
      </c>
      <c r="U70" s="32">
        <f t="shared" si="9"/>
        <v>156375.34000000014</v>
      </c>
      <c r="V70" s="32">
        <f t="shared" si="9"/>
        <v>0</v>
      </c>
      <c r="W70" s="32">
        <f t="shared" si="9"/>
        <v>7706.0899999999965</v>
      </c>
      <c r="X70" s="32">
        <f t="shared" si="9"/>
        <v>1635.7700000000023</v>
      </c>
      <c r="Y70" s="32">
        <f t="shared" si="9"/>
        <v>111877.41999999985</v>
      </c>
      <c r="Z70" s="32">
        <f t="shared" si="9"/>
        <v>71401.719999999972</v>
      </c>
      <c r="AA70" s="32">
        <f t="shared" si="9"/>
        <v>1031.6699999999964</v>
      </c>
      <c r="AB70" s="32">
        <f t="shared" si="9"/>
        <v>66311.409999999727</v>
      </c>
      <c r="AC70" s="32">
        <f t="shared" si="9"/>
        <v>494908.98999999987</v>
      </c>
      <c r="AD70" s="32">
        <f t="shared" si="9"/>
        <v>175.47000000000116</v>
      </c>
      <c r="AE70" s="32">
        <f t="shared" si="9"/>
        <v>779.62999999999556</v>
      </c>
      <c r="AF70" s="32">
        <f t="shared" si="9"/>
        <v>0</v>
      </c>
      <c r="AG70" s="32">
        <f t="shared" si="9"/>
        <v>884183.81999999972</v>
      </c>
      <c r="AH70" s="32">
        <f t="shared" si="9"/>
        <v>0</v>
      </c>
      <c r="AI70" s="32">
        <f t="shared" si="9"/>
        <v>68579.25</v>
      </c>
      <c r="AJ70" s="32">
        <f t="shared" si="9"/>
        <v>447057.08999999985</v>
      </c>
      <c r="AK70" s="32">
        <f t="shared" si="9"/>
        <v>225</v>
      </c>
      <c r="AL70" s="32">
        <f t="shared" si="9"/>
        <v>139.99999999999932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32876.809999999983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414921.94000000029</v>
      </c>
      <c r="AW70" s="32">
        <f t="shared" si="9"/>
        <v>141085.77999999997</v>
      </c>
      <c r="AX70" s="32">
        <f t="shared" si="9"/>
        <v>0</v>
      </c>
      <c r="AY70" s="32">
        <f t="shared" si="9"/>
        <v>8765.4800000000032</v>
      </c>
      <c r="AZ70" s="32">
        <f t="shared" si="9"/>
        <v>0</v>
      </c>
      <c r="BA70" s="32">
        <f t="shared" si="9"/>
        <v>0</v>
      </c>
      <c r="BB70" s="32">
        <f t="shared" si="9"/>
        <v>15762.640000000007</v>
      </c>
      <c r="BC70" s="32">
        <f t="shared" si="9"/>
        <v>16650.000000000004</v>
      </c>
      <c r="BD70" s="32">
        <f t="shared" si="9"/>
        <v>2004.8399999999983</v>
      </c>
      <c r="BE70" s="32">
        <f t="shared" si="9"/>
        <v>49063.629999999976</v>
      </c>
      <c r="BF70" s="32">
        <f t="shared" si="9"/>
        <v>164482.90000000005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-598.24999999999636</v>
      </c>
      <c r="BM70" s="32">
        <f t="shared" si="9"/>
        <v>0</v>
      </c>
      <c r="BN70" s="32">
        <f t="shared" si="9"/>
        <v>763742.65000000014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11531.010000000009</v>
      </c>
      <c r="BY70" s="32">
        <f t="shared" si="10"/>
        <v>7835.7099999999982</v>
      </c>
      <c r="BZ70" s="32">
        <f t="shared" si="10"/>
        <v>141991.08000000002</v>
      </c>
      <c r="CA70" s="32">
        <f t="shared" si="10"/>
        <v>0</v>
      </c>
      <c r="CB70" s="32">
        <f t="shared" si="10"/>
        <v>0</v>
      </c>
      <c r="CC70" s="32">
        <f t="shared" si="10"/>
        <v>24451350.789999999</v>
      </c>
      <c r="CD70" s="32">
        <f t="shared" si="10"/>
        <v>29026131.379999995</v>
      </c>
      <c r="CE70" s="32">
        <f>SUM(CE71:CE85)</f>
        <v>127731915.97999999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907879.45000000042</v>
      </c>
      <c r="D84" s="24">
        <v>354958.53000000009</v>
      </c>
      <c r="E84" s="30">
        <v>319713.89000000013</v>
      </c>
      <c r="F84" s="30">
        <v>0</v>
      </c>
      <c r="G84" s="24">
        <v>0</v>
      </c>
      <c r="H84" s="24">
        <v>158700.51999999999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170852.72999999995</v>
      </c>
      <c r="P84" s="30">
        <v>669442.28999999992</v>
      </c>
      <c r="Q84" s="30">
        <v>0</v>
      </c>
      <c r="R84" s="31">
        <v>126099.56999999998</v>
      </c>
      <c r="S84" s="30">
        <v>43223.049999999996</v>
      </c>
      <c r="T84" s="24">
        <v>40378.150000000016</v>
      </c>
      <c r="U84" s="30">
        <v>156375.34000000014</v>
      </c>
      <c r="V84" s="30">
        <v>0</v>
      </c>
      <c r="W84" s="24">
        <v>7706.0899999999965</v>
      </c>
      <c r="X84" s="30">
        <v>1635.7700000000023</v>
      </c>
      <c r="Y84" s="30">
        <v>111877.41999999985</v>
      </c>
      <c r="Z84" s="30">
        <v>71401.719999999972</v>
      </c>
      <c r="AA84" s="30">
        <v>1031.6699999999964</v>
      </c>
      <c r="AB84" s="30">
        <v>66311.409999999727</v>
      </c>
      <c r="AC84" s="30">
        <v>494908.98999999987</v>
      </c>
      <c r="AD84" s="30">
        <v>175.47000000000116</v>
      </c>
      <c r="AE84" s="30">
        <v>779.62999999999556</v>
      </c>
      <c r="AF84" s="30">
        <v>0</v>
      </c>
      <c r="AG84" s="30">
        <v>884183.81999999972</v>
      </c>
      <c r="AH84" s="30">
        <v>0</v>
      </c>
      <c r="AI84" s="30">
        <v>68579.25</v>
      </c>
      <c r="AJ84" s="30">
        <v>447057.08999999985</v>
      </c>
      <c r="AK84" s="30">
        <v>225</v>
      </c>
      <c r="AL84" s="30">
        <v>139.99999999999932</v>
      </c>
      <c r="AM84" s="30">
        <v>0</v>
      </c>
      <c r="AN84" s="30">
        <v>0</v>
      </c>
      <c r="AO84" s="24">
        <v>0</v>
      </c>
      <c r="AP84" s="30">
        <v>32876.809999999983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414921.94000000029</v>
      </c>
      <c r="AW84" s="30">
        <v>141085.77999999997</v>
      </c>
      <c r="AX84" s="30">
        <v>0</v>
      </c>
      <c r="AY84" s="30">
        <v>8765.4800000000032</v>
      </c>
      <c r="AZ84" s="30">
        <v>0</v>
      </c>
      <c r="BA84" s="30">
        <v>0</v>
      </c>
      <c r="BB84" s="30">
        <v>15762.640000000007</v>
      </c>
      <c r="BC84" s="30">
        <v>16650.000000000004</v>
      </c>
      <c r="BD84" s="30">
        <v>2004.8399999999983</v>
      </c>
      <c r="BE84" s="30">
        <v>49063.629999999976</v>
      </c>
      <c r="BF84" s="30">
        <v>164482.90000000005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-598.24999999999636</v>
      </c>
      <c r="BM84" s="30">
        <v>0</v>
      </c>
      <c r="BN84" s="30">
        <v>763742.65000000014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11531.010000000009</v>
      </c>
      <c r="BY84" s="30">
        <v>7835.7099999999982</v>
      </c>
      <c r="BZ84" s="30">
        <v>141991.08000000002</v>
      </c>
      <c r="CA84" s="30">
        <v>0</v>
      </c>
      <c r="CB84" s="30">
        <v>0</v>
      </c>
      <c r="CC84" s="30">
        <v>24451350.789999999</v>
      </c>
      <c r="CD84" s="35">
        <v>29026131.379999995</v>
      </c>
      <c r="CE84" s="32">
        <f t="shared" si="11"/>
        <v>60351235.239999995</v>
      </c>
    </row>
    <row r="85" spans="1:84" x14ac:dyDescent="0.35">
      <c r="A85" s="39" t="s">
        <v>269</v>
      </c>
      <c r="B85" s="20"/>
      <c r="C85" s="213">
        <v>156403.28999999998</v>
      </c>
      <c r="D85" s="213">
        <v>3578.16</v>
      </c>
      <c r="E85" s="213">
        <v>6848.38</v>
      </c>
      <c r="F85" s="213">
        <v>0</v>
      </c>
      <c r="G85" s="213">
        <v>0</v>
      </c>
      <c r="H85" s="213">
        <v>3764.65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20492.579999999998</v>
      </c>
      <c r="P85" s="213">
        <v>0</v>
      </c>
      <c r="Q85" s="213">
        <v>0</v>
      </c>
      <c r="R85" s="213">
        <v>0</v>
      </c>
      <c r="S85" s="213">
        <v>2784.43</v>
      </c>
      <c r="T85" s="213">
        <v>0</v>
      </c>
      <c r="U85" s="213">
        <v>2838019.3200000003</v>
      </c>
      <c r="V85" s="213">
        <v>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42483.1</v>
      </c>
      <c r="AC85" s="213">
        <v>15926.72</v>
      </c>
      <c r="AD85" s="213">
        <v>0</v>
      </c>
      <c r="AE85" s="213">
        <v>993.23</v>
      </c>
      <c r="AF85" s="213">
        <v>0</v>
      </c>
      <c r="AG85" s="213">
        <v>17257.68</v>
      </c>
      <c r="AH85" s="213">
        <v>0</v>
      </c>
      <c r="AI85" s="213">
        <v>1682.52</v>
      </c>
      <c r="AJ85" s="213">
        <v>253370.72</v>
      </c>
      <c r="AK85" s="213">
        <v>7363.5</v>
      </c>
      <c r="AL85" s="213">
        <v>9200</v>
      </c>
      <c r="AM85" s="213">
        <v>0</v>
      </c>
      <c r="AN85" s="213">
        <v>0</v>
      </c>
      <c r="AO85" s="213">
        <v>0</v>
      </c>
      <c r="AP85" s="213">
        <v>94055.85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172489.69</v>
      </c>
      <c r="AW85" s="213">
        <v>1525539.51</v>
      </c>
      <c r="AX85" s="213">
        <v>0</v>
      </c>
      <c r="AY85" s="213">
        <v>305381.26</v>
      </c>
      <c r="AZ85" s="213">
        <v>0</v>
      </c>
      <c r="BA85" s="213">
        <v>0</v>
      </c>
      <c r="BB85" s="213">
        <v>0</v>
      </c>
      <c r="BC85" s="213">
        <v>0</v>
      </c>
      <c r="BD85" s="213">
        <v>199.57</v>
      </c>
      <c r="BE85" s="213">
        <v>0</v>
      </c>
      <c r="BF85" s="213">
        <v>0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118500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0</v>
      </c>
      <c r="BW85" s="213">
        <v>0</v>
      </c>
      <c r="BX85" s="213">
        <v>0</v>
      </c>
      <c r="BY85" s="213">
        <v>0</v>
      </c>
      <c r="BZ85" s="213">
        <v>75.23</v>
      </c>
      <c r="CA85" s="213">
        <v>0</v>
      </c>
      <c r="CB85" s="213">
        <v>0</v>
      </c>
      <c r="CC85" s="213">
        <v>61784271.349999994</v>
      </c>
      <c r="CD85" s="35"/>
      <c r="CE85" s="32">
        <f t="shared" si="11"/>
        <v>67380680.739999995</v>
      </c>
    </row>
    <row r="86" spans="1:84" x14ac:dyDescent="0.35">
      <c r="A86" s="39" t="s">
        <v>270</v>
      </c>
      <c r="B86" s="32"/>
      <c r="C86" s="32">
        <f>SUM(C62:C70)-C85</f>
        <v>73605937.11999999</v>
      </c>
      <c r="D86" s="32">
        <f t="shared" ref="D86:BO86" si="12">SUM(D62:D70)-D85</f>
        <v>24972614.979999997</v>
      </c>
      <c r="E86" s="32">
        <f t="shared" si="12"/>
        <v>35820950.269999996</v>
      </c>
      <c r="F86" s="32">
        <f t="shared" si="12"/>
        <v>24007.599999999995</v>
      </c>
      <c r="G86" s="32">
        <f t="shared" si="12"/>
        <v>0</v>
      </c>
      <c r="H86" s="32">
        <f t="shared" si="12"/>
        <v>8024067.9699999988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23658247.569999997</v>
      </c>
      <c r="P86" s="32">
        <f t="shared" si="12"/>
        <v>108783561.07000001</v>
      </c>
      <c r="Q86" s="32">
        <f t="shared" si="12"/>
        <v>0</v>
      </c>
      <c r="R86" s="32">
        <f t="shared" si="12"/>
        <v>12288790.950000001</v>
      </c>
      <c r="S86" s="32">
        <f t="shared" si="12"/>
        <v>7202513.9299999997</v>
      </c>
      <c r="T86" s="32">
        <f t="shared" si="12"/>
        <v>16747887.290000001</v>
      </c>
      <c r="U86" s="32">
        <f t="shared" si="12"/>
        <v>45835148.839999996</v>
      </c>
      <c r="V86" s="32">
        <f t="shared" si="12"/>
        <v>0</v>
      </c>
      <c r="W86" s="32">
        <f t="shared" si="12"/>
        <v>4332825.3900000006</v>
      </c>
      <c r="X86" s="32">
        <f t="shared" si="12"/>
        <v>3652723.07</v>
      </c>
      <c r="Y86" s="32">
        <f t="shared" si="12"/>
        <v>31969863.449999996</v>
      </c>
      <c r="Z86" s="32">
        <f t="shared" si="12"/>
        <v>12232449.210000001</v>
      </c>
      <c r="AA86" s="32">
        <f t="shared" si="12"/>
        <v>1357666.18</v>
      </c>
      <c r="AB86" s="32">
        <f t="shared" si="12"/>
        <v>90991734.600000009</v>
      </c>
      <c r="AC86" s="32">
        <f t="shared" si="12"/>
        <v>12033282.609999999</v>
      </c>
      <c r="AD86" s="32">
        <f t="shared" si="12"/>
        <v>2045475.15</v>
      </c>
      <c r="AE86" s="32">
        <f t="shared" si="12"/>
        <v>3302777.0700000003</v>
      </c>
      <c r="AF86" s="32">
        <f t="shared" si="12"/>
        <v>0</v>
      </c>
      <c r="AG86" s="32">
        <f t="shared" si="12"/>
        <v>48537220.619999997</v>
      </c>
      <c r="AH86" s="32">
        <f t="shared" si="12"/>
        <v>0</v>
      </c>
      <c r="AI86" s="32">
        <f t="shared" si="12"/>
        <v>4932803.8800000018</v>
      </c>
      <c r="AJ86" s="32">
        <f t="shared" si="12"/>
        <v>76708233.770000011</v>
      </c>
      <c r="AK86" s="32">
        <f t="shared" si="12"/>
        <v>195797</v>
      </c>
      <c r="AL86" s="32">
        <f t="shared" si="12"/>
        <v>852014.52999999991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12463901.659999998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48407388.18</v>
      </c>
      <c r="AW86" s="32">
        <f t="shared" si="12"/>
        <v>7056869.8100000005</v>
      </c>
      <c r="AX86" s="32">
        <f t="shared" si="12"/>
        <v>0</v>
      </c>
      <c r="AY86" s="32">
        <f t="shared" si="12"/>
        <v>1080965.19</v>
      </c>
      <c r="AZ86" s="32">
        <f t="shared" si="12"/>
        <v>0</v>
      </c>
      <c r="BA86" s="32">
        <f t="shared" si="12"/>
        <v>0</v>
      </c>
      <c r="BB86" s="32">
        <f t="shared" si="12"/>
        <v>3237005.08</v>
      </c>
      <c r="BC86" s="32">
        <f t="shared" si="12"/>
        <v>2161474.89</v>
      </c>
      <c r="BD86" s="32">
        <f t="shared" si="12"/>
        <v>797707.08999999985</v>
      </c>
      <c r="BE86" s="32">
        <f t="shared" si="12"/>
        <v>1963364.7199999997</v>
      </c>
      <c r="BF86" s="32">
        <f t="shared" si="12"/>
        <v>1847282.93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2747977.3800000004</v>
      </c>
      <c r="BM86" s="32">
        <f t="shared" si="12"/>
        <v>0</v>
      </c>
      <c r="BN86" s="32">
        <f t="shared" si="12"/>
        <v>5251827.7699999996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5360133.0100000007</v>
      </c>
      <c r="BY86" s="32">
        <f t="shared" si="13"/>
        <v>3236115.79</v>
      </c>
      <c r="BZ86" s="32">
        <f t="shared" si="13"/>
        <v>3292360.1800000006</v>
      </c>
      <c r="CA86" s="32">
        <f t="shared" si="13"/>
        <v>0</v>
      </c>
      <c r="CB86" s="32">
        <f t="shared" si="13"/>
        <v>0</v>
      </c>
      <c r="CC86" s="32">
        <f t="shared" si="13"/>
        <v>187209255.02000001</v>
      </c>
      <c r="CD86" s="32">
        <f t="shared" si="13"/>
        <v>29026131.379999995</v>
      </c>
      <c r="CE86" s="32">
        <f t="shared" si="11"/>
        <v>965248354.19999969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320534157.38999999</v>
      </c>
      <c r="D88" s="213">
        <v>84395653.410000011</v>
      </c>
      <c r="E88" s="213">
        <v>109495179.02</v>
      </c>
      <c r="F88" s="213">
        <v>0</v>
      </c>
      <c r="G88" s="213">
        <v>0</v>
      </c>
      <c r="H88" s="213">
        <v>45005547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62500570.550000004</v>
      </c>
      <c r="P88" s="213">
        <v>419193942.76000005</v>
      </c>
      <c r="Q88" s="213">
        <v>0</v>
      </c>
      <c r="R88" s="213">
        <v>44751539.609999999</v>
      </c>
      <c r="S88" s="213">
        <v>0</v>
      </c>
      <c r="T88" s="213">
        <v>13179707.34</v>
      </c>
      <c r="U88" s="213">
        <v>134934378.46000001</v>
      </c>
      <c r="V88" s="213">
        <v>4894786</v>
      </c>
      <c r="W88" s="213">
        <v>19967460.120000001</v>
      </c>
      <c r="X88" s="213">
        <v>78925694.109999999</v>
      </c>
      <c r="Y88" s="213">
        <v>101615360.61</v>
      </c>
      <c r="Z88" s="213">
        <v>31562533.500000004</v>
      </c>
      <c r="AA88" s="213">
        <v>3968432.4499999997</v>
      </c>
      <c r="AB88" s="213">
        <v>140355446.81</v>
      </c>
      <c r="AC88" s="213">
        <v>124094180</v>
      </c>
      <c r="AD88" s="213">
        <v>4503111</v>
      </c>
      <c r="AE88" s="213">
        <v>9255254</v>
      </c>
      <c r="AF88" s="213">
        <v>0</v>
      </c>
      <c r="AG88" s="213">
        <v>114379683.39</v>
      </c>
      <c r="AH88" s="213">
        <v>0</v>
      </c>
      <c r="AI88" s="213">
        <v>11161932.119999999</v>
      </c>
      <c r="AJ88" s="213">
        <v>6542130.1400000006</v>
      </c>
      <c r="AK88" s="213">
        <v>411</v>
      </c>
      <c r="AL88" s="213">
        <v>2466868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48812941.899999999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1936496900.6899996</v>
      </c>
    </row>
    <row r="89" spans="1:84" x14ac:dyDescent="0.35">
      <c r="A89" s="26" t="s">
        <v>273</v>
      </c>
      <c r="B89" s="20"/>
      <c r="C89" s="213">
        <v>992577.99999999988</v>
      </c>
      <c r="D89" s="213">
        <v>1993219</v>
      </c>
      <c r="E89" s="213">
        <v>4072146.44</v>
      </c>
      <c r="F89" s="213">
        <v>0</v>
      </c>
      <c r="G89" s="213">
        <v>0</v>
      </c>
      <c r="H89" s="213">
        <v>1555763.9999999998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10923763</v>
      </c>
      <c r="P89" s="213">
        <v>382778711.95999998</v>
      </c>
      <c r="Q89" s="213">
        <v>0</v>
      </c>
      <c r="R89" s="213">
        <v>67016567.879999995</v>
      </c>
      <c r="S89" s="213">
        <v>0</v>
      </c>
      <c r="T89" s="213">
        <v>112687224.06999999</v>
      </c>
      <c r="U89" s="213">
        <v>94461407.999999985</v>
      </c>
      <c r="V89" s="213">
        <v>8349386</v>
      </c>
      <c r="W89" s="213">
        <v>58135192.990000002</v>
      </c>
      <c r="X89" s="213">
        <v>129005634.89999999</v>
      </c>
      <c r="Y89" s="213">
        <v>189044700.77000001</v>
      </c>
      <c r="Z89" s="213">
        <v>75305775.63000001</v>
      </c>
      <c r="AA89" s="213">
        <v>6116884.879999999</v>
      </c>
      <c r="AB89" s="213">
        <v>252230188.49000001</v>
      </c>
      <c r="AC89" s="213">
        <v>1210556.0000000002</v>
      </c>
      <c r="AD89" s="213">
        <v>70709</v>
      </c>
      <c r="AE89" s="213">
        <v>809291</v>
      </c>
      <c r="AF89" s="213">
        <v>0</v>
      </c>
      <c r="AG89" s="213">
        <v>299439827.26999998</v>
      </c>
      <c r="AH89" s="213">
        <v>0</v>
      </c>
      <c r="AI89" s="213">
        <v>1196458.0000000002</v>
      </c>
      <c r="AJ89" s="213">
        <v>150343602.93000001</v>
      </c>
      <c r="AK89" s="213">
        <v>631526.00000000012</v>
      </c>
      <c r="AL89" s="213">
        <v>742489</v>
      </c>
      <c r="AM89" s="213">
        <v>0</v>
      </c>
      <c r="AN89" s="213">
        <v>0</v>
      </c>
      <c r="AO89" s="213">
        <v>0</v>
      </c>
      <c r="AP89" s="213">
        <v>26930293.110000003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104155390.22999999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1980199288.55</v>
      </c>
    </row>
    <row r="90" spans="1:84" x14ac:dyDescent="0.35">
      <c r="A90" s="26" t="s">
        <v>274</v>
      </c>
      <c r="B90" s="20"/>
      <c r="C90" s="32">
        <f>C88+C89</f>
        <v>321526735.38999999</v>
      </c>
      <c r="D90" s="32">
        <f t="shared" ref="D90:AV90" si="15">D88+D89</f>
        <v>86388872.410000011</v>
      </c>
      <c r="E90" s="32">
        <f t="shared" si="15"/>
        <v>113567325.45999999</v>
      </c>
      <c r="F90" s="32">
        <f t="shared" si="15"/>
        <v>0</v>
      </c>
      <c r="G90" s="32">
        <f t="shared" si="15"/>
        <v>0</v>
      </c>
      <c r="H90" s="32">
        <f t="shared" si="15"/>
        <v>46561311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73424333.550000012</v>
      </c>
      <c r="P90" s="32">
        <f t="shared" si="15"/>
        <v>801972654.72000003</v>
      </c>
      <c r="Q90" s="32">
        <f t="shared" si="15"/>
        <v>0</v>
      </c>
      <c r="R90" s="32">
        <f t="shared" si="15"/>
        <v>111768107.48999999</v>
      </c>
      <c r="S90" s="32">
        <f t="shared" si="15"/>
        <v>0</v>
      </c>
      <c r="T90" s="32">
        <f t="shared" si="15"/>
        <v>125866931.41</v>
      </c>
      <c r="U90" s="32">
        <f t="shared" si="15"/>
        <v>229395786.45999998</v>
      </c>
      <c r="V90" s="32">
        <f t="shared" si="15"/>
        <v>13244172</v>
      </c>
      <c r="W90" s="32">
        <f t="shared" si="15"/>
        <v>78102653.109999999</v>
      </c>
      <c r="X90" s="32">
        <f t="shared" si="15"/>
        <v>207931329.00999999</v>
      </c>
      <c r="Y90" s="32">
        <f t="shared" si="15"/>
        <v>290660061.38</v>
      </c>
      <c r="Z90" s="32">
        <f t="shared" si="15"/>
        <v>106868309.13000001</v>
      </c>
      <c r="AA90" s="32">
        <f t="shared" si="15"/>
        <v>10085317.329999998</v>
      </c>
      <c r="AB90" s="32">
        <f t="shared" si="15"/>
        <v>392585635.30000001</v>
      </c>
      <c r="AC90" s="32">
        <f t="shared" si="15"/>
        <v>125304736</v>
      </c>
      <c r="AD90" s="32">
        <f t="shared" si="15"/>
        <v>4573820</v>
      </c>
      <c r="AE90" s="32">
        <f t="shared" si="15"/>
        <v>10064545</v>
      </c>
      <c r="AF90" s="32">
        <f t="shared" si="15"/>
        <v>0</v>
      </c>
      <c r="AG90" s="32">
        <f t="shared" si="15"/>
        <v>413819510.65999997</v>
      </c>
      <c r="AH90" s="32">
        <f t="shared" si="15"/>
        <v>0</v>
      </c>
      <c r="AI90" s="32">
        <f t="shared" si="15"/>
        <v>12358390.119999999</v>
      </c>
      <c r="AJ90" s="32">
        <f t="shared" si="15"/>
        <v>156885733.06999999</v>
      </c>
      <c r="AK90" s="32">
        <f t="shared" si="15"/>
        <v>631937.00000000012</v>
      </c>
      <c r="AL90" s="32">
        <f t="shared" si="15"/>
        <v>3209357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26930293.110000003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152968332.13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3916696189.2400007</v>
      </c>
    </row>
    <row r="91" spans="1:84" x14ac:dyDescent="0.35">
      <c r="A91" s="39" t="s">
        <v>275</v>
      </c>
      <c r="B91" s="32"/>
      <c r="C91" s="213">
        <v>85926.369999999923</v>
      </c>
      <c r="D91" s="213">
        <v>31054.614999999983</v>
      </c>
      <c r="E91" s="213">
        <v>41580.60000000002</v>
      </c>
      <c r="F91" s="213">
        <v>0</v>
      </c>
      <c r="G91" s="213">
        <v>0</v>
      </c>
      <c r="H91" s="213">
        <v>15030.48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45474.760000000017</v>
      </c>
      <c r="P91" s="213">
        <v>56251.691999999981</v>
      </c>
      <c r="Q91" s="213">
        <v>0</v>
      </c>
      <c r="R91" s="213">
        <v>9457.1570000000011</v>
      </c>
      <c r="S91" s="213">
        <v>10681.951999999999</v>
      </c>
      <c r="T91" s="213">
        <v>863.81000000000006</v>
      </c>
      <c r="U91" s="213">
        <v>21335.200000000001</v>
      </c>
      <c r="V91" s="213">
        <v>0</v>
      </c>
      <c r="W91" s="213">
        <v>1783.4099999999999</v>
      </c>
      <c r="X91" s="213">
        <v>2797.7649999999999</v>
      </c>
      <c r="Y91" s="213">
        <v>25012.902000000006</v>
      </c>
      <c r="Z91" s="213">
        <v>20828.249999999996</v>
      </c>
      <c r="AA91" s="213">
        <v>1708.6399999999999</v>
      </c>
      <c r="AB91" s="213">
        <v>13065.924999999996</v>
      </c>
      <c r="AC91" s="213">
        <v>2306.83</v>
      </c>
      <c r="AD91" s="213">
        <v>326.70999999999998</v>
      </c>
      <c r="AE91" s="213">
        <v>1243.94</v>
      </c>
      <c r="AF91" s="213">
        <v>0</v>
      </c>
      <c r="AG91" s="213">
        <v>51571.249999999985</v>
      </c>
      <c r="AH91" s="213">
        <v>0</v>
      </c>
      <c r="AI91" s="213">
        <v>7918.4320000000007</v>
      </c>
      <c r="AJ91" s="213">
        <v>14237.170000000004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32832.74500000001</v>
      </c>
      <c r="AW91" s="213">
        <v>854.28</v>
      </c>
      <c r="AX91" s="213">
        <v>0</v>
      </c>
      <c r="AY91" s="213">
        <v>7753.91</v>
      </c>
      <c r="AZ91" s="213">
        <v>0</v>
      </c>
      <c r="BA91" s="213">
        <v>0</v>
      </c>
      <c r="BB91" s="213">
        <v>772.4</v>
      </c>
      <c r="BC91" s="213">
        <v>0</v>
      </c>
      <c r="BD91" s="213">
        <v>2049.35</v>
      </c>
      <c r="BE91" s="213">
        <v>22807.85</v>
      </c>
      <c r="BF91" s="213">
        <v>2124.5700000000002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1432.76</v>
      </c>
      <c r="BM91" s="213">
        <v>0</v>
      </c>
      <c r="BN91" s="213">
        <v>10024.09</v>
      </c>
      <c r="BO91" s="213">
        <v>0</v>
      </c>
      <c r="BP91" s="213">
        <v>0</v>
      </c>
      <c r="BQ91" s="213">
        <v>0</v>
      </c>
      <c r="BR91" s="213">
        <v>0</v>
      </c>
      <c r="BS91" s="213">
        <v>0</v>
      </c>
      <c r="BT91" s="213">
        <v>0</v>
      </c>
      <c r="BU91" s="213">
        <v>0</v>
      </c>
      <c r="BV91" s="213">
        <v>0</v>
      </c>
      <c r="BW91" s="213">
        <v>0</v>
      </c>
      <c r="BX91" s="213">
        <v>2529.88</v>
      </c>
      <c r="BY91" s="213">
        <v>497.74</v>
      </c>
      <c r="BZ91" s="213">
        <v>380.67</v>
      </c>
      <c r="CA91" s="213">
        <v>0</v>
      </c>
      <c r="CB91" s="213">
        <v>0</v>
      </c>
      <c r="CC91" s="213">
        <v>3573.9700000000003</v>
      </c>
      <c r="CD91" s="233" t="s">
        <v>233</v>
      </c>
      <c r="CE91" s="32">
        <f t="shared" si="14"/>
        <v>548092.07499999984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67668</v>
      </c>
      <c r="D92" s="213">
        <v>26622</v>
      </c>
      <c r="E92" s="213">
        <v>152958</v>
      </c>
      <c r="F92" s="213">
        <v>0</v>
      </c>
      <c r="G92" s="213">
        <v>0</v>
      </c>
      <c r="H92" s="213">
        <v>30594</v>
      </c>
      <c r="I92" s="213">
        <v>0</v>
      </c>
      <c r="J92" s="213">
        <v>0</v>
      </c>
      <c r="K92" s="213">
        <v>0</v>
      </c>
      <c r="L92" s="213">
        <v>0</v>
      </c>
      <c r="M92" s="213">
        <v>0</v>
      </c>
      <c r="N92" s="213">
        <v>0</v>
      </c>
      <c r="O92" s="213">
        <v>21652</v>
      </c>
      <c r="P92" s="213">
        <v>23006</v>
      </c>
      <c r="Q92" s="213">
        <v>0</v>
      </c>
      <c r="R92" s="213">
        <v>1027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72</v>
      </c>
      <c r="Z92" s="213">
        <v>5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27547</v>
      </c>
      <c r="AH92" s="213">
        <v>0</v>
      </c>
      <c r="AI92" s="213">
        <v>10449</v>
      </c>
      <c r="AJ92" s="213">
        <v>34</v>
      </c>
      <c r="AK92" s="213">
        <v>0</v>
      </c>
      <c r="AL92" s="213">
        <v>134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6375</v>
      </c>
      <c r="AW92" s="213">
        <v>0</v>
      </c>
      <c r="AX92" s="265" t="s">
        <v>233</v>
      </c>
      <c r="AY92" s="265" t="s">
        <v>233</v>
      </c>
      <c r="AZ92" s="213">
        <v>0</v>
      </c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>
        <v>0</v>
      </c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368143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25960.594871205154</v>
      </c>
      <c r="D93" s="213">
        <v>1748.2062442502299</v>
      </c>
      <c r="E93" s="213">
        <v>22860.609130634773</v>
      </c>
      <c r="F93" s="213">
        <v>0</v>
      </c>
      <c r="G93" s="213">
        <v>0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19350.803846596136</v>
      </c>
      <c r="P93" s="213">
        <v>46141.752041168358</v>
      </c>
      <c r="Q93" s="213">
        <v>0</v>
      </c>
      <c r="R93" s="213">
        <v>0</v>
      </c>
      <c r="S93" s="213">
        <v>2166.0614650413982</v>
      </c>
      <c r="T93" s="213">
        <v>0</v>
      </c>
      <c r="U93" s="213">
        <v>833.03188247470098</v>
      </c>
      <c r="V93" s="213">
        <v>0</v>
      </c>
      <c r="W93" s="213">
        <v>4910.6916973321067</v>
      </c>
      <c r="X93" s="213">
        <v>0</v>
      </c>
      <c r="Y93" s="213">
        <v>7295.5021561637532</v>
      </c>
      <c r="Z93" s="213">
        <v>0</v>
      </c>
      <c r="AA93" s="213">
        <v>0</v>
      </c>
      <c r="AB93" s="213">
        <v>1482.1360395584177</v>
      </c>
      <c r="AC93" s="213">
        <v>0</v>
      </c>
      <c r="AD93" s="213">
        <v>0</v>
      </c>
      <c r="AE93" s="213">
        <v>0</v>
      </c>
      <c r="AF93" s="213">
        <v>0</v>
      </c>
      <c r="AG93" s="213">
        <v>18874.020325436984</v>
      </c>
      <c r="AH93" s="213">
        <v>0</v>
      </c>
      <c r="AI93" s="213">
        <v>0</v>
      </c>
      <c r="AJ93" s="213">
        <v>10871.378564857405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23450.784987350507</v>
      </c>
      <c r="AW93" s="213">
        <v>0</v>
      </c>
      <c r="AX93" s="265" t="s">
        <v>233</v>
      </c>
      <c r="AY93" s="265" t="s">
        <v>233</v>
      </c>
      <c r="AZ93" s="229" t="s">
        <v>233</v>
      </c>
      <c r="BA93" s="213">
        <v>0</v>
      </c>
      <c r="BB93" s="213">
        <v>0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0</v>
      </c>
      <c r="BI93" s="213">
        <v>62510.426747930076</v>
      </c>
      <c r="BJ93" s="229" t="s">
        <v>233</v>
      </c>
      <c r="BK93" s="213">
        <v>0</v>
      </c>
      <c r="BL93" s="213">
        <v>0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0</v>
      </c>
      <c r="BT93" s="213">
        <v>0</v>
      </c>
      <c r="BU93" s="213">
        <v>0</v>
      </c>
      <c r="BV93" s="213">
        <v>0</v>
      </c>
      <c r="BW93" s="213">
        <v>0</v>
      </c>
      <c r="BX93" s="213">
        <v>0</v>
      </c>
      <c r="BY93" s="213">
        <v>0</v>
      </c>
      <c r="BZ93" s="213">
        <v>0</v>
      </c>
      <c r="CA93" s="213">
        <v>0</v>
      </c>
      <c r="CB93" s="213">
        <v>0</v>
      </c>
      <c r="CC93" s="229" t="s">
        <v>233</v>
      </c>
      <c r="CD93" s="229" t="s">
        <v>233</v>
      </c>
      <c r="CE93" s="32">
        <f t="shared" si="14"/>
        <v>248456</v>
      </c>
      <c r="CF93" s="20"/>
    </row>
    <row r="94" spans="1:84" x14ac:dyDescent="0.35">
      <c r="A94" s="26" t="s">
        <v>278</v>
      </c>
      <c r="B94" s="20"/>
      <c r="C94" s="213">
        <v>66568.210000000006</v>
      </c>
      <c r="D94" s="213">
        <v>86975.359999999986</v>
      </c>
      <c r="E94" s="213">
        <v>167661.1</v>
      </c>
      <c r="F94" s="213">
        <v>0</v>
      </c>
      <c r="G94" s="213">
        <v>0</v>
      </c>
      <c r="H94" s="213">
        <v>28165.47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272038.84999999998</v>
      </c>
      <c r="P94" s="213">
        <v>421589.64</v>
      </c>
      <c r="Q94" s="213">
        <v>0</v>
      </c>
      <c r="R94" s="213">
        <v>66463.16</v>
      </c>
      <c r="S94" s="213">
        <v>680336.23</v>
      </c>
      <c r="T94" s="213">
        <v>10909.2</v>
      </c>
      <c r="U94" s="213">
        <v>3075.7000000000003</v>
      </c>
      <c r="V94" s="213">
        <v>0</v>
      </c>
      <c r="W94" s="213">
        <v>2760</v>
      </c>
      <c r="X94" s="213">
        <v>138070.39000000001</v>
      </c>
      <c r="Y94" s="213">
        <v>192878.53</v>
      </c>
      <c r="Z94" s="213">
        <v>38035.530000000006</v>
      </c>
      <c r="AA94" s="213">
        <v>0</v>
      </c>
      <c r="AB94" s="213">
        <v>22937.050000000003</v>
      </c>
      <c r="AC94" s="213">
        <v>0</v>
      </c>
      <c r="AD94" s="213">
        <v>0</v>
      </c>
      <c r="AE94" s="213">
        <v>3143.2299999999996</v>
      </c>
      <c r="AF94" s="213">
        <v>0</v>
      </c>
      <c r="AG94" s="213">
        <v>558722.94000000006</v>
      </c>
      <c r="AH94" s="213">
        <v>0</v>
      </c>
      <c r="AI94" s="213">
        <v>80994.48000000001</v>
      </c>
      <c r="AJ94" s="213">
        <v>221551.78999999992</v>
      </c>
      <c r="AK94" s="213">
        <v>25814.03</v>
      </c>
      <c r="AL94" s="213">
        <v>536.65</v>
      </c>
      <c r="AM94" s="213">
        <v>0</v>
      </c>
      <c r="AN94" s="213">
        <v>0</v>
      </c>
      <c r="AO94" s="213">
        <v>0</v>
      </c>
      <c r="AP94" s="213">
        <v>18300.96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84346.250000000015</v>
      </c>
      <c r="AW94" s="213">
        <v>1790.17</v>
      </c>
      <c r="AX94" s="265" t="s">
        <v>233</v>
      </c>
      <c r="AY94" s="265" t="s">
        <v>233</v>
      </c>
      <c r="AZ94" s="229" t="s">
        <v>233</v>
      </c>
      <c r="BA94" s="229" t="s">
        <v>233</v>
      </c>
      <c r="BB94" s="213">
        <v>0</v>
      </c>
      <c r="BC94" s="213">
        <v>0</v>
      </c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3193664.919999999</v>
      </c>
      <c r="CF94" s="32">
        <f>BA60</f>
        <v>0</v>
      </c>
    </row>
    <row r="95" spans="1:84" x14ac:dyDescent="0.35">
      <c r="A95" s="26" t="s">
        <v>279</v>
      </c>
      <c r="B95" s="20"/>
      <c r="C95" s="243">
        <v>312.3703157106342</v>
      </c>
      <c r="D95" s="243">
        <v>104.03191436931071</v>
      </c>
      <c r="E95" s="243">
        <v>149.89301367809685</v>
      </c>
      <c r="F95" s="243">
        <v>-6.5555479443074591E-2</v>
      </c>
      <c r="G95" s="243">
        <v>0</v>
      </c>
      <c r="H95" s="243">
        <v>16.088104792316699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89.307879439820837</v>
      </c>
      <c r="P95" s="244">
        <v>101.25396436969125</v>
      </c>
      <c r="Q95" s="244">
        <v>0</v>
      </c>
      <c r="R95" s="244">
        <v>48.186091774221083</v>
      </c>
      <c r="S95" s="245">
        <v>2.397260273644211E-3</v>
      </c>
      <c r="T95" s="245">
        <v>13.857132874814091</v>
      </c>
      <c r="U95" s="246">
        <v>9.7817808205778387E-2</v>
      </c>
      <c r="V95" s="244">
        <v>0</v>
      </c>
      <c r="W95" s="244">
        <v>8.6301369851191599E-3</v>
      </c>
      <c r="X95" s="244">
        <v>0</v>
      </c>
      <c r="Y95" s="244">
        <v>14.549121230883685</v>
      </c>
      <c r="Z95" s="244">
        <v>1.7913095887957111</v>
      </c>
      <c r="AA95" s="244">
        <v>0</v>
      </c>
      <c r="AB95" s="245">
        <v>0</v>
      </c>
      <c r="AC95" s="244">
        <v>0</v>
      </c>
      <c r="AD95" s="244">
        <v>0</v>
      </c>
      <c r="AE95" s="244">
        <v>0</v>
      </c>
      <c r="AF95" s="244">
        <v>0</v>
      </c>
      <c r="AG95" s="244">
        <v>115.17984587463289</v>
      </c>
      <c r="AH95" s="244">
        <v>0</v>
      </c>
      <c r="AI95" s="244">
        <v>20.32749657255788</v>
      </c>
      <c r="AJ95" s="244">
        <v>31.607306160053803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1.7763075340032457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43.588482185809795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1063.8515758816641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/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1366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98405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1368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6">
        <v>2534031000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6">
        <v>2434597859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2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22599</v>
      </c>
      <c r="D128" s="220">
        <v>133274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2566</v>
      </c>
      <c r="D131" s="220">
        <v>4335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157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65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90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50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27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>
        <v>62</v>
      </c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451</v>
      </c>
    </row>
    <row r="145" spans="1:6" x14ac:dyDescent="0.35">
      <c r="A145" s="20" t="s">
        <v>325</v>
      </c>
      <c r="B145" s="46" t="s">
        <v>284</v>
      </c>
      <c r="C145" s="47">
        <v>581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9490</v>
      </c>
      <c r="C155" s="50">
        <v>7526</v>
      </c>
      <c r="D155" s="50">
        <v>5583</v>
      </c>
      <c r="E155" s="32">
        <f>SUM(B155:D155)</f>
        <v>22599</v>
      </c>
    </row>
    <row r="156" spans="1:6" x14ac:dyDescent="0.35">
      <c r="A156" s="20" t="s">
        <v>227</v>
      </c>
      <c r="B156" s="50">
        <v>58567</v>
      </c>
      <c r="C156" s="50">
        <v>48359</v>
      </c>
      <c r="D156" s="50">
        <v>26348</v>
      </c>
      <c r="E156" s="32">
        <f>SUM(B156:D156)</f>
        <v>133274</v>
      </c>
    </row>
    <row r="157" spans="1:6" x14ac:dyDescent="0.35">
      <c r="A157" s="20" t="s">
        <v>332</v>
      </c>
      <c r="B157" s="50">
        <v>33485.492040289821</v>
      </c>
      <c r="C157" s="50">
        <v>21073.054882157256</v>
      </c>
      <c r="D157" s="50">
        <v>27760.453077552924</v>
      </c>
      <c r="E157" s="32">
        <f>SUM(B157:D157)</f>
        <v>82319</v>
      </c>
    </row>
    <row r="158" spans="1:6" x14ac:dyDescent="0.35">
      <c r="A158" s="20" t="s">
        <v>272</v>
      </c>
      <c r="B158" s="50">
        <v>775934793.39535582</v>
      </c>
      <c r="C158" s="50">
        <v>517732705.51008332</v>
      </c>
      <c r="D158" s="50">
        <v>644381233.51456153</v>
      </c>
      <c r="E158" s="32">
        <f>SUM(B158:D158)</f>
        <v>1938048732.4200006</v>
      </c>
      <c r="F158" s="18"/>
    </row>
    <row r="159" spans="1:6" x14ac:dyDescent="0.35">
      <c r="A159" s="20" t="s">
        <v>273</v>
      </c>
      <c r="B159" s="50">
        <v>807546694.90276098</v>
      </c>
      <c r="C159" s="50">
        <v>508590726.58273631</v>
      </c>
      <c r="D159" s="50">
        <v>669494402.79450238</v>
      </c>
      <c r="E159" s="32">
        <f>SUM(B159:D159)</f>
        <v>1985631824.2799997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22616203.900000002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/>
      <c r="D183" s="20"/>
      <c r="E183" s="20"/>
    </row>
    <row r="184" spans="1:5" x14ac:dyDescent="0.35">
      <c r="A184" s="25" t="s">
        <v>343</v>
      </c>
      <c r="B184" s="46" t="s">
        <v>284</v>
      </c>
      <c r="C184" s="216"/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38354893.969999999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/>
      <c r="D186" s="20"/>
      <c r="E186" s="20"/>
    </row>
    <row r="187" spans="1:5" x14ac:dyDescent="0.35">
      <c r="A187" s="20" t="s">
        <v>346</v>
      </c>
      <c r="B187" s="46" t="s">
        <v>284</v>
      </c>
      <c r="C187" s="216"/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18625665.550000001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62856.46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79659619.879999995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5242548.76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2663051.85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7905600.6099999994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12128499.380000001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12128499.380000001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289693.23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7203545.9699999997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7493239.1999999993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9404392.7999999989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9404392.7999999989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5728062.54</v>
      </c>
      <c r="C212" s="216">
        <v>0</v>
      </c>
      <c r="D212" s="220">
        <v>0</v>
      </c>
      <c r="E212" s="32">
        <f t="shared" ref="E212:E220" si="16">SUM(B212:C212)-D212</f>
        <v>5728062.54</v>
      </c>
    </row>
    <row r="213" spans="1:5" x14ac:dyDescent="0.35">
      <c r="A213" s="20" t="s">
        <v>367</v>
      </c>
      <c r="B213" s="220">
        <v>3311377.88</v>
      </c>
      <c r="C213" s="216">
        <v>0</v>
      </c>
      <c r="D213" s="220">
        <v>0</v>
      </c>
      <c r="E213" s="32">
        <f t="shared" si="16"/>
        <v>3311377.88</v>
      </c>
    </row>
    <row r="214" spans="1:5" x14ac:dyDescent="0.35">
      <c r="A214" s="20" t="s">
        <v>368</v>
      </c>
      <c r="B214" s="220">
        <v>637955362.91000009</v>
      </c>
      <c r="C214" s="216">
        <v>30709490.190000005</v>
      </c>
      <c r="D214" s="220">
        <v>48264154.870000012</v>
      </c>
      <c r="E214" s="32">
        <f t="shared" si="16"/>
        <v>620400698.23000014</v>
      </c>
    </row>
    <row r="215" spans="1:5" x14ac:dyDescent="0.35">
      <c r="A215" s="20" t="s">
        <v>369</v>
      </c>
      <c r="B215" s="220">
        <v>0</v>
      </c>
      <c r="C215" s="216">
        <v>0</v>
      </c>
      <c r="D215" s="220">
        <v>0</v>
      </c>
      <c r="E215" s="32">
        <f t="shared" si="16"/>
        <v>0</v>
      </c>
    </row>
    <row r="216" spans="1:5" x14ac:dyDescent="0.35">
      <c r="A216" s="20" t="s">
        <v>370</v>
      </c>
      <c r="B216" s="220">
        <v>42763774.219999999</v>
      </c>
      <c r="C216" s="216">
        <v>1476009.02</v>
      </c>
      <c r="D216" s="220">
        <v>9449286.3399999999</v>
      </c>
      <c r="E216" s="32">
        <f t="shared" si="16"/>
        <v>34790496.900000006</v>
      </c>
    </row>
    <row r="217" spans="1:5" x14ac:dyDescent="0.35">
      <c r="A217" s="20" t="s">
        <v>371</v>
      </c>
      <c r="B217" s="220">
        <v>235493375.08000001</v>
      </c>
      <c r="C217" s="216">
        <v>13702012.099999994</v>
      </c>
      <c r="D217" s="220">
        <v>7879323.3399999999</v>
      </c>
      <c r="E217" s="32">
        <f t="shared" si="16"/>
        <v>241316063.84</v>
      </c>
    </row>
    <row r="218" spans="1:5" x14ac:dyDescent="0.35">
      <c r="A218" s="20" t="s">
        <v>372</v>
      </c>
      <c r="B218" s="220">
        <v>0</v>
      </c>
      <c r="C218" s="216">
        <v>0</v>
      </c>
      <c r="D218" s="220">
        <v>0</v>
      </c>
      <c r="E218" s="32">
        <f t="shared" si="16"/>
        <v>0</v>
      </c>
    </row>
    <row r="219" spans="1:5" x14ac:dyDescent="0.35">
      <c r="A219" s="20" t="s">
        <v>373</v>
      </c>
      <c r="B219" s="220">
        <v>15030774.039999999</v>
      </c>
      <c r="C219" s="216">
        <v>-413723.34000000008</v>
      </c>
      <c r="D219" s="220">
        <v>348491.07</v>
      </c>
      <c r="E219" s="32">
        <f t="shared" si="16"/>
        <v>14268559.629999999</v>
      </c>
    </row>
    <row r="220" spans="1:5" x14ac:dyDescent="0.35">
      <c r="A220" s="20" t="s">
        <v>374</v>
      </c>
      <c r="B220" s="220">
        <v>0</v>
      </c>
      <c r="C220" s="216">
        <v>0</v>
      </c>
      <c r="D220" s="220">
        <v>0</v>
      </c>
      <c r="E220" s="32">
        <f t="shared" si="16"/>
        <v>0</v>
      </c>
    </row>
    <row r="221" spans="1:5" x14ac:dyDescent="0.35">
      <c r="A221" s="20" t="s">
        <v>215</v>
      </c>
      <c r="B221" s="32">
        <f>SUM(B212:B220)</f>
        <v>940282726.67000008</v>
      </c>
      <c r="C221" s="266">
        <f>SUM(C212:C220)</f>
        <v>45473787.969999999</v>
      </c>
      <c r="D221" s="32">
        <f>SUM(D212:D220)</f>
        <v>65941255.620000012</v>
      </c>
      <c r="E221" s="32">
        <f>SUM(E212:E220)</f>
        <v>919815259.0200001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2188014.7200000002</v>
      </c>
      <c r="C226" s="216">
        <v>208933.04000000004</v>
      </c>
      <c r="D226" s="220">
        <v>0</v>
      </c>
      <c r="E226" s="32">
        <f t="shared" ref="E226:E233" si="17">SUM(B226:C226)-D226</f>
        <v>2396947.7600000002</v>
      </c>
    </row>
    <row r="227" spans="1:5" x14ac:dyDescent="0.35">
      <c r="A227" s="20" t="s">
        <v>368</v>
      </c>
      <c r="B227" s="220">
        <v>349135658.21999997</v>
      </c>
      <c r="C227" s="216">
        <v>23671336.830000039</v>
      </c>
      <c r="D227" s="220">
        <v>48150791.170000009</v>
      </c>
      <c r="E227" s="32">
        <f t="shared" si="17"/>
        <v>324656203.88</v>
      </c>
    </row>
    <row r="228" spans="1:5" x14ac:dyDescent="0.35">
      <c r="A228" s="20" t="s">
        <v>369</v>
      </c>
      <c r="B228" s="220">
        <v>0</v>
      </c>
      <c r="C228" s="216">
        <v>0</v>
      </c>
      <c r="D228" s="220">
        <v>0</v>
      </c>
      <c r="E228" s="32">
        <f t="shared" si="17"/>
        <v>0</v>
      </c>
    </row>
    <row r="229" spans="1:5" x14ac:dyDescent="0.35">
      <c r="A229" s="20" t="s">
        <v>370</v>
      </c>
      <c r="B229" s="220">
        <v>34063859.850000001</v>
      </c>
      <c r="C229" s="216">
        <v>1676680.0200000005</v>
      </c>
      <c r="D229" s="220">
        <v>9449286.3399999999</v>
      </c>
      <c r="E229" s="32">
        <f t="shared" si="17"/>
        <v>26291253.530000005</v>
      </c>
    </row>
    <row r="230" spans="1:5" x14ac:dyDescent="0.35">
      <c r="A230" s="20" t="s">
        <v>371</v>
      </c>
      <c r="B230" s="220">
        <v>196376810.16000003</v>
      </c>
      <c r="C230" s="216">
        <v>9865331.3499999493</v>
      </c>
      <c r="D230" s="220">
        <v>7850944.6700000009</v>
      </c>
      <c r="E230" s="32">
        <f t="shared" si="17"/>
        <v>198391196.84</v>
      </c>
    </row>
    <row r="231" spans="1:5" x14ac:dyDescent="0.35">
      <c r="A231" s="20" t="s">
        <v>372</v>
      </c>
      <c r="B231" s="220">
        <v>0</v>
      </c>
      <c r="C231" s="216">
        <v>0</v>
      </c>
      <c r="D231" s="220">
        <v>0</v>
      </c>
      <c r="E231" s="32">
        <f t="shared" si="17"/>
        <v>0</v>
      </c>
    </row>
    <row r="232" spans="1:5" x14ac:dyDescent="0.35">
      <c r="A232" s="20" t="s">
        <v>373</v>
      </c>
      <c r="B232" s="220">
        <v>10392942.949999999</v>
      </c>
      <c r="C232" s="216">
        <v>-411014.9799999994</v>
      </c>
      <c r="D232" s="220">
        <v>348491.07</v>
      </c>
      <c r="E232" s="32">
        <f t="shared" si="17"/>
        <v>9633436.9000000004</v>
      </c>
    </row>
    <row r="233" spans="1:5" x14ac:dyDescent="0.35">
      <c r="A233" s="20" t="s">
        <v>374</v>
      </c>
      <c r="B233" s="220">
        <v>0</v>
      </c>
      <c r="C233" s="216">
        <v>0</v>
      </c>
      <c r="D233" s="220">
        <v>0</v>
      </c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592157285.9000001</v>
      </c>
      <c r="C234" s="266">
        <f>SUM(C225:C233)</f>
        <v>35011266.25999999</v>
      </c>
      <c r="D234" s="32">
        <f>SUM(D225:D233)</f>
        <v>65799513.250000007</v>
      </c>
      <c r="E234" s="32">
        <f>SUM(E225:E233)</f>
        <v>561369038.90999997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4" t="s">
        <v>377</v>
      </c>
      <c r="C237" s="344"/>
      <c r="D237" s="38"/>
      <c r="E237" s="38"/>
    </row>
    <row r="238" spans="1:5" x14ac:dyDescent="0.35">
      <c r="A238" s="56" t="s">
        <v>377</v>
      </c>
      <c r="B238" s="38"/>
      <c r="C238" s="216">
        <v>21476429.98</v>
      </c>
      <c r="D238" s="40">
        <f>C238</f>
        <v>21476429.98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1135003707.38972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718768959.84424114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30269487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37041730.046618633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893460634.84942436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2814544519.1300039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20604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31572793.020695467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32585530.359304585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64158323.380000055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38876901.530000001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38876901.530000001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2939056174.0200043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1011554542.8100001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166243818.92000002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28229796.630000051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606346.78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27003437.450000003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1192175.2000000002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1178370524.53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5728062.54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3311377.8799999994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620400698.23000002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0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34790496.899999999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241316063.84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14268559.630000001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0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919815259.01999998</v>
      </c>
      <c r="E292" s="20"/>
    </row>
    <row r="293" spans="1:5" x14ac:dyDescent="0.35">
      <c r="A293" s="20" t="s">
        <v>416</v>
      </c>
      <c r="B293" s="46" t="s">
        <v>284</v>
      </c>
      <c r="C293" s="47">
        <v>561369038.90999997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358446220.11000001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163104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163104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1536979848.6399999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6063673.4999999991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0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0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1373119.56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7756401.3500000006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15193194.41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>
        <v>228015.48</v>
      </c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228015.48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0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0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1521558638.7499998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1536979848.6399999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1536979848.6399999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1938048732.4199996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1985631824.2799997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3923680556.6999993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21553959.270000003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2853342458.5600004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64159756.189999998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2939056174.0200005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984624382.67999887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67380680.739999995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67380680.739999995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67380680.739999995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1052005063.4199989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387197777.15000004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79659619.88000001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34813995.390000001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222011134.27000004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2818392.870000001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221640844.41000003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16230435.269999992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7905600.6099999994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12128499.380000001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7493239.1999999993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9404392.7999999989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31325103.860000003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31325103.860000003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1032629035.09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19376028.329998851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19376028.329998851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19376028.329998851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525284.22499999986</v>
      </c>
      <c r="E613" s="258">
        <f>SUM(C625:D648)+SUM(C669:D714)</f>
        <v>771985044.71579897</v>
      </c>
      <c r="F613" s="258">
        <f>CE65-(AX65+BD65+BE65+BG65+BJ65+BN65+BP65+BQ65+CB65+CC65+CD65)</f>
        <v>216356622.34000003</v>
      </c>
      <c r="G613" s="256">
        <f>CE92-(AX92+AY92+BD92+BE92+BG92+BJ92+BN92+BP92+BQ92+CB92+CC92+CD92)</f>
        <v>368143</v>
      </c>
      <c r="H613" s="261">
        <f>CE61-(AX61+AY61+AZ61+BD61+BE61+BG61+BJ61+BN61+BO61+BP61+BQ61+BR61+CB61+CC61+CD61)</f>
        <v>3180.7313036738724</v>
      </c>
      <c r="I613" s="256">
        <f>CE93-(AX93+AY93+AZ93+BD93+BE93+BF93+BG93+BJ93+BN93+BO93+BP93+BQ93+BR93+CB93+CC93+CD93)</f>
        <v>248456</v>
      </c>
      <c r="J613" s="256">
        <f>CE94-(AX94+AY94+AZ94+BA94+BD94+BE94+BF94+BG94+BJ94+BN94+BO94+BP94+BQ94+BR94+CB94+CC94+CD94)</f>
        <v>3193664.919999999</v>
      </c>
      <c r="K613" s="256">
        <f>CE90-(AW90+AX90+AY90+AZ90+BA90+BB90+BC90+BD90+BE90+BF90+BG90+BH90+BI90+BJ90+BK90+BL90+BM90+BN90+BO90+BP90+BQ90+BR90+BS90+BT90+BU90+BV90+BW90+BX90+CB90+CC90+CD90)</f>
        <v>3916696189.2400007</v>
      </c>
      <c r="L613" s="262">
        <f>CE95-(AW95+AX95+AY95+AZ95+BA95+BB95+BC95+BD95+BE95+BF95+BG95+BH95+BI95+BJ95+BK95+BL95+BM95+BN95+BO95+BP95+BQ95+BR95+BS95+BT95+BU95+BV95+BW95+BX95+BY95+BZ95+CA95+CB95+CC95+CD95)</f>
        <v>1063.8515758816641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1963364.7199999997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29026131.379999995</v>
      </c>
      <c r="D616" s="256">
        <f>SUM(C615:C616)</f>
        <v>30989496.099999994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5251827.7699999996</v>
      </c>
      <c r="D620" s="256">
        <f>(D616/D613)*BN91</f>
        <v>591377.93060709001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187209255.02000001</v>
      </c>
      <c r="D621" s="256">
        <f>(D616/D613)*CC91</f>
        <v>210848.76359368497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193263309.48420078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797707.08999999985</v>
      </c>
      <c r="D625" s="256">
        <f>(D616/D613)*BD91</f>
        <v>120902.78140855079</v>
      </c>
      <c r="E625" s="258">
        <f>(E624/E613)*SUM(C625:D625)</f>
        <v>229970.23723254949</v>
      </c>
      <c r="F625" s="258">
        <f>SUM(C625:E625)</f>
        <v>1148580.1086411001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1080965.19</v>
      </c>
      <c r="D626" s="256">
        <f>(D616/D613)*AY91</f>
        <v>457447.13484352402</v>
      </c>
      <c r="E626" s="258">
        <f>(E624/E613)*SUM(C626:D626)</f>
        <v>385135.25525614119</v>
      </c>
      <c r="F626" s="258">
        <f>(F625/F613)*AY65</f>
        <v>1171.9769151255994</v>
      </c>
      <c r="G626" s="256">
        <f>SUM(C626:F626)</f>
        <v>1924719.5570147906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0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1847282.93</v>
      </c>
      <c r="D630" s="256">
        <f>(D616/D613)*BF91</f>
        <v>125340.43589292446</v>
      </c>
      <c r="E630" s="258">
        <f>(E624/E613)*SUM(C630:D630)</f>
        <v>493838.21962338587</v>
      </c>
      <c r="F630" s="258">
        <f>(F625/F613)*BF65</f>
        <v>418.53981416081785</v>
      </c>
      <c r="G630" s="256">
        <f>(G626/G613)*BF92</f>
        <v>0</v>
      </c>
      <c r="H630" s="258">
        <f>(H629/H613)*BF61</f>
        <v>0</v>
      </c>
      <c r="I630" s="256">
        <f>SUM(C630:H630)</f>
        <v>2466880.125330471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0</v>
      </c>
      <c r="D631" s="256">
        <f>(D616/D613)*BA91</f>
        <v>0</v>
      </c>
      <c r="E631" s="258">
        <f>(E624/E613)*SUM(C631:D631)</f>
        <v>0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0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7056869.8100000005</v>
      </c>
      <c r="D632" s="256">
        <f>(D616/D613)*AW91</f>
        <v>50398.823091076076</v>
      </c>
      <c r="E632" s="258">
        <f>(E624/E613)*SUM(C632:D632)</f>
        <v>1779275.7344542928</v>
      </c>
      <c r="F632" s="258">
        <f>(F625/F613)*AW65</f>
        <v>369.83710192896325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3237005.08</v>
      </c>
      <c r="D633" s="256">
        <f>(D616/D613)*BB91</f>
        <v>45568.257427947705</v>
      </c>
      <c r="E633" s="258">
        <f>(E624/E613)*SUM(C633:D633)</f>
        <v>821778.85589671449</v>
      </c>
      <c r="F633" s="258">
        <f>(F625/F613)*BB65</f>
        <v>-21.535416934876356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2161474.89</v>
      </c>
      <c r="D634" s="256">
        <f>(D616/D613)*BC91</f>
        <v>0</v>
      </c>
      <c r="E634" s="258">
        <f>(E624/E613)*SUM(C634:D634)</f>
        <v>541116.42896163196</v>
      </c>
      <c r="F634" s="258">
        <f>(F625/F613)*BC65</f>
        <v>92.765058654219544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620656.08949027176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2747977.3800000004</v>
      </c>
      <c r="D638" s="256">
        <f>(D616/D613)*BL91</f>
        <v>84526.639710598596</v>
      </c>
      <c r="E638" s="258">
        <f>(E624/E613)*SUM(C638:D638)</f>
        <v>709105.83660089015</v>
      </c>
      <c r="F638" s="258">
        <f>(F625/F613)*BL65</f>
        <v>171.51818741343291</v>
      </c>
      <c r="G638" s="256">
        <f>(G626/G613)*BL92</f>
        <v>0</v>
      </c>
      <c r="H638" s="258">
        <f>(H629/H613)*BL61</f>
        <v>0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0</v>
      </c>
      <c r="D643" s="256">
        <f>(D616/D613)*BV91</f>
        <v>0</v>
      </c>
      <c r="E643" s="258">
        <f>(E624/E613)*SUM(C643:D643)</f>
        <v>0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5360133.0100000007</v>
      </c>
      <c r="D645" s="256">
        <f>(D616/D613)*BX91</f>
        <v>149251.97190809986</v>
      </c>
      <c r="E645" s="258">
        <f>(E624/E613)*SUM(C645:D645)</f>
        <v>1379252.075042591</v>
      </c>
      <c r="F645" s="258">
        <f>(F625/F613)*BX65</f>
        <v>93.524632547391676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26745096.992147725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3236115.79</v>
      </c>
      <c r="D646" s="256">
        <f>(D616/D613)*BY91</f>
        <v>29364.506023027821</v>
      </c>
      <c r="E646" s="258">
        <f>(E624/E613)*SUM(C646:D646)</f>
        <v>817499.68264889414</v>
      </c>
      <c r="F646" s="258">
        <f>(F625/F613)*BY65</f>
        <v>65.299306240424613</v>
      </c>
      <c r="G646" s="256">
        <f>(G626/G613)*BY92</f>
        <v>0</v>
      </c>
      <c r="H646" s="258">
        <f>(H629/H613)*BY61</f>
        <v>0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3292360.1800000006</v>
      </c>
      <c r="D647" s="256">
        <f>(D616/D613)*BZ91</f>
        <v>22457.882645127982</v>
      </c>
      <c r="E647" s="258">
        <f>(E624/E613)*SUM(C647:D647)</f>
        <v>829851.19143162796</v>
      </c>
      <c r="F647" s="258">
        <f>(F625/F613)*BZ65</f>
        <v>13.379287870618944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8227727.9113427894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254268470.23999998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73605937.11999999</v>
      </c>
      <c r="D669" s="256">
        <f>(D616/D613)*C91</f>
        <v>5069283.9824042972</v>
      </c>
      <c r="E669" s="258">
        <f>(E624/E613)*SUM(C669:D669)</f>
        <v>19696020.938138139</v>
      </c>
      <c r="F669" s="258">
        <f>(F625/F613)*C65</f>
        <v>39097.725642203426</v>
      </c>
      <c r="G669" s="256">
        <f>(G626/G613)*C92</f>
        <v>353780.79437630717</v>
      </c>
      <c r="H669" s="258">
        <f>(H629/H613)*C61</f>
        <v>0</v>
      </c>
      <c r="I669" s="256">
        <f>(I630/I613)*C93</f>
        <v>257758.61935124185</v>
      </c>
      <c r="J669" s="256">
        <f>(J631/J613)*C94</f>
        <v>0</v>
      </c>
      <c r="K669" s="256">
        <f>(K645/K613)*C90</f>
        <v>2195540.1461053262</v>
      </c>
      <c r="L669" s="256">
        <f>(L648/L613)*C95</f>
        <v>2415842.6076658131</v>
      </c>
      <c r="M669" s="231">
        <f t="shared" ref="M669:M714" si="18">ROUND(SUM(D669:L669),0)</f>
        <v>30027325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24972614.979999997</v>
      </c>
      <c r="D670" s="256">
        <f>(D616/D613)*D91</f>
        <v>1832087.895709225</v>
      </c>
      <c r="E670" s="258">
        <f>(E624/E613)*SUM(C670:D670)</f>
        <v>6710448.1141954688</v>
      </c>
      <c r="F670" s="258">
        <f>(F625/F613)*D65</f>
        <v>10499.34264441312</v>
      </c>
      <c r="G670" s="256">
        <f>(G626/G613)*D92</f>
        <v>139184.72997408008</v>
      </c>
      <c r="H670" s="258">
        <f>(H629/H613)*D61</f>
        <v>0</v>
      </c>
      <c r="I670" s="256">
        <f>(I630/I613)*D93</f>
        <v>17357.661875420672</v>
      </c>
      <c r="J670" s="256">
        <f>(J631/J613)*D94</f>
        <v>0</v>
      </c>
      <c r="K670" s="256">
        <f>(K645/K613)*D90</f>
        <v>589905.02709786443</v>
      </c>
      <c r="L670" s="256">
        <f>(L648/L613)*D95</f>
        <v>804573.02967045724</v>
      </c>
      <c r="M670" s="231">
        <f t="shared" si="18"/>
        <v>10104056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35820950.269999996</v>
      </c>
      <c r="D671" s="256">
        <f>(D616/D613)*E91</f>
        <v>2453075.4593585231</v>
      </c>
      <c r="E671" s="258">
        <f>(E624/E613)*SUM(C671:D671)</f>
        <v>9581746.3438847065</v>
      </c>
      <c r="F671" s="258">
        <f>(F625/F613)*E65</f>
        <v>9832.0304355832704</v>
      </c>
      <c r="G671" s="256">
        <f>(G626/G613)*E92</f>
        <v>799692.65747785068</v>
      </c>
      <c r="H671" s="258">
        <f>(H629/H613)*E61</f>
        <v>0</v>
      </c>
      <c r="I671" s="256">
        <f>(I630/I613)*E93</f>
        <v>226979.35375805461</v>
      </c>
      <c r="J671" s="256">
        <f>(J631/J613)*E94</f>
        <v>0</v>
      </c>
      <c r="K671" s="256">
        <f>(K645/K613)*E90</f>
        <v>775492.65702834143</v>
      </c>
      <c r="L671" s="256">
        <f>(L648/L613)*E95</f>
        <v>1159258.4532597861</v>
      </c>
      <c r="M671" s="231">
        <f t="shared" si="18"/>
        <v>15006077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24007.599999999995</v>
      </c>
      <c r="D672" s="256">
        <f>(D616/D613)*F91</f>
        <v>0</v>
      </c>
      <c r="E672" s="258">
        <f>(E624/E613)*SUM(C672:D672)</f>
        <v>6010.2048097071674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-506.99990504619001</v>
      </c>
      <c r="M672" s="231">
        <f t="shared" si="18"/>
        <v>5503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8024067.9699999988</v>
      </c>
      <c r="D674" s="256">
        <f>(D616/D613)*H91</f>
        <v>886733.27538272832</v>
      </c>
      <c r="E674" s="258">
        <f>(E624/E613)*SUM(C674:D674)</f>
        <v>2230782.7730945153</v>
      </c>
      <c r="F674" s="258">
        <f>(F625/F613)*H65</f>
        <v>403.26928922392426</v>
      </c>
      <c r="G674" s="256">
        <f>(G626/G613)*H92</f>
        <v>159951.07913856982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317943.16398540768</v>
      </c>
      <c r="L674" s="256">
        <f>(L648/L613)*H95</f>
        <v>124423.8875433838</v>
      </c>
      <c r="M674" s="231">
        <f t="shared" si="18"/>
        <v>3720237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23658247.569999997</v>
      </c>
      <c r="D681" s="256">
        <f>(D616/D613)*O91</f>
        <v>2682814.0473254011</v>
      </c>
      <c r="E681" s="258">
        <f>(E624/E613)*SUM(C681:D681)</f>
        <v>6594377.4148703748</v>
      </c>
      <c r="F681" s="258">
        <f>(F625/F613)*O65</f>
        <v>9489.7260823116849</v>
      </c>
      <c r="G681" s="256">
        <f>(G626/G613)*O92</f>
        <v>113200.65259555186</v>
      </c>
      <c r="H681" s="258">
        <f>(H629/H613)*O61</f>
        <v>0</v>
      </c>
      <c r="I681" s="256">
        <f>(I630/I613)*O93</f>
        <v>192131.05506945468</v>
      </c>
      <c r="J681" s="256">
        <f>(J631/J613)*O94</f>
        <v>0</v>
      </c>
      <c r="K681" s="256">
        <f>(K645/K613)*O90</f>
        <v>501376.88181518175</v>
      </c>
      <c r="L681" s="256">
        <f>(L648/L613)*O95</f>
        <v>690698.72999989358</v>
      </c>
      <c r="M681" s="231">
        <f t="shared" si="18"/>
        <v>10784089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108783561.07000001</v>
      </c>
      <c r="D682" s="256">
        <f>(D616/D613)*P91</f>
        <v>3318606.3979979614</v>
      </c>
      <c r="E682" s="258">
        <f>(E624/E613)*SUM(C682:D682)</f>
        <v>28064320.719053961</v>
      </c>
      <c r="F682" s="258">
        <f>(F625/F613)*P65</f>
        <v>310996.64600559493</v>
      </c>
      <c r="G682" s="256">
        <f>(G626/G613)*P92</f>
        <v>120279.61452121126</v>
      </c>
      <c r="H682" s="258">
        <f>(H629/H613)*P61</f>
        <v>0</v>
      </c>
      <c r="I682" s="256">
        <f>(I630/I613)*P93</f>
        <v>458134.12056172884</v>
      </c>
      <c r="J682" s="256">
        <f>(J631/J613)*P94</f>
        <v>0</v>
      </c>
      <c r="K682" s="256">
        <f>(K645/K613)*P90</f>
        <v>5476257.3861258691</v>
      </c>
      <c r="L682" s="256">
        <f>(L648/L613)*P95</f>
        <v>783088.6259563003</v>
      </c>
      <c r="M682" s="231">
        <f t="shared" si="18"/>
        <v>38531684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8"/>
        <v>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12288790.950000001</v>
      </c>
      <c r="D684" s="256">
        <f>(D616/D613)*R91</f>
        <v>557931.3370177598</v>
      </c>
      <c r="E684" s="258">
        <f>(E624/E613)*SUM(C684:D684)</f>
        <v>3216124.5638217242</v>
      </c>
      <c r="F684" s="258">
        <f>(F625/F613)*R65</f>
        <v>2762.4032366443289</v>
      </c>
      <c r="G684" s="256">
        <f>(G626/G613)*R92</f>
        <v>5369.3455669514024</v>
      </c>
      <c r="H684" s="258">
        <f>(H629/H613)*R61</f>
        <v>0</v>
      </c>
      <c r="I684" s="256">
        <f>(I630/I613)*R93</f>
        <v>0</v>
      </c>
      <c r="J684" s="256">
        <f>(J631/J613)*R94</f>
        <v>0</v>
      </c>
      <c r="K684" s="256">
        <f>(K645/K613)*R90</f>
        <v>763206.72603122669</v>
      </c>
      <c r="L684" s="256">
        <f>(L648/L613)*R95</f>
        <v>372666.69638639881</v>
      </c>
      <c r="M684" s="231">
        <f t="shared" si="18"/>
        <v>4918061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7202513.9299999997</v>
      </c>
      <c r="D685" s="256">
        <f>(D616/D613)*S91</f>
        <v>630188.94169987156</v>
      </c>
      <c r="E685" s="258">
        <f>(E624/E613)*SUM(C685:D685)</f>
        <v>1960885.2393616072</v>
      </c>
      <c r="F685" s="258">
        <f>(F625/F613)*S65</f>
        <v>7142.7382565636535</v>
      </c>
      <c r="G685" s="256">
        <f>(G626/G613)*S92</f>
        <v>0</v>
      </c>
      <c r="H685" s="258">
        <f>(H629/H613)*S61</f>
        <v>0</v>
      </c>
      <c r="I685" s="256">
        <f>(I630/I613)*S93</f>
        <v>21506.479933488536</v>
      </c>
      <c r="J685" s="256">
        <f>(J631/J613)*S94</f>
        <v>0</v>
      </c>
      <c r="K685" s="256">
        <f>(K645/K613)*S90</f>
        <v>0</v>
      </c>
      <c r="L685" s="256">
        <f>(L648/L613)*S95</f>
        <v>18.540185220733928</v>
      </c>
      <c r="M685" s="231">
        <f t="shared" si="18"/>
        <v>2619742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16747887.290000001</v>
      </c>
      <c r="D686" s="256">
        <f>(D616/D613)*T91</f>
        <v>50961.051849864722</v>
      </c>
      <c r="E686" s="258">
        <f>(E624/E613)*SUM(C686:D686)</f>
        <v>4205523.2135543479</v>
      </c>
      <c r="F686" s="258">
        <f>(F625/F613)*T65</f>
        <v>71646.990518666615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859480.31861967302</v>
      </c>
      <c r="L686" s="256">
        <f>(L648/L613)*T95</f>
        <v>107169.76081067129</v>
      </c>
      <c r="M686" s="231">
        <f t="shared" si="18"/>
        <v>5294781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45835148.839999996</v>
      </c>
      <c r="D687" s="256">
        <f>(D616/D613)*U91</f>
        <v>1258684.471616714</v>
      </c>
      <c r="E687" s="258">
        <f>(E624/E613)*SUM(C687:D687)</f>
        <v>11789749.22428841</v>
      </c>
      <c r="F687" s="258">
        <f>(F625/F613)*U65</f>
        <v>102969.62356030266</v>
      </c>
      <c r="G687" s="256">
        <f>(G626/G613)*U92</f>
        <v>0</v>
      </c>
      <c r="H687" s="258">
        <f>(H629/H613)*U61</f>
        <v>0</v>
      </c>
      <c r="I687" s="256">
        <f>(I630/I613)*U93</f>
        <v>8271.0411285840091</v>
      </c>
      <c r="J687" s="256">
        <f>(J631/J613)*U94</f>
        <v>0</v>
      </c>
      <c r="K687" s="256">
        <f>(K645/K613)*U90</f>
        <v>1566425.4417581439</v>
      </c>
      <c r="L687" s="256">
        <f>(L648/L613)*U95</f>
        <v>756.5137177468273</v>
      </c>
      <c r="M687" s="231">
        <f t="shared" si="18"/>
        <v>14726856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90437.615685841505</v>
      </c>
      <c r="L688" s="256">
        <f>(L648/L613)*V95</f>
        <v>0</v>
      </c>
      <c r="M688" s="231">
        <f t="shared" si="18"/>
        <v>90438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4332825.3900000006</v>
      </c>
      <c r="D689" s="256">
        <f>(D616/D613)*W91</f>
        <v>105213.47226770612</v>
      </c>
      <c r="E689" s="258">
        <f>(E624/E613)*SUM(C689:D689)</f>
        <v>1111044.940588343</v>
      </c>
      <c r="F689" s="258">
        <f>(F625/F613)*W65</f>
        <v>3310.3786254853521</v>
      </c>
      <c r="G689" s="256">
        <f>(G626/G613)*W92</f>
        <v>0</v>
      </c>
      <c r="H689" s="258">
        <f>(H629/H613)*W61</f>
        <v>0</v>
      </c>
      <c r="I689" s="256">
        <f>(I630/I613)*W93</f>
        <v>48757.477178147958</v>
      </c>
      <c r="J689" s="256">
        <f>(J631/J613)*W94</f>
        <v>0</v>
      </c>
      <c r="K689" s="256">
        <f>(K645/K613)*W90</f>
        <v>533322.71175629355</v>
      </c>
      <c r="L689" s="256">
        <f>(L648/L613)*W95</f>
        <v>66.744666794642143</v>
      </c>
      <c r="M689" s="231">
        <f t="shared" si="18"/>
        <v>1801716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3652723.07</v>
      </c>
      <c r="D690" s="256">
        <f>(D616/D613)*X91</f>
        <v>165056.02763192917</v>
      </c>
      <c r="E690" s="258">
        <f>(E624/E613)*SUM(C690:D690)</f>
        <v>955765.43656954111</v>
      </c>
      <c r="F690" s="258">
        <f>(F625/F613)*X65</f>
        <v>3758.9680598631853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1419855.7389659879</v>
      </c>
      <c r="L690" s="256">
        <f>(L648/L613)*X95</f>
        <v>0</v>
      </c>
      <c r="M690" s="231">
        <f t="shared" si="18"/>
        <v>2544436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31969863.449999996</v>
      </c>
      <c r="D691" s="256">
        <f>(D616/D613)*Y91</f>
        <v>1475652.9743086849</v>
      </c>
      <c r="E691" s="258">
        <f>(E624/E613)*SUM(C691:D691)</f>
        <v>8372948.719427187</v>
      </c>
      <c r="F691" s="258">
        <f>(F625/F613)*Y65</f>
        <v>86610.415770233914</v>
      </c>
      <c r="G691" s="256">
        <f>(G626/G613)*Y92</f>
        <v>376.4292899907507</v>
      </c>
      <c r="H691" s="258">
        <f>(H629/H613)*Y61</f>
        <v>0</v>
      </c>
      <c r="I691" s="256">
        <f>(I630/I613)*Y93</f>
        <v>72435.881095026722</v>
      </c>
      <c r="J691" s="256">
        <f>(J631/J613)*Y94</f>
        <v>0</v>
      </c>
      <c r="K691" s="256">
        <f>(K645/K613)*Y90</f>
        <v>1984767.5586142752</v>
      </c>
      <c r="L691" s="256">
        <f>(L648/L613)*Y95</f>
        <v>112521.53359611792</v>
      </c>
      <c r="M691" s="231">
        <f t="shared" si="18"/>
        <v>12105314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12232449.210000001</v>
      </c>
      <c r="D692" s="256">
        <f>(D616/D613)*Z91</f>
        <v>1228776.6154500926</v>
      </c>
      <c r="E692" s="258">
        <f>(E624/E613)*SUM(C692:D692)</f>
        <v>3369963.0200717482</v>
      </c>
      <c r="F692" s="258">
        <f>(F625/F613)*Z65</f>
        <v>19633.157234649592</v>
      </c>
      <c r="G692" s="256">
        <f>(G626/G613)*Z92</f>
        <v>26.140922916024355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729748.53166318347</v>
      </c>
      <c r="L692" s="256">
        <f>(L648/L613)*Z95</f>
        <v>13853.819682859455</v>
      </c>
      <c r="M692" s="231">
        <f t="shared" si="18"/>
        <v>5362001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1357666.18</v>
      </c>
      <c r="D693" s="256">
        <f>(D616/D613)*AA91</f>
        <v>100802.365835951</v>
      </c>
      <c r="E693" s="258">
        <f>(E624/E613)*SUM(C693:D693)</f>
        <v>365121.6560168385</v>
      </c>
      <c r="F693" s="258">
        <f>(F625/F613)*AA65</f>
        <v>2944.9500037937942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68867.427330322884</v>
      </c>
      <c r="L693" s="256">
        <f>(L648/L613)*AA95</f>
        <v>0</v>
      </c>
      <c r="M693" s="231">
        <f t="shared" si="18"/>
        <v>537736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90991734.600000009</v>
      </c>
      <c r="D694" s="256">
        <f>(D616/D613)*AB91</f>
        <v>770833.03202260146</v>
      </c>
      <c r="E694" s="258">
        <f>(E624/E613)*SUM(C694:D694)</f>
        <v>22972384.800357454</v>
      </c>
      <c r="F694" s="258">
        <f>(F625/F613)*AB65</f>
        <v>380108.44616369164</v>
      </c>
      <c r="G694" s="256">
        <f>(G626/G613)*AB92</f>
        <v>0</v>
      </c>
      <c r="H694" s="258">
        <f>(H629/H613)*AB61</f>
        <v>0</v>
      </c>
      <c r="I694" s="256">
        <f>(I630/I613)*AB93</f>
        <v>14715.893111950112</v>
      </c>
      <c r="J694" s="256">
        <f>(J631/J613)*AB94</f>
        <v>0</v>
      </c>
      <c r="K694" s="256">
        <f>(K645/K613)*AB90</f>
        <v>2680764.7023191284</v>
      </c>
      <c r="L694" s="256">
        <f>(L648/L613)*AB95</f>
        <v>0</v>
      </c>
      <c r="M694" s="231">
        <f t="shared" si="18"/>
        <v>26818807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12033282.609999999</v>
      </c>
      <c r="D695" s="256">
        <f>(D616/D613)*AC91</f>
        <v>136092.98716016649</v>
      </c>
      <c r="E695" s="258">
        <f>(E624/E613)*SUM(C695:D695)</f>
        <v>3046553.5807488076</v>
      </c>
      <c r="F695" s="258">
        <f>(F625/F613)*AC65</f>
        <v>10111.91069382873</v>
      </c>
      <c r="G695" s="256">
        <f>(G626/G613)*AC92</f>
        <v>0</v>
      </c>
      <c r="H695" s="258">
        <f>(H629/H613)*AC61</f>
        <v>0</v>
      </c>
      <c r="I695" s="256">
        <f>(I630/I613)*AC93</f>
        <v>0</v>
      </c>
      <c r="J695" s="256">
        <f>(J631/J613)*AC94</f>
        <v>0</v>
      </c>
      <c r="K695" s="256">
        <f>(K645/K613)*AC90</f>
        <v>855641.37629621755</v>
      </c>
      <c r="L695" s="256">
        <f>(L648/L613)*AC95</f>
        <v>0</v>
      </c>
      <c r="M695" s="231">
        <f t="shared" si="18"/>
        <v>4048400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2045475.15</v>
      </c>
      <c r="D696" s="256">
        <f>(D616/D613)*AD91</f>
        <v>19274.476157800094</v>
      </c>
      <c r="E696" s="258">
        <f>(E624/E613)*SUM(C696:D696)</f>
        <v>516901.65339203784</v>
      </c>
      <c r="F696" s="258">
        <f>(F625/F613)*AD65</f>
        <v>167.70938195218548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31232.25637482023</v>
      </c>
      <c r="L696" s="256">
        <f>(L648/L613)*AD95</f>
        <v>0</v>
      </c>
      <c r="M696" s="231">
        <f t="shared" si="18"/>
        <v>567576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3302777.0700000003</v>
      </c>
      <c r="D697" s="256">
        <f>(D616/D613)*AE91</f>
        <v>73387.076831850427</v>
      </c>
      <c r="E697" s="258">
        <f>(E624/E613)*SUM(C697:D697)</f>
        <v>845208.93357310549</v>
      </c>
      <c r="F697" s="258">
        <f>(F625/F613)*AE65</f>
        <v>66.042953926722873</v>
      </c>
      <c r="G697" s="256">
        <f>(G626/G613)*AE92</f>
        <v>0</v>
      </c>
      <c r="H697" s="258">
        <f>(H629/H613)*AE61</f>
        <v>0</v>
      </c>
      <c r="I697" s="256">
        <f>(I630/I613)*AE93</f>
        <v>0</v>
      </c>
      <c r="J697" s="256">
        <f>(J631/J613)*AE94</f>
        <v>0</v>
      </c>
      <c r="K697" s="256">
        <f>(K645/K613)*AE90</f>
        <v>68725.5838087015</v>
      </c>
      <c r="L697" s="256">
        <f>(L648/L613)*AE95</f>
        <v>0</v>
      </c>
      <c r="M697" s="231">
        <f t="shared" si="18"/>
        <v>987388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48537220.619999997</v>
      </c>
      <c r="D699" s="256">
        <f>(D616/D613)*AG91</f>
        <v>3042480.5746776895</v>
      </c>
      <c r="E699" s="258">
        <f>(E624/E613)*SUM(C699:D699)</f>
        <v>12912767.965290593</v>
      </c>
      <c r="F699" s="258">
        <f>(F625/F613)*AG65</f>
        <v>24491.096742765239</v>
      </c>
      <c r="G699" s="256">
        <f>(G626/G613)*AG92</f>
        <v>144020.80071354457</v>
      </c>
      <c r="H699" s="258">
        <f>(H629/H613)*AG61</f>
        <v>0</v>
      </c>
      <c r="I699" s="256">
        <f>(I630/I613)*AG93</f>
        <v>187397.14728524906</v>
      </c>
      <c r="J699" s="256">
        <f>(J631/J613)*AG94</f>
        <v>0</v>
      </c>
      <c r="K699" s="256">
        <f>(K645/K613)*AG90</f>
        <v>2825759.8790148655</v>
      </c>
      <c r="L699" s="256">
        <f>(L648/L613)*AG95</f>
        <v>890790.0821987316</v>
      </c>
      <c r="M699" s="231">
        <f t="shared" si="18"/>
        <v>20027708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4932803.8800000018</v>
      </c>
      <c r="D701" s="256">
        <f>(D616/D613)*AI91</f>
        <v>467153.22087221494</v>
      </c>
      <c r="E701" s="258">
        <f>(E624/E613)*SUM(C701:D701)</f>
        <v>1351857.2510319473</v>
      </c>
      <c r="F701" s="258">
        <f>(F625/F613)*AI65</f>
        <v>2251.0186797075658</v>
      </c>
      <c r="G701" s="256">
        <f>(G626/G613)*AI92</f>
        <v>54629.300709907693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84389.06835159348</v>
      </c>
      <c r="L701" s="256">
        <f>(L648/L613)*AI95</f>
        <v>157210.94437365676</v>
      </c>
      <c r="M701" s="231">
        <f t="shared" si="18"/>
        <v>2117491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76708233.770000011</v>
      </c>
      <c r="D702" s="256">
        <f>(D616/D613)*AJ91</f>
        <v>839931.41844310507</v>
      </c>
      <c r="E702" s="258">
        <f>(E624/E613)*SUM(C702:D702)</f>
        <v>19413867.083737932</v>
      </c>
      <c r="F702" s="258">
        <f>(F625/F613)*AJ65</f>
        <v>22857.148344848662</v>
      </c>
      <c r="G702" s="256">
        <f>(G626/G613)*AJ92</f>
        <v>177.75827582896559</v>
      </c>
      <c r="H702" s="258">
        <f>(H629/H613)*AJ61</f>
        <v>0</v>
      </c>
      <c r="I702" s="256">
        <f>(I630/I613)*AJ93</f>
        <v>107940.18947656901</v>
      </c>
      <c r="J702" s="256">
        <f>(J631/J613)*AJ94</f>
        <v>0</v>
      </c>
      <c r="K702" s="256">
        <f>(K645/K613)*AJ90</f>
        <v>1071291.7073242611</v>
      </c>
      <c r="L702" s="256">
        <f>(L648/L613)*AJ95</f>
        <v>244447.92957129437</v>
      </c>
      <c r="M702" s="231">
        <f t="shared" si="18"/>
        <v>21700513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195797</v>
      </c>
      <c r="D703" s="256">
        <f>(D616/D613)*AK91</f>
        <v>0</v>
      </c>
      <c r="E703" s="258">
        <f>(E624/E613)*SUM(C703:D703)</f>
        <v>49016.980919635222</v>
      </c>
      <c r="F703" s="258">
        <f>(F625/F613)*AK65</f>
        <v>11.320719457455947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4315.1716501162646</v>
      </c>
      <c r="L703" s="256">
        <f>(L648/L613)*AK95</f>
        <v>0</v>
      </c>
      <c r="M703" s="231">
        <f t="shared" si="18"/>
        <v>53343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852014.52999999991</v>
      </c>
      <c r="D704" s="256">
        <f>(D616/D613)*AL91</f>
        <v>0</v>
      </c>
      <c r="E704" s="258">
        <f>(E624/E613)*SUM(C704:D704)</f>
        <v>213298.36494053519</v>
      </c>
      <c r="F704" s="258">
        <f>(F625/F613)*AL65</f>
        <v>123.29135024297025</v>
      </c>
      <c r="G704" s="256">
        <f>(G626/G613)*AL92</f>
        <v>700.5767341494527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21915.042704418611</v>
      </c>
      <c r="L704" s="256">
        <f>(L648/L613)*AL95</f>
        <v>0</v>
      </c>
      <c r="M704" s="231">
        <f t="shared" si="18"/>
        <v>236037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12463901.659999998</v>
      </c>
      <c r="D708" s="256">
        <f>(D616/D613)*AP91</f>
        <v>0</v>
      </c>
      <c r="E708" s="258">
        <f>(E624/E613)*SUM(C708:D708)</f>
        <v>3120286.9801500007</v>
      </c>
      <c r="F708" s="258">
        <f>(F625/F613)*AP65</f>
        <v>2189.1789172116441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183893.073767786</v>
      </c>
      <c r="L708" s="256">
        <f>(L648/L613)*AP95</f>
        <v>13737.795203748103</v>
      </c>
      <c r="M708" s="231">
        <f t="shared" si="18"/>
        <v>3320107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48407388.18</v>
      </c>
      <c r="D714" s="256">
        <f>(D616/D613)*AV91</f>
        <v>1936989.8708262083</v>
      </c>
      <c r="E714" s="258">
        <f>(E624/E613)*SUM(C714:D714)</f>
        <v>12603509.851163452</v>
      </c>
      <c r="F714" s="258">
        <f>(F625/F613)*AV65</f>
        <v>22729.274440927155</v>
      </c>
      <c r="G714" s="256">
        <f>(G626/G613)*AV92</f>
        <v>33329.676717931048</v>
      </c>
      <c r="H714" s="258">
        <f>(H629/H613)*AV61</f>
        <v>0</v>
      </c>
      <c r="I714" s="256">
        <f>(I630/I613)*AV93</f>
        <v>232839.11601528295</v>
      </c>
      <c r="J714" s="256">
        <f>(J631/J613)*AV94</f>
        <v>0</v>
      </c>
      <c r="K714" s="256">
        <f>(K645/K613)*AV90</f>
        <v>1044541.7979528732</v>
      </c>
      <c r="L714" s="256">
        <f>(L648/L613)*AV95</f>
        <v>337109.21675896202</v>
      </c>
      <c r="M714" s="231">
        <f t="shared" si="18"/>
        <v>16211049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965248354.19999981</v>
      </c>
      <c r="D716" s="231">
        <f>SUM(D617:D648)+SUM(D669:D714)</f>
        <v>30989496.100000001</v>
      </c>
      <c r="E716" s="231">
        <f>SUM(E625:E648)+SUM(E669:E714)</f>
        <v>193263309.48420084</v>
      </c>
      <c r="F716" s="231">
        <f>SUM(F626:F649)+SUM(F669:F714)</f>
        <v>1148580.1086411003</v>
      </c>
      <c r="G716" s="231">
        <f>SUM(G627:G648)+SUM(G669:G714)</f>
        <v>1924719.5570147908</v>
      </c>
      <c r="H716" s="231">
        <f>SUM(H630:H648)+SUM(H669:H714)</f>
        <v>0</v>
      </c>
      <c r="I716" s="231">
        <f>SUM(I631:I648)+SUM(I669:I714)</f>
        <v>2466880.1253304705</v>
      </c>
      <c r="J716" s="231">
        <f>SUM(J632:J648)+SUM(J669:J714)</f>
        <v>0</v>
      </c>
      <c r="K716" s="231">
        <f>SUM(K669:K714)</f>
        <v>26745096.992147718</v>
      </c>
      <c r="L716" s="231">
        <f>SUM(L669:L714)</f>
        <v>8227727.9113427904</v>
      </c>
      <c r="M716" s="231">
        <f>SUM(M669:M714)</f>
        <v>254268471</v>
      </c>
      <c r="N716" s="250" t="s">
        <v>669</v>
      </c>
    </row>
    <row r="717" spans="1:14" s="231" customFormat="1" ht="12.65" customHeight="1" x14ac:dyDescent="0.3">
      <c r="C717" s="253">
        <f>CE86</f>
        <v>965248354.19999969</v>
      </c>
      <c r="D717" s="231">
        <f>D616</f>
        <v>30989496.099999994</v>
      </c>
      <c r="E717" s="231">
        <f>E624</f>
        <v>193263309.48420078</v>
      </c>
      <c r="F717" s="231">
        <f>F625</f>
        <v>1148580.1086411001</v>
      </c>
      <c r="G717" s="231">
        <f>G626</f>
        <v>1924719.5570147906</v>
      </c>
      <c r="H717" s="231">
        <f>H629</f>
        <v>0</v>
      </c>
      <c r="I717" s="231">
        <f>I630</f>
        <v>2466880.125330471</v>
      </c>
      <c r="J717" s="231">
        <f>J631</f>
        <v>0</v>
      </c>
      <c r="K717" s="231">
        <f>K645</f>
        <v>26745096.992147725</v>
      </c>
      <c r="L717" s="231">
        <f>L648</f>
        <v>8227727.9113427894</v>
      </c>
      <c r="M717" s="231">
        <f>C649</f>
        <v>254268470.23999998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176</v>
      </c>
      <c r="C2" s="12" t="str">
        <f>SUBSTITUTE(LEFT(data!C98,49),",","")</f>
        <v>Tacoma General / Allenmore</v>
      </c>
      <c r="D2" s="12" t="str">
        <f>LEFT(data!C99,49)</f>
        <v/>
      </c>
      <c r="E2" s="12" t="str">
        <f>RIGHT(data!C100,100)</f>
        <v xml:space="preserve">Tacoma  </v>
      </c>
      <c r="F2" s="12" t="str">
        <f>RIGHT(data!C101,100)</f>
        <v>WA</v>
      </c>
      <c r="G2" s="12" t="str">
        <f>RIGHT(data!C102,100)</f>
        <v>98405</v>
      </c>
      <c r="H2" s="12" t="str">
        <f>RIGHT(data!C103,100)</f>
        <v>Pierce</v>
      </c>
      <c r="I2" s="12" t="str">
        <f>LEFT(data!C104,49)</f>
        <v>Bill Robertson</v>
      </c>
      <c r="J2" s="12" t="str">
        <f>LEFT(data!C105,49)</f>
        <v>James Lee</v>
      </c>
      <c r="K2" s="12" t="str">
        <f>LEFT(data!C107,49)</f>
        <v>2534031000</v>
      </c>
      <c r="L2" s="12" t="str">
        <f>LEFT(data!C107,49)</f>
        <v>2534031000</v>
      </c>
      <c r="M2" s="12" t="str">
        <f>LEFT(data!C109,49)</f>
        <v>Dan Wickens</v>
      </c>
      <c r="N2" s="12" t="str">
        <f>LEFT(data!C110,49)</f>
        <v>dan.wickens@multicare.org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176</v>
      </c>
      <c r="B2" s="224" t="str">
        <f>RIGHT(data!C96,4)</f>
        <v>2022</v>
      </c>
      <c r="C2" s="16" t="s">
        <v>1123</v>
      </c>
      <c r="D2" s="223">
        <f>ROUND(data!C181,0)</f>
        <v>25003157</v>
      </c>
      <c r="E2" s="223">
        <f>ROUND(data!C182,0)</f>
        <v>0</v>
      </c>
      <c r="F2" s="223">
        <f>ROUND(data!C183,0)</f>
        <v>0</v>
      </c>
      <c r="G2" s="223">
        <f>ROUND(data!C184,0)</f>
        <v>37866805</v>
      </c>
      <c r="H2" s="223">
        <f>ROUND(data!C185,0)</f>
        <v>0</v>
      </c>
      <c r="I2" s="223">
        <f>ROUND(data!C186,0)</f>
        <v>0</v>
      </c>
      <c r="J2" s="223">
        <f>ROUND(data!C187+data!C188,0)</f>
        <v>16545389</v>
      </c>
      <c r="K2" s="223">
        <f>ROUND(data!C191,0)</f>
        <v>5982458</v>
      </c>
      <c r="L2" s="223">
        <f>ROUND(data!C192,0)</f>
        <v>3478055</v>
      </c>
      <c r="M2" s="223">
        <f>ROUND(data!C195,0)</f>
        <v>11325279</v>
      </c>
      <c r="N2" s="223">
        <f>ROUND(data!C196,0)</f>
        <v>0</v>
      </c>
      <c r="O2" s="223">
        <f>ROUND(data!C199,0)</f>
        <v>437046</v>
      </c>
      <c r="P2" s="223">
        <f>ROUND(data!C200,0)</f>
        <v>7488845</v>
      </c>
      <c r="Q2" s="223">
        <f>ROUND(data!C201,0)</f>
        <v>0</v>
      </c>
      <c r="R2" s="223">
        <f>ROUND(data!C204,0)</f>
        <v>0</v>
      </c>
      <c r="S2" s="223">
        <f>ROUND(data!C205,0)</f>
        <v>9677520</v>
      </c>
      <c r="T2" s="223">
        <f>ROUND(data!B211,0)</f>
        <v>5728063</v>
      </c>
      <c r="U2" s="223">
        <f>ROUND(data!C211,0)</f>
        <v>0</v>
      </c>
      <c r="V2" s="223">
        <f>ROUND(data!D211,0)</f>
        <v>31000</v>
      </c>
      <c r="W2" s="223">
        <f>ROUND(data!B212,0)</f>
        <v>3311378</v>
      </c>
      <c r="X2" s="223">
        <f>ROUND(data!C212,0)</f>
        <v>33223</v>
      </c>
      <c r="Y2" s="223">
        <f>ROUND(data!D212,0)</f>
        <v>19919</v>
      </c>
      <c r="Z2" s="223">
        <f>ROUND(data!B213,0)</f>
        <v>620400698</v>
      </c>
      <c r="AA2" s="223">
        <f>ROUND(data!C213,0)</f>
        <v>12168360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34790497</v>
      </c>
      <c r="AG2" s="223">
        <f>ROUND(data!C215,0)</f>
        <v>880710</v>
      </c>
      <c r="AH2" s="223">
        <f>ROUND(data!D215,0)</f>
        <v>365711</v>
      </c>
      <c r="AI2" s="223">
        <f>ROUND(data!B216,0)</f>
        <v>241316064</v>
      </c>
      <c r="AJ2" s="223">
        <f>ROUND(data!C216,0)</f>
        <v>10950243</v>
      </c>
      <c r="AK2" s="223">
        <f>ROUND(data!D216,0)</f>
        <v>55124633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14268560</v>
      </c>
      <c r="AP2" s="223">
        <f>ROUND(data!C218,0)</f>
        <v>376814</v>
      </c>
      <c r="AQ2" s="223">
        <f>ROUND(data!D218,0)</f>
        <v>0</v>
      </c>
      <c r="AR2" s="223">
        <f>ROUND(data!B219,0)</f>
        <v>0</v>
      </c>
      <c r="AS2" s="223">
        <f>ROUND(data!C219,0)</f>
        <v>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2396948</v>
      </c>
      <c r="AY2" s="223">
        <f>ROUND(data!C225,0)</f>
        <v>144354</v>
      </c>
      <c r="AZ2" s="223">
        <f>ROUND(data!D225,0)</f>
        <v>19919</v>
      </c>
      <c r="BA2" s="223">
        <f>ROUND(data!B226,0)</f>
        <v>324656204</v>
      </c>
      <c r="BB2" s="223">
        <f>ROUND(data!C226,0)</f>
        <v>3771394</v>
      </c>
      <c r="BC2" s="223">
        <f>ROUND(data!D226,0)</f>
        <v>-18730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26291254</v>
      </c>
      <c r="BH2" s="223">
        <f>ROUND(data!C228,0)</f>
        <v>1329954</v>
      </c>
      <c r="BI2" s="223">
        <f>ROUND(data!D228,0)</f>
        <v>365711</v>
      </c>
      <c r="BJ2" s="223">
        <f>ROUND(data!B229,0)</f>
        <v>198391197</v>
      </c>
      <c r="BK2" s="223">
        <f>ROUND(data!C229,0)</f>
        <v>5542675</v>
      </c>
      <c r="BL2" s="223">
        <f>ROUND(data!D229,0)</f>
        <v>54498784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9633437</v>
      </c>
      <c r="BQ2" s="223">
        <f>ROUND(data!C231,0)</f>
        <v>658841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1399068459</v>
      </c>
      <c r="BW2" s="223">
        <f>ROUND(data!C240,0)</f>
        <v>837646292</v>
      </c>
      <c r="BX2" s="223">
        <f>ROUND(data!C241,0)</f>
        <v>30997585</v>
      </c>
      <c r="BY2" s="223">
        <f>ROUND(data!C242,0)</f>
        <v>0</v>
      </c>
      <c r="BZ2" s="223">
        <f>ROUND(data!C243,0)</f>
        <v>0</v>
      </c>
      <c r="CA2" s="223">
        <f>ROUND(data!C244,0)</f>
        <v>1110842862</v>
      </c>
      <c r="CB2" s="223">
        <f>ROUND(data!C247,0)</f>
        <v>21478</v>
      </c>
      <c r="CC2" s="223">
        <f>ROUND(data!C249,0)</f>
        <v>27782502</v>
      </c>
      <c r="CD2" s="223">
        <f>ROUND(data!C250,0)</f>
        <v>42152736</v>
      </c>
      <c r="CE2" s="223">
        <f>ROUND(data!C254+data!C255,0)</f>
        <v>39187289</v>
      </c>
      <c r="CF2" s="223">
        <f>data!D237</f>
        <v>34442800.430000007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176</v>
      </c>
      <c r="B2" s="16" t="str">
        <f>RIGHT(data!C96,4)</f>
        <v>2022</v>
      </c>
      <c r="C2" s="16" t="s">
        <v>1123</v>
      </c>
      <c r="D2" s="222">
        <f>ROUND(data!C127,0)</f>
        <v>23815</v>
      </c>
      <c r="E2" s="222">
        <f>ROUND(data!C128,0)</f>
        <v>0</v>
      </c>
      <c r="F2" s="222">
        <f>ROUND(data!C129,0)</f>
        <v>0</v>
      </c>
      <c r="G2" s="222">
        <f>ROUND(data!C130,0)</f>
        <v>2975</v>
      </c>
      <c r="H2" s="222">
        <f>ROUND(data!D127,0)</f>
        <v>146151</v>
      </c>
      <c r="I2" s="222">
        <f>ROUND(data!D128,0)</f>
        <v>0</v>
      </c>
      <c r="J2" s="222">
        <f>ROUND(data!D129,0)</f>
        <v>0</v>
      </c>
      <c r="K2" s="222">
        <f>ROUND(data!D130,0)</f>
        <v>4300</v>
      </c>
      <c r="L2" s="222">
        <f>ROUND(data!C132,0)</f>
        <v>148</v>
      </c>
      <c r="M2" s="222">
        <f>ROUND(data!C133,0)</f>
        <v>74</v>
      </c>
      <c r="N2" s="222">
        <f>ROUND(data!C134,0)</f>
        <v>97</v>
      </c>
      <c r="O2" s="222">
        <f>ROUND(data!C135,0)</f>
        <v>0</v>
      </c>
      <c r="P2" s="222">
        <f>ROUND(data!C136,0)</f>
        <v>52</v>
      </c>
      <c r="Q2" s="222">
        <f>ROUND(data!C137,0)</f>
        <v>0</v>
      </c>
      <c r="R2" s="222">
        <f>ROUND(data!C138,0)</f>
        <v>27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63</v>
      </c>
      <c r="W2" s="222">
        <f>ROUND(data!C144,0)</f>
        <v>581</v>
      </c>
      <c r="X2" s="222">
        <f>ROUND(data!C145,0)</f>
        <v>0</v>
      </c>
      <c r="Y2" s="222">
        <f>ROUND(data!B154,0)</f>
        <v>9872</v>
      </c>
      <c r="Z2" s="222">
        <f>ROUND(data!B155,0)</f>
        <v>60176</v>
      </c>
      <c r="AA2" s="222">
        <f>ROUND(data!B156,0)</f>
        <v>238270</v>
      </c>
      <c r="AB2" s="222">
        <f>ROUND(data!B157,0)</f>
        <v>805148990</v>
      </c>
      <c r="AC2" s="222">
        <f>ROUND(data!B158,0)</f>
        <v>936455219</v>
      </c>
      <c r="AD2" s="222">
        <f>ROUND(data!C154,0)</f>
        <v>5886</v>
      </c>
      <c r="AE2" s="222">
        <f>ROUND(data!C155,0)</f>
        <v>36586</v>
      </c>
      <c r="AF2" s="222">
        <f>ROUND(data!C156,0)</f>
        <v>166517</v>
      </c>
      <c r="AG2" s="222">
        <f>ROUND(data!C157,0)</f>
        <v>489624791</v>
      </c>
      <c r="AH2" s="222">
        <f>ROUND(data!C158,0)</f>
        <v>556353280</v>
      </c>
      <c r="AI2" s="222">
        <f>ROUND(data!D154,0)</f>
        <v>8056</v>
      </c>
      <c r="AJ2" s="222">
        <f>ROUND(data!D155,0)</f>
        <v>49136</v>
      </c>
      <c r="AK2" s="222">
        <f>ROUND(data!D156,0)</f>
        <v>339787</v>
      </c>
      <c r="AL2" s="222">
        <f>ROUND(data!D157,0)</f>
        <v>657444766</v>
      </c>
      <c r="AM2" s="222">
        <f>ROUND(data!D158,0)</f>
        <v>764094698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176</v>
      </c>
      <c r="B2" s="224" t="str">
        <f>RIGHT(data!C96,4)</f>
        <v>2022</v>
      </c>
      <c r="C2" s="16" t="s">
        <v>1123</v>
      </c>
      <c r="D2" s="222">
        <f>ROUND(data!C266,0)</f>
        <v>870572400</v>
      </c>
      <c r="E2" s="222">
        <f>ROUND(data!C267,0)</f>
        <v>0</v>
      </c>
      <c r="F2" s="222">
        <f>ROUND(data!C268,0)</f>
        <v>200245446</v>
      </c>
      <c r="G2" s="222">
        <f>ROUND(data!C269,0)</f>
        <v>33537456</v>
      </c>
      <c r="H2" s="222">
        <f>ROUND(data!C270,0)</f>
        <v>0</v>
      </c>
      <c r="I2" s="222">
        <f>ROUND(data!C271,0)</f>
        <v>902116</v>
      </c>
      <c r="J2" s="222">
        <f>ROUND(data!C272,0)</f>
        <v>0</v>
      </c>
      <c r="K2" s="222">
        <f>ROUND(data!C273,0)</f>
        <v>29983123</v>
      </c>
      <c r="L2" s="222">
        <f>ROUND(data!C274,0)</f>
        <v>3741000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5697063</v>
      </c>
      <c r="R2" s="222">
        <f>ROUND(data!C284,0)</f>
        <v>3324681</v>
      </c>
      <c r="S2" s="222">
        <f>ROUND(data!C285,0)</f>
        <v>632569058</v>
      </c>
      <c r="T2" s="222">
        <f>ROUND(data!C286,0)</f>
        <v>0</v>
      </c>
      <c r="U2" s="222">
        <f>ROUND(data!C287,0)</f>
        <v>35305496</v>
      </c>
      <c r="V2" s="222">
        <f>ROUND(data!C288,0)</f>
        <v>197141674</v>
      </c>
      <c r="W2" s="222">
        <f>ROUND(data!C289,0)</f>
        <v>14645374</v>
      </c>
      <c r="X2" s="222">
        <f>ROUND(data!C290,0)</f>
        <v>0</v>
      </c>
      <c r="Y2" s="222">
        <f>ROUND(data!C291,0)</f>
        <v>0</v>
      </c>
      <c r="Z2" s="222">
        <f>ROUND(data!C292,0)</f>
        <v>517950571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917459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7418811</v>
      </c>
      <c r="AK2" s="222">
        <f>ROUND(data!C316,0)</f>
        <v>89903</v>
      </c>
      <c r="AL2" s="222">
        <f>ROUND(data!C317,0)</f>
        <v>0</v>
      </c>
      <c r="AM2" s="222">
        <f>ROUND(data!C318,0)</f>
        <v>0</v>
      </c>
      <c r="AN2" s="222">
        <f>ROUND(data!C319,0)</f>
        <v>1100000</v>
      </c>
      <c r="AO2" s="222">
        <f>ROUND(data!C320,0)</f>
        <v>0</v>
      </c>
      <c r="AP2" s="222">
        <f>ROUND(data!C321,0)</f>
        <v>0</v>
      </c>
      <c r="AQ2" s="222">
        <f>ROUND(data!C322,0)</f>
        <v>7297162</v>
      </c>
      <c r="AR2" s="222">
        <f>ROUND(data!C323,0)</f>
        <v>0</v>
      </c>
      <c r="AS2" s="222">
        <f>ROUND(data!C326,0)</f>
        <v>0</v>
      </c>
      <c r="AT2" s="222">
        <f>ROUND(data!C327,0)</f>
        <v>227649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1427423338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3347.02</v>
      </c>
      <c r="BL2" s="222">
        <f>ROUND(data!C358,0)</f>
        <v>1952218547</v>
      </c>
      <c r="BM2" s="222">
        <f>ROUND(data!C359,0)</f>
        <v>2256903198</v>
      </c>
      <c r="BN2" s="222">
        <f>ROUND(data!C363,0)</f>
        <v>2963327323</v>
      </c>
      <c r="BO2" s="222">
        <f>ROUND(data!C364,0)</f>
        <v>60352014</v>
      </c>
      <c r="BP2" s="222">
        <f>ROUND(data!C365,0)</f>
        <v>0</v>
      </c>
      <c r="BQ2" s="222">
        <f>ROUND(data!D381,0)</f>
        <v>24763295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24763295</v>
      </c>
      <c r="CC2" s="222">
        <f>ROUND(data!C382,0)</f>
        <v>0</v>
      </c>
      <c r="CD2" s="222">
        <f>ROUND(data!C389,0)</f>
        <v>449281703</v>
      </c>
      <c r="CE2" s="222">
        <f>ROUND(data!C390,0)</f>
        <v>79415347</v>
      </c>
      <c r="CF2" s="222">
        <f>ROUND(data!C391,0)</f>
        <v>41301239</v>
      </c>
      <c r="CG2" s="222">
        <f>ROUND(data!C392,0)</f>
        <v>235047932</v>
      </c>
      <c r="CH2" s="222">
        <f>ROUND(data!C393,0)</f>
        <v>2756738</v>
      </c>
      <c r="CI2" s="222">
        <f>ROUND(data!C394,0)</f>
        <v>330294267</v>
      </c>
      <c r="CJ2" s="222">
        <f>ROUND(data!C395,0)</f>
        <v>18459745</v>
      </c>
      <c r="CK2" s="222">
        <f>ROUND(data!C396,0)</f>
        <v>9460513</v>
      </c>
      <c r="CL2" s="222">
        <f>ROUND(data!C397,0)</f>
        <v>11325279</v>
      </c>
      <c r="CM2" s="222">
        <f>ROUND(data!C398,0)</f>
        <v>7925890</v>
      </c>
      <c r="CN2" s="222">
        <f>ROUND(data!C399,0)</f>
        <v>9677520</v>
      </c>
      <c r="CO2" s="222">
        <f>ROUND(data!C362,0)</f>
        <v>31575806</v>
      </c>
      <c r="CP2" s="222">
        <f>ROUND(data!D415,0)</f>
        <v>29332708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29332708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176</v>
      </c>
      <c r="B2" s="224" t="str">
        <f>RIGHT(data!$C$96,4)</f>
        <v>2022</v>
      </c>
      <c r="C2" s="16">
        <f>data!C$55</f>
        <v>6010</v>
      </c>
      <c r="D2" s="16" t="s">
        <v>1123</v>
      </c>
      <c r="E2" s="222">
        <f>ROUND(data!C59,0)</f>
        <v>46158</v>
      </c>
      <c r="F2" s="212">
        <f>ROUND(data!C60,2)</f>
        <v>450.39</v>
      </c>
      <c r="G2" s="222">
        <f>ROUND(data!C61,0)</f>
        <v>57903326</v>
      </c>
      <c r="H2" s="222">
        <f>ROUND(data!C62,0)</f>
        <v>10649387</v>
      </c>
      <c r="I2" s="222">
        <f>ROUND(data!C63,0)</f>
        <v>181265</v>
      </c>
      <c r="J2" s="222">
        <f>ROUND(data!C64,0)</f>
        <v>7545940</v>
      </c>
      <c r="K2" s="222">
        <f>ROUND(data!C65,0)</f>
        <v>315876</v>
      </c>
      <c r="L2" s="222">
        <f>ROUND(data!C66,0)</f>
        <v>1377145</v>
      </c>
      <c r="M2" s="66">
        <f>ROUND(data!C67,0)</f>
        <v>1805527</v>
      </c>
      <c r="N2" s="222">
        <f>ROUND(data!C68,0)</f>
        <v>430847</v>
      </c>
      <c r="O2" s="222">
        <f>ROUND(data!C69,0)</f>
        <v>1018782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1018782</v>
      </c>
      <c r="AD2" s="222">
        <f>ROUND(data!C84,0)</f>
        <v>6460</v>
      </c>
      <c r="AE2" s="222">
        <f>ROUND(data!C89,0)</f>
        <v>316432829</v>
      </c>
      <c r="AF2" s="222">
        <f>ROUND(data!C87,0)</f>
        <v>315138808</v>
      </c>
      <c r="AG2" s="222">
        <f>IF(data!C90&gt;0,ROUND(data!C90,0),0)</f>
        <v>85968</v>
      </c>
      <c r="AH2" s="222">
        <f>IF(data!C91&gt;0,ROUND(data!C91,0),0)</f>
        <v>68998</v>
      </c>
      <c r="AI2" s="222">
        <f>IF(data!C92&gt;0,ROUND(data!C92,0),0)</f>
        <v>26424</v>
      </c>
      <c r="AJ2" s="222">
        <f>IF(data!C93&gt;0,ROUND(data!C93,0),0)</f>
        <v>455930</v>
      </c>
      <c r="AK2" s="212">
        <f>IF(data!C94&gt;0,ROUND(data!C94,2),0)</f>
        <v>305.8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176</v>
      </c>
      <c r="B3" s="224" t="str">
        <f>RIGHT(data!$C$96,4)</f>
        <v>2022</v>
      </c>
      <c r="C3" s="16">
        <f>data!D$55</f>
        <v>6030</v>
      </c>
      <c r="D3" s="16" t="s">
        <v>1123</v>
      </c>
      <c r="E3" s="222">
        <f>ROUND(data!D59,0)</f>
        <v>23145</v>
      </c>
      <c r="F3" s="212">
        <f>ROUND(data!D60,2)</f>
        <v>162.05000000000001</v>
      </c>
      <c r="G3" s="222">
        <f>ROUND(data!D61,0)</f>
        <v>21458249</v>
      </c>
      <c r="H3" s="222">
        <f>ROUND(data!D62,0)</f>
        <v>3388825</v>
      </c>
      <c r="I3" s="222">
        <f>ROUND(data!D63,0)</f>
        <v>0</v>
      </c>
      <c r="J3" s="222">
        <f>ROUND(data!D64,0)</f>
        <v>1800915</v>
      </c>
      <c r="K3" s="222">
        <f>ROUND(data!D65,0)</f>
        <v>125590</v>
      </c>
      <c r="L3" s="222">
        <f>ROUND(data!D66,0)</f>
        <v>1417954</v>
      </c>
      <c r="M3" s="66">
        <f>ROUND(data!D67,0)</f>
        <v>669941</v>
      </c>
      <c r="N3" s="222">
        <f>ROUND(data!D68,0)</f>
        <v>239902</v>
      </c>
      <c r="O3" s="222">
        <f>ROUND(data!D69,0)</f>
        <v>308712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308712</v>
      </c>
      <c r="AD3" s="222">
        <f>ROUND(data!D84,0)</f>
        <v>0</v>
      </c>
      <c r="AE3" s="222">
        <f>ROUND(data!D89,0)</f>
        <v>94929250</v>
      </c>
      <c r="AF3" s="222">
        <f>ROUND(data!D87,0)</f>
        <v>91998134</v>
      </c>
      <c r="AG3" s="222">
        <f>IF(data!D90&gt;0,ROUND(data!D90,0),0)</f>
        <v>31055</v>
      </c>
      <c r="AH3" s="222">
        <f>IF(data!D91&gt;0,ROUND(data!D91,0),0)</f>
        <v>29568</v>
      </c>
      <c r="AI3" s="222">
        <f>IF(data!D92&gt;0,ROUND(data!D92,0),0)</f>
        <v>1779</v>
      </c>
      <c r="AJ3" s="222">
        <f>IF(data!D93&gt;0,ROUND(data!D93,0),0)</f>
        <v>251981</v>
      </c>
      <c r="AK3" s="212">
        <f>IF(data!D94&gt;0,ROUND(data!D94,2),0)</f>
        <v>100.1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176</v>
      </c>
      <c r="B4" s="224" t="str">
        <f>RIGHT(data!$C$96,4)</f>
        <v>2022</v>
      </c>
      <c r="C4" s="16">
        <f>data!E$55</f>
        <v>6070</v>
      </c>
      <c r="D4" s="16" t="s">
        <v>1123</v>
      </c>
      <c r="E4" s="222">
        <f>ROUND(data!E59,0)</f>
        <v>40031</v>
      </c>
      <c r="F4" s="212">
        <f>ROUND(data!E60,2)</f>
        <v>238.29</v>
      </c>
      <c r="G4" s="222">
        <f>ROUND(data!E61,0)</f>
        <v>31057133</v>
      </c>
      <c r="H4" s="222">
        <f>ROUND(data!E62,0)</f>
        <v>4816177</v>
      </c>
      <c r="I4" s="222">
        <f>ROUND(data!E63,0)</f>
        <v>0</v>
      </c>
      <c r="J4" s="222">
        <f>ROUND(data!E64,0)</f>
        <v>1910991</v>
      </c>
      <c r="K4" s="222">
        <f>ROUND(data!E65,0)</f>
        <v>151169</v>
      </c>
      <c r="L4" s="222">
        <f>ROUND(data!E66,0)</f>
        <v>3207340</v>
      </c>
      <c r="M4" s="66">
        <f>ROUND(data!E67,0)</f>
        <v>653588</v>
      </c>
      <c r="N4" s="222">
        <f>ROUND(data!E68,0)</f>
        <v>653928</v>
      </c>
      <c r="O4" s="222">
        <f>ROUND(data!E69,0)</f>
        <v>228544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228544</v>
      </c>
      <c r="AD4" s="222">
        <f>ROUND(data!E84,0)</f>
        <v>0</v>
      </c>
      <c r="AE4" s="222">
        <f>ROUND(data!E89,0)</f>
        <v>110345601</v>
      </c>
      <c r="AF4" s="222">
        <f>ROUND(data!E87,0)</f>
        <v>107155903</v>
      </c>
      <c r="AG4" s="222">
        <f>IF(data!E90&gt;0,ROUND(data!E90,0),0)</f>
        <v>41581</v>
      </c>
      <c r="AH4" s="222">
        <f>IF(data!E91&gt;0,ROUND(data!E91,0),0)</f>
        <v>173526</v>
      </c>
      <c r="AI4" s="222">
        <f>IF(data!E92&gt;0,ROUND(data!E92,0),0)</f>
        <v>23268</v>
      </c>
      <c r="AJ4" s="222">
        <f>IF(data!E93&gt;0,ROUND(data!E93,0),0)</f>
        <v>228495</v>
      </c>
      <c r="AK4" s="212">
        <f>IF(data!E94&gt;0,ROUND(data!E94,2),0)</f>
        <v>137.85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176</v>
      </c>
      <c r="B5" s="224" t="str">
        <f>RIGHT(data!$C$96,4)</f>
        <v>2022</v>
      </c>
      <c r="C5" s="16">
        <f>data!F$55</f>
        <v>6100</v>
      </c>
      <c r="D5" s="16" t="s">
        <v>1123</v>
      </c>
      <c r="E5" s="222">
        <f>ROUND(data!F59,0)</f>
        <v>3871</v>
      </c>
      <c r="F5" s="212">
        <f>ROUND(data!F60,2)</f>
        <v>39.01</v>
      </c>
      <c r="G5" s="222">
        <f>ROUND(data!F61,0)</f>
        <v>4311428</v>
      </c>
      <c r="H5" s="222">
        <f>ROUND(data!F62,0)</f>
        <v>1035594</v>
      </c>
      <c r="I5" s="222">
        <f>ROUND(data!F63,0)</f>
        <v>287288</v>
      </c>
      <c r="J5" s="222">
        <f>ROUND(data!F64,0)</f>
        <v>228723</v>
      </c>
      <c r="K5" s="222">
        <f>ROUND(data!F65,0)</f>
        <v>0</v>
      </c>
      <c r="L5" s="222">
        <f>ROUND(data!F66,0)</f>
        <v>364907</v>
      </c>
      <c r="M5" s="66">
        <f>ROUND(data!F67,0)</f>
        <v>0</v>
      </c>
      <c r="N5" s="222">
        <f>ROUND(data!F68,0)</f>
        <v>12900</v>
      </c>
      <c r="O5" s="222">
        <f>ROUND(data!F69,0)</f>
        <v>5000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5000</v>
      </c>
      <c r="AD5" s="222">
        <f>ROUND(data!F84,0)</f>
        <v>0</v>
      </c>
      <c r="AE5" s="222">
        <f>ROUND(data!F89,0)</f>
        <v>18583420</v>
      </c>
      <c r="AF5" s="222">
        <f>ROUND(data!F87,0)</f>
        <v>18536673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75756</v>
      </c>
      <c r="AK5" s="212">
        <f>IF(data!F94&gt;0,ROUND(data!F94,2),0)</f>
        <v>25.61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176</v>
      </c>
      <c r="B6" s="224" t="str">
        <f>RIGHT(data!$C$96,4)</f>
        <v>2022</v>
      </c>
      <c r="C6" s="16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176</v>
      </c>
      <c r="B7" s="224" t="str">
        <f>RIGHT(data!$C$96,4)</f>
        <v>2022</v>
      </c>
      <c r="C7" s="16">
        <f>data!H$55</f>
        <v>6140</v>
      </c>
      <c r="D7" s="16" t="s">
        <v>1123</v>
      </c>
      <c r="E7" s="222">
        <f>ROUND(data!H59,0)</f>
        <v>7884</v>
      </c>
      <c r="F7" s="212">
        <f>ROUND(data!H60,2)</f>
        <v>56.42</v>
      </c>
      <c r="G7" s="222">
        <f>ROUND(data!H61,0)</f>
        <v>5968596</v>
      </c>
      <c r="H7" s="222">
        <f>ROUND(data!H62,0)</f>
        <v>1397982</v>
      </c>
      <c r="I7" s="222">
        <f>ROUND(data!H63,0)</f>
        <v>1070219</v>
      </c>
      <c r="J7" s="222">
        <f>ROUND(data!H64,0)</f>
        <v>108095</v>
      </c>
      <c r="K7" s="222">
        <f>ROUND(data!H65,0)</f>
        <v>55701</v>
      </c>
      <c r="L7" s="222">
        <f>ROUND(data!H66,0)</f>
        <v>35633</v>
      </c>
      <c r="M7" s="66">
        <f>ROUND(data!H67,0)</f>
        <v>235049</v>
      </c>
      <c r="N7" s="222">
        <f>ROUND(data!H68,0)</f>
        <v>0</v>
      </c>
      <c r="O7" s="222">
        <f>ROUND(data!H69,0)</f>
        <v>-3926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-3926</v>
      </c>
      <c r="AD7" s="222">
        <f>ROUND(data!H84,0)</f>
        <v>9440</v>
      </c>
      <c r="AE7" s="222">
        <f>ROUND(data!H89,0)</f>
        <v>45527091</v>
      </c>
      <c r="AF7" s="222">
        <f>ROUND(data!H87,0)</f>
        <v>43871549</v>
      </c>
      <c r="AG7" s="222">
        <f>IF(data!H90&gt;0,ROUND(data!H90,0),0)</f>
        <v>15030</v>
      </c>
      <c r="AH7" s="222">
        <f>IF(data!H91&gt;0,ROUND(data!H91,0),0)</f>
        <v>43050</v>
      </c>
      <c r="AI7" s="222">
        <f>IF(data!H92&gt;0,ROUND(data!H92,0),0)</f>
        <v>0</v>
      </c>
      <c r="AJ7" s="222">
        <f>IF(data!H93&gt;0,ROUND(data!H93,0),0)</f>
        <v>30168</v>
      </c>
      <c r="AK7" s="212">
        <f>IF(data!H94&gt;0,ROUND(data!H94,2),0)</f>
        <v>16.12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176</v>
      </c>
      <c r="B8" s="224" t="str">
        <f>RIGHT(data!$C$96,4)</f>
        <v>2022</v>
      </c>
      <c r="C8" s="16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176</v>
      </c>
      <c r="B9" s="224" t="str">
        <f>RIGHT(data!$C$96,4)</f>
        <v>2022</v>
      </c>
      <c r="C9" s="16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176</v>
      </c>
      <c r="B10" s="224" t="str">
        <f>RIGHT(data!$C$96,4)</f>
        <v>2022</v>
      </c>
      <c r="C10" s="16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176</v>
      </c>
      <c r="B11" s="224" t="str">
        <f>RIGHT(data!$C$96,4)</f>
        <v>2022</v>
      </c>
      <c r="C11" s="16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176</v>
      </c>
      <c r="B12" s="224" t="str">
        <f>RIGHT(data!$C$96,4)</f>
        <v>2022</v>
      </c>
      <c r="C12" s="16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176</v>
      </c>
      <c r="B13" s="224" t="str">
        <f>RIGHT(data!$C$96,4)</f>
        <v>2022</v>
      </c>
      <c r="C13" s="16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176</v>
      </c>
      <c r="B14" s="224" t="str">
        <f>RIGHT(data!$C$96,4)</f>
        <v>2022</v>
      </c>
      <c r="C14" s="16">
        <f>data!O$55</f>
        <v>7010</v>
      </c>
      <c r="D14" s="16" t="s">
        <v>1123</v>
      </c>
      <c r="E14" s="222">
        <f>ROUND(data!O59,0)</f>
        <v>0</v>
      </c>
      <c r="F14" s="212">
        <f>ROUND(data!O60,2)</f>
        <v>85.49</v>
      </c>
      <c r="G14" s="222">
        <f>ROUND(data!O61,0)</f>
        <v>13896737</v>
      </c>
      <c r="H14" s="222">
        <f>ROUND(data!O62,0)</f>
        <v>1926766</v>
      </c>
      <c r="I14" s="222">
        <f>ROUND(data!O63,0)</f>
        <v>762746</v>
      </c>
      <c r="J14" s="222">
        <f>ROUND(data!O64,0)</f>
        <v>1615766</v>
      </c>
      <c r="K14" s="222">
        <f>ROUND(data!O65,0)</f>
        <v>205353</v>
      </c>
      <c r="L14" s="222">
        <f>ROUND(data!O66,0)</f>
        <v>601868</v>
      </c>
      <c r="M14" s="66">
        <f>ROUND(data!O67,0)</f>
        <v>817432</v>
      </c>
      <c r="N14" s="222">
        <f>ROUND(data!O68,0)</f>
        <v>58539</v>
      </c>
      <c r="O14" s="222">
        <f>ROUND(data!O69,0)</f>
        <v>98970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98970</v>
      </c>
      <c r="AD14" s="222">
        <f>ROUND(data!O84,0)</f>
        <v>27064</v>
      </c>
      <c r="AE14" s="222">
        <f>ROUND(data!O89,0)</f>
        <v>50823795</v>
      </c>
      <c r="AF14" s="222">
        <f>ROUND(data!O87,0)</f>
        <v>40842431</v>
      </c>
      <c r="AG14" s="222">
        <f>IF(data!O90&gt;0,ROUND(data!O90,0),0)</f>
        <v>45475</v>
      </c>
      <c r="AH14" s="222">
        <f>IF(data!O91&gt;0,ROUND(data!O91,0),0)</f>
        <v>20487</v>
      </c>
      <c r="AI14" s="222">
        <f>IF(data!O92&gt;0,ROUND(data!O92,0),0)</f>
        <v>19696</v>
      </c>
      <c r="AJ14" s="222">
        <f>IF(data!O93&gt;0,ROUND(data!O93,0),0)</f>
        <v>178325</v>
      </c>
      <c r="AK14" s="212">
        <f>IF(data!O94&gt;0,ROUND(data!O94,2),0)</f>
        <v>55.86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176</v>
      </c>
      <c r="B15" s="224" t="str">
        <f>RIGHT(data!$C$96,4)</f>
        <v>2022</v>
      </c>
      <c r="C15" s="16">
        <f>data!P$55</f>
        <v>7020</v>
      </c>
      <c r="D15" s="16" t="s">
        <v>1123</v>
      </c>
      <c r="E15" s="222">
        <f>ROUND(data!P59,0)</f>
        <v>2992340</v>
      </c>
      <c r="F15" s="212">
        <f>ROUND(data!P60,2)</f>
        <v>240.72</v>
      </c>
      <c r="G15" s="222">
        <f>ROUND(data!P61,0)</f>
        <v>28347769</v>
      </c>
      <c r="H15" s="222">
        <f>ROUND(data!P62,0)</f>
        <v>5615205</v>
      </c>
      <c r="I15" s="222">
        <f>ROUND(data!P63,0)</f>
        <v>10745422</v>
      </c>
      <c r="J15" s="222">
        <f>ROUND(data!P64,0)</f>
        <v>60284735</v>
      </c>
      <c r="K15" s="222">
        <f>ROUND(data!P65,0)</f>
        <v>315974</v>
      </c>
      <c r="L15" s="222">
        <f>ROUND(data!P66,0)</f>
        <v>8652762</v>
      </c>
      <c r="M15" s="66">
        <f>ROUND(data!P67,0)</f>
        <v>3142046</v>
      </c>
      <c r="N15" s="222">
        <f>ROUND(data!P68,0)</f>
        <v>1701445</v>
      </c>
      <c r="O15" s="222">
        <f>ROUND(data!P69,0)</f>
        <v>683101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683101</v>
      </c>
      <c r="AD15" s="222">
        <f>ROUND(data!P84,0)</f>
        <v>0</v>
      </c>
      <c r="AE15" s="222">
        <f>ROUND(data!P89,0)</f>
        <v>833323270</v>
      </c>
      <c r="AF15" s="222">
        <f>ROUND(data!P87,0)</f>
        <v>460555145</v>
      </c>
      <c r="AG15" s="222">
        <f>IF(data!P90&gt;0,ROUND(data!P90,0),0)</f>
        <v>56536</v>
      </c>
      <c r="AH15" s="222">
        <f>IF(data!P91&gt;0,ROUND(data!P91,0),0)</f>
        <v>23745</v>
      </c>
      <c r="AI15" s="222">
        <f>IF(data!P92&gt;0,ROUND(data!P92,0),0)</f>
        <v>46965</v>
      </c>
      <c r="AJ15" s="222">
        <f>IF(data!P93&gt;0,ROUND(data!P93,0),0)</f>
        <v>357549</v>
      </c>
      <c r="AK15" s="212">
        <f>IF(data!P94&gt;0,ROUND(data!P94,2),0)</f>
        <v>100.4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176</v>
      </c>
      <c r="B16" s="224" t="str">
        <f>RIGHT(data!$C$96,4)</f>
        <v>2022</v>
      </c>
      <c r="C16" s="16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176</v>
      </c>
      <c r="B17" s="224" t="str">
        <f>RIGHT(data!$C$96,4)</f>
        <v>2022</v>
      </c>
      <c r="C17" s="16">
        <f>data!R$55</f>
        <v>7040</v>
      </c>
      <c r="D17" s="16" t="s">
        <v>1123</v>
      </c>
      <c r="E17" s="222">
        <f>ROUND(data!R59,0)</f>
        <v>2843175</v>
      </c>
      <c r="F17" s="212">
        <f>ROUND(data!R60,2)</f>
        <v>109.61</v>
      </c>
      <c r="G17" s="222">
        <f>ROUND(data!R61,0)</f>
        <v>17675170</v>
      </c>
      <c r="H17" s="222">
        <f>ROUND(data!R62,0)</f>
        <v>2243695</v>
      </c>
      <c r="I17" s="222">
        <f>ROUND(data!R63,0)</f>
        <v>0</v>
      </c>
      <c r="J17" s="222">
        <f>ROUND(data!R64,0)</f>
        <v>846445</v>
      </c>
      <c r="K17" s="222">
        <f>ROUND(data!R65,0)</f>
        <v>65766</v>
      </c>
      <c r="L17" s="222">
        <f>ROUND(data!R66,0)</f>
        <v>911682</v>
      </c>
      <c r="M17" s="66">
        <f>ROUND(data!R67,0)</f>
        <v>234947</v>
      </c>
      <c r="N17" s="222">
        <f>ROUND(data!R68,0)</f>
        <v>231474</v>
      </c>
      <c r="O17" s="222">
        <f>ROUND(data!R69,0)</f>
        <v>185275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185275</v>
      </c>
      <c r="AD17" s="222">
        <f>ROUND(data!R84,0)</f>
        <v>0</v>
      </c>
      <c r="AE17" s="222">
        <f>ROUND(data!R89,0)</f>
        <v>129448263</v>
      </c>
      <c r="AF17" s="222">
        <f>ROUND(data!R87,0)</f>
        <v>62083346</v>
      </c>
      <c r="AG17" s="222">
        <f>IF(data!R90&gt;0,ROUND(data!R90,0),0)</f>
        <v>13487</v>
      </c>
      <c r="AH17" s="222">
        <f>IF(data!R91&gt;0,ROUND(data!R91,0),0)</f>
        <v>1825</v>
      </c>
      <c r="AI17" s="222">
        <f>IF(data!R92&gt;0,ROUND(data!R92,0),0)</f>
        <v>0</v>
      </c>
      <c r="AJ17" s="222">
        <f>IF(data!R93&gt;0,ROUND(data!R93,0),0)</f>
        <v>90627</v>
      </c>
      <c r="AK17" s="212">
        <f>IF(data!R94&gt;0,ROUND(data!R94,2),0)</f>
        <v>70.84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176</v>
      </c>
      <c r="B18" s="224" t="str">
        <f>RIGHT(data!$C$96,4)</f>
        <v>2022</v>
      </c>
      <c r="C18" s="16">
        <f>data!S$55</f>
        <v>7050</v>
      </c>
      <c r="D18" s="16" t="s">
        <v>1123</v>
      </c>
      <c r="E18" s="222"/>
      <c r="F18" s="212">
        <f>ROUND(data!S60,2)</f>
        <v>47.44</v>
      </c>
      <c r="G18" s="222">
        <f>ROUND(data!S61,0)</f>
        <v>3474679</v>
      </c>
      <c r="H18" s="222">
        <f>ROUND(data!S62,0)</f>
        <v>1019507</v>
      </c>
      <c r="I18" s="222">
        <f>ROUND(data!S63,0)</f>
        <v>0</v>
      </c>
      <c r="J18" s="222">
        <f>ROUND(data!S64,0)</f>
        <v>1478883</v>
      </c>
      <c r="K18" s="222">
        <f>ROUND(data!S65,0)</f>
        <v>60935</v>
      </c>
      <c r="L18" s="222">
        <f>ROUND(data!S66,0)</f>
        <v>-7112200</v>
      </c>
      <c r="M18" s="66">
        <f>ROUND(data!S67,0)</f>
        <v>484953</v>
      </c>
      <c r="N18" s="222">
        <f>ROUND(data!S68,0)</f>
        <v>0</v>
      </c>
      <c r="O18" s="222">
        <f>ROUND(data!S69,0)</f>
        <v>10227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10227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10581</v>
      </c>
      <c r="AH18" s="222">
        <f>IF(data!S91&gt;0,ROUND(data!S91,0),0)</f>
        <v>0</v>
      </c>
      <c r="AI18" s="222">
        <f>IF(data!S92&gt;0,ROUND(data!S92,0),0)</f>
        <v>2205</v>
      </c>
      <c r="AJ18" s="222">
        <f>IF(data!S93&gt;0,ROUND(data!S93,0),0)</f>
        <v>640525</v>
      </c>
      <c r="AK18" s="212">
        <f>IF(data!S94&gt;0,ROUND(data!S94,2),0)</f>
        <v>0.01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176</v>
      </c>
      <c r="B19" s="224" t="str">
        <f>RIGHT(data!$C$96,4)</f>
        <v>2022</v>
      </c>
      <c r="C19" s="16">
        <f>data!T$55</f>
        <v>7060</v>
      </c>
      <c r="D19" s="16" t="s">
        <v>1123</v>
      </c>
      <c r="E19" s="222"/>
      <c r="F19" s="212">
        <f>ROUND(data!T60,2)</f>
        <v>20.59</v>
      </c>
      <c r="G19" s="222">
        <f>ROUND(data!T61,0)</f>
        <v>2687764</v>
      </c>
      <c r="H19" s="222">
        <f>ROUND(data!T62,0)</f>
        <v>559492</v>
      </c>
      <c r="I19" s="222">
        <f>ROUND(data!T63,0)</f>
        <v>0</v>
      </c>
      <c r="J19" s="222">
        <f>ROUND(data!T64,0)</f>
        <v>16567454</v>
      </c>
      <c r="K19" s="222">
        <f>ROUND(data!T65,0)</f>
        <v>6716</v>
      </c>
      <c r="L19" s="222">
        <f>ROUND(data!T66,0)</f>
        <v>28209</v>
      </c>
      <c r="M19" s="66">
        <f>ROUND(data!T67,0)</f>
        <v>28343</v>
      </c>
      <c r="N19" s="222">
        <f>ROUND(data!T68,0)</f>
        <v>805</v>
      </c>
      <c r="O19" s="222">
        <f>ROUND(data!T69,0)</f>
        <v>22799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22799</v>
      </c>
      <c r="AD19" s="222">
        <f>ROUND(data!T84,0)</f>
        <v>0</v>
      </c>
      <c r="AE19" s="222">
        <f>ROUND(data!T89,0)</f>
        <v>145546899</v>
      </c>
      <c r="AF19" s="222">
        <f>ROUND(data!T87,0)</f>
        <v>13656367</v>
      </c>
      <c r="AG19" s="222">
        <f>IF(data!T90&gt;0,ROUND(data!T90,0),0)</f>
        <v>864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8837</v>
      </c>
      <c r="AK19" s="212">
        <f>IF(data!T94&gt;0,ROUND(data!T94,2),0)</f>
        <v>13.73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176</v>
      </c>
      <c r="B20" s="224" t="str">
        <f>RIGHT(data!$C$96,4)</f>
        <v>2022</v>
      </c>
      <c r="C20" s="16">
        <f>data!U$55</f>
        <v>7070</v>
      </c>
      <c r="D20" s="16" t="s">
        <v>1123</v>
      </c>
      <c r="E20" s="222">
        <f>ROUND(data!U59,0)</f>
        <v>0</v>
      </c>
      <c r="F20" s="212">
        <f>ROUND(data!U60,2)</f>
        <v>250.8</v>
      </c>
      <c r="G20" s="222">
        <f>ROUND(data!U61,0)</f>
        <v>18719528</v>
      </c>
      <c r="H20" s="222">
        <f>ROUND(data!U62,0)</f>
        <v>5606758</v>
      </c>
      <c r="I20" s="222">
        <f>ROUND(data!U63,0)</f>
        <v>0</v>
      </c>
      <c r="J20" s="222">
        <f>ROUND(data!U64,0)</f>
        <v>19589412</v>
      </c>
      <c r="K20" s="222">
        <f>ROUND(data!U65,0)</f>
        <v>112034</v>
      </c>
      <c r="L20" s="222">
        <f>ROUND(data!U66,0)</f>
        <v>78556243</v>
      </c>
      <c r="M20" s="66">
        <f>ROUND(data!U67,0)</f>
        <v>647187</v>
      </c>
      <c r="N20" s="222">
        <f>ROUND(data!U68,0)</f>
        <v>213838</v>
      </c>
      <c r="O20" s="222">
        <f>ROUND(data!U69,0)</f>
        <v>184501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184501</v>
      </c>
      <c r="AD20" s="222">
        <f>ROUND(data!U84,0)</f>
        <v>17453579</v>
      </c>
      <c r="AE20" s="222">
        <f>ROUND(data!U89,0)</f>
        <v>272402836</v>
      </c>
      <c r="AF20" s="222">
        <f>ROUND(data!U87,0)</f>
        <v>70605320</v>
      </c>
      <c r="AG20" s="222">
        <f>IF(data!U90&gt;0,ROUND(data!U90,0),0)</f>
        <v>21447</v>
      </c>
      <c r="AH20" s="222">
        <f>IF(data!U91&gt;0,ROUND(data!U91,0),0)</f>
        <v>0</v>
      </c>
      <c r="AI20" s="222">
        <f>IF(data!U92&gt;0,ROUND(data!U92,0),0)</f>
        <v>848</v>
      </c>
      <c r="AJ20" s="222">
        <f>IF(data!U93&gt;0,ROUND(data!U93,0),0)</f>
        <v>3347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176</v>
      </c>
      <c r="B21" s="224" t="str">
        <f>RIGHT(data!$C$96,4)</f>
        <v>2022</v>
      </c>
      <c r="C21" s="16">
        <f>data!V$55</f>
        <v>7110</v>
      </c>
      <c r="D21" s="16" t="s">
        <v>1123</v>
      </c>
      <c r="E21" s="222">
        <f>ROUND(data!V59,0)</f>
        <v>48639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13910794</v>
      </c>
      <c r="AF21" s="222">
        <f>ROUND(data!V87,0)</f>
        <v>5344527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176</v>
      </c>
      <c r="B22" s="224" t="str">
        <f>RIGHT(data!$C$96,4)</f>
        <v>2022</v>
      </c>
      <c r="C22" s="16">
        <f>data!W$55</f>
        <v>7120</v>
      </c>
      <c r="D22" s="16" t="s">
        <v>1123</v>
      </c>
      <c r="E22" s="222">
        <f>ROUND(data!W59,0)</f>
        <v>183873</v>
      </c>
      <c r="F22" s="212">
        <f>ROUND(data!W60,2)</f>
        <v>24.99</v>
      </c>
      <c r="G22" s="222">
        <f>ROUND(data!W61,0)</f>
        <v>3206842</v>
      </c>
      <c r="H22" s="222">
        <f>ROUND(data!W62,0)</f>
        <v>644498</v>
      </c>
      <c r="I22" s="222">
        <f>ROUND(data!W63,0)</f>
        <v>0</v>
      </c>
      <c r="J22" s="222">
        <f>ROUND(data!W64,0)</f>
        <v>805512</v>
      </c>
      <c r="K22" s="222">
        <f>ROUND(data!W65,0)</f>
        <v>7008</v>
      </c>
      <c r="L22" s="222">
        <f>ROUND(data!W66,0)</f>
        <v>965302</v>
      </c>
      <c r="M22" s="66">
        <f>ROUND(data!W67,0)</f>
        <v>236307</v>
      </c>
      <c r="N22" s="222">
        <f>ROUND(data!W68,0)</f>
        <v>0</v>
      </c>
      <c r="O22" s="222">
        <f>ROUND(data!W69,0)</f>
        <v>17683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17683</v>
      </c>
      <c r="AD22" s="222">
        <f>ROUND(data!W84,0)</f>
        <v>0</v>
      </c>
      <c r="AE22" s="222">
        <f>ROUND(data!W89,0)</f>
        <v>106567167</v>
      </c>
      <c r="AF22" s="222">
        <f>ROUND(data!W87,0)</f>
        <v>21329853</v>
      </c>
      <c r="AG22" s="222">
        <f>IF(data!W90&gt;0,ROUND(data!W90,0),0)</f>
        <v>1783</v>
      </c>
      <c r="AH22" s="222">
        <f>IF(data!W91&gt;0,ROUND(data!W91,0),0)</f>
        <v>0</v>
      </c>
      <c r="AI22" s="222">
        <f>IF(data!W92&gt;0,ROUND(data!W92,0),0)</f>
        <v>4998</v>
      </c>
      <c r="AJ22" s="222">
        <f>IF(data!W93&gt;0,ROUND(data!W93,0),0)</f>
        <v>3358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176</v>
      </c>
      <c r="B23" s="224" t="str">
        <f>RIGHT(data!$C$96,4)</f>
        <v>2022</v>
      </c>
      <c r="C23" s="16">
        <f>data!X$55</f>
        <v>7130</v>
      </c>
      <c r="D23" s="16" t="s">
        <v>1123</v>
      </c>
      <c r="E23" s="222">
        <f>ROUND(data!X59,0)</f>
        <v>409971</v>
      </c>
      <c r="F23" s="212">
        <f>ROUND(data!X60,2)</f>
        <v>21.85</v>
      </c>
      <c r="G23" s="222">
        <f>ROUND(data!X61,0)</f>
        <v>2905595</v>
      </c>
      <c r="H23" s="222">
        <f>ROUND(data!X62,0)</f>
        <v>524610</v>
      </c>
      <c r="I23" s="222">
        <f>ROUND(data!X63,0)</f>
        <v>0</v>
      </c>
      <c r="J23" s="222">
        <f>ROUND(data!X64,0)</f>
        <v>773735</v>
      </c>
      <c r="K23" s="222">
        <f>ROUND(data!X65,0)</f>
        <v>11526</v>
      </c>
      <c r="L23" s="222">
        <f>ROUND(data!X66,0)</f>
        <v>996740</v>
      </c>
      <c r="M23" s="66">
        <f>ROUND(data!X67,0)</f>
        <v>244322</v>
      </c>
      <c r="N23" s="222">
        <f>ROUND(data!X68,0)</f>
        <v>0</v>
      </c>
      <c r="O23" s="222">
        <f>ROUND(data!X69,0)</f>
        <v>16399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16399</v>
      </c>
      <c r="AD23" s="222">
        <f>ROUND(data!X84,0)</f>
        <v>0</v>
      </c>
      <c r="AE23" s="222">
        <f>ROUND(data!X89,0)</f>
        <v>230079718</v>
      </c>
      <c r="AF23" s="222">
        <f>ROUND(data!X87,0)</f>
        <v>86473235</v>
      </c>
      <c r="AG23" s="222">
        <f>IF(data!X90&gt;0,ROUND(data!X90,0),0)</f>
        <v>2798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177360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176</v>
      </c>
      <c r="B24" s="224" t="str">
        <f>RIGHT(data!$C$96,4)</f>
        <v>2022</v>
      </c>
      <c r="C24" s="16">
        <f>data!Y$55</f>
        <v>7140</v>
      </c>
      <c r="D24" s="16" t="s">
        <v>1123</v>
      </c>
      <c r="E24" s="222">
        <f>ROUND(data!Y59,0)</f>
        <v>258069</v>
      </c>
      <c r="F24" s="212">
        <f>ROUND(data!Y60,2)</f>
        <v>91.79</v>
      </c>
      <c r="G24" s="222">
        <f>ROUND(data!Y61,0)</f>
        <v>11381612</v>
      </c>
      <c r="H24" s="222">
        <f>ROUND(data!Y62,0)</f>
        <v>2274409</v>
      </c>
      <c r="I24" s="222">
        <f>ROUND(data!Y63,0)</f>
        <v>209587</v>
      </c>
      <c r="J24" s="222">
        <f>ROUND(data!Y64,0)</f>
        <v>19291382</v>
      </c>
      <c r="K24" s="222">
        <f>ROUND(data!Y65,0)</f>
        <v>117658</v>
      </c>
      <c r="L24" s="222">
        <f>ROUND(data!Y66,0)</f>
        <v>-665046</v>
      </c>
      <c r="M24" s="66">
        <f>ROUND(data!Y67,0)</f>
        <v>1108165</v>
      </c>
      <c r="N24" s="222">
        <f>ROUND(data!Y68,0)</f>
        <v>518374</v>
      </c>
      <c r="O24" s="222">
        <f>ROUND(data!Y69,0)</f>
        <v>86674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86674</v>
      </c>
      <c r="AD24" s="222">
        <f>ROUND(data!Y84,0)</f>
        <v>2257</v>
      </c>
      <c r="AE24" s="222">
        <f>ROUND(data!Y89,0)</f>
        <v>292543824</v>
      </c>
      <c r="AF24" s="222">
        <f>ROUND(data!Y87,0)</f>
        <v>110956468</v>
      </c>
      <c r="AG24" s="222">
        <f>IF(data!Y90&gt;0,ROUND(data!Y90,0),0)</f>
        <v>25013</v>
      </c>
      <c r="AH24" s="222">
        <f>IF(data!Y91&gt;0,ROUND(data!Y91,0),0)</f>
        <v>119</v>
      </c>
      <c r="AI24" s="222">
        <f>IF(data!Y92&gt;0,ROUND(data!Y92,0),0)</f>
        <v>7426</v>
      </c>
      <c r="AJ24" s="222">
        <f>IF(data!Y93&gt;0,ROUND(data!Y93,0),0)</f>
        <v>195594</v>
      </c>
      <c r="AK24" s="212">
        <f>IF(data!Y94&gt;0,ROUND(data!Y94,2),0)</f>
        <v>13.81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176</v>
      </c>
      <c r="B25" s="224" t="str">
        <f>RIGHT(data!$C$96,4)</f>
        <v>2022</v>
      </c>
      <c r="C25" s="16">
        <f>data!Z$55</f>
        <v>7150</v>
      </c>
      <c r="D25" s="16" t="s">
        <v>1123</v>
      </c>
      <c r="E25" s="222">
        <f>ROUND(data!Z59,0)</f>
        <v>0</v>
      </c>
      <c r="F25" s="212">
        <f>ROUND(data!Z60,2)</f>
        <v>26.84</v>
      </c>
      <c r="G25" s="222">
        <f>ROUND(data!Z61,0)</f>
        <v>5080918</v>
      </c>
      <c r="H25" s="222">
        <f>ROUND(data!Z62,0)</f>
        <v>786472</v>
      </c>
      <c r="I25" s="222">
        <f>ROUND(data!Z63,0)</f>
        <v>0</v>
      </c>
      <c r="J25" s="222">
        <f>ROUND(data!Z64,0)</f>
        <v>4864918</v>
      </c>
      <c r="K25" s="222">
        <f>ROUND(data!Z65,0)</f>
        <v>75377</v>
      </c>
      <c r="L25" s="222">
        <f>ROUND(data!Z66,0)</f>
        <v>2499097</v>
      </c>
      <c r="M25" s="66">
        <f>ROUND(data!Z67,0)</f>
        <v>841490</v>
      </c>
      <c r="N25" s="222">
        <f>ROUND(data!Z68,0)</f>
        <v>0</v>
      </c>
      <c r="O25" s="222">
        <f>ROUND(data!Z69,0)</f>
        <v>-1667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-1667</v>
      </c>
      <c r="AD25" s="222">
        <f>ROUND(data!Z84,0)</f>
        <v>0</v>
      </c>
      <c r="AE25" s="222">
        <f>ROUND(data!Z89,0)</f>
        <v>119394603</v>
      </c>
      <c r="AF25" s="222">
        <f>ROUND(data!Z87,0)</f>
        <v>40589426</v>
      </c>
      <c r="AG25" s="222">
        <f>IF(data!Z90&gt;0,ROUND(data!Z90,0),0)</f>
        <v>20828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51787</v>
      </c>
      <c r="AK25" s="212">
        <f>IF(data!Z94&gt;0,ROUND(data!Z94,2),0)</f>
        <v>2.16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176</v>
      </c>
      <c r="B26" s="224" t="str">
        <f>RIGHT(data!$C$96,4)</f>
        <v>2022</v>
      </c>
      <c r="C26" s="16">
        <f>data!AA$55</f>
        <v>7160</v>
      </c>
      <c r="D26" s="16" t="s">
        <v>1123</v>
      </c>
      <c r="E26" s="222">
        <f>ROUND(data!AA59,0)</f>
        <v>23006</v>
      </c>
      <c r="F26" s="212">
        <f>ROUND(data!AA60,2)</f>
        <v>4.91</v>
      </c>
      <c r="G26" s="222">
        <f>ROUND(data!AA61,0)</f>
        <v>718623</v>
      </c>
      <c r="H26" s="222">
        <f>ROUND(data!AA62,0)</f>
        <v>138073</v>
      </c>
      <c r="I26" s="222">
        <f>ROUND(data!AA63,0)</f>
        <v>0</v>
      </c>
      <c r="J26" s="222">
        <f>ROUND(data!AA64,0)</f>
        <v>636541</v>
      </c>
      <c r="K26" s="222">
        <f>ROUND(data!AA65,0)</f>
        <v>7030</v>
      </c>
      <c r="L26" s="222">
        <f>ROUND(data!AA66,0)</f>
        <v>49671</v>
      </c>
      <c r="M26" s="66">
        <f>ROUND(data!AA67,0)</f>
        <v>23282</v>
      </c>
      <c r="N26" s="222">
        <f>ROUND(data!AA68,0)</f>
        <v>0</v>
      </c>
      <c r="O26" s="222">
        <f>ROUND(data!AA69,0)</f>
        <v>1269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1269</v>
      </c>
      <c r="AD26" s="222">
        <f>ROUND(data!AA84,0)</f>
        <v>0</v>
      </c>
      <c r="AE26" s="222">
        <f>ROUND(data!AA89,0)</f>
        <v>9948427</v>
      </c>
      <c r="AF26" s="222">
        <f>ROUND(data!AA87,0)</f>
        <v>3484404</v>
      </c>
      <c r="AG26" s="222">
        <f>IF(data!AA90&gt;0,ROUND(data!AA90,0),0)</f>
        <v>1709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176</v>
      </c>
      <c r="B27" s="224" t="str">
        <f>RIGHT(data!$C$96,4)</f>
        <v>2022</v>
      </c>
      <c r="C27" s="16">
        <f>data!AB$55</f>
        <v>7170</v>
      </c>
      <c r="D27" s="16" t="s">
        <v>1123</v>
      </c>
      <c r="E27" s="222"/>
      <c r="F27" s="212">
        <f>ROUND(data!AB60,2)</f>
        <v>139.12</v>
      </c>
      <c r="G27" s="222">
        <f>ROUND(data!AB61,0)</f>
        <v>16625371</v>
      </c>
      <c r="H27" s="222">
        <f>ROUND(data!AB62,0)</f>
        <v>3617673</v>
      </c>
      <c r="I27" s="222">
        <f>ROUND(data!AB63,0)</f>
        <v>0</v>
      </c>
      <c r="J27" s="222">
        <f>ROUND(data!AB64,0)</f>
        <v>73605199</v>
      </c>
      <c r="K27" s="222">
        <f>ROUND(data!AB65,0)</f>
        <v>71320</v>
      </c>
      <c r="L27" s="222">
        <f>ROUND(data!AB66,0)</f>
        <v>894845</v>
      </c>
      <c r="M27" s="66">
        <f>ROUND(data!AB67,0)</f>
        <v>322047</v>
      </c>
      <c r="N27" s="222">
        <f>ROUND(data!AB68,0)</f>
        <v>64614</v>
      </c>
      <c r="O27" s="222">
        <f>ROUND(data!AB69,0)</f>
        <v>52472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52472</v>
      </c>
      <c r="AD27" s="222">
        <f>ROUND(data!AB84,0)</f>
        <v>71277</v>
      </c>
      <c r="AE27" s="222">
        <f>ROUND(data!AB89,0)</f>
        <v>429807331</v>
      </c>
      <c r="AF27" s="222">
        <f>ROUND(data!AB87,0)</f>
        <v>138305439</v>
      </c>
      <c r="AG27" s="222">
        <f>IF(data!AB90&gt;0,ROUND(data!AB90,0),0)</f>
        <v>13426</v>
      </c>
      <c r="AH27" s="222">
        <f>IF(data!AB91&gt;0,ROUND(data!AB91,0),0)</f>
        <v>0</v>
      </c>
      <c r="AI27" s="222">
        <f>IF(data!AB92&gt;0,ROUND(data!AB92,0),0)</f>
        <v>1509</v>
      </c>
      <c r="AJ27" s="222">
        <f>IF(data!AB93&gt;0,ROUND(data!AB93,0),0)</f>
        <v>15810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176</v>
      </c>
      <c r="B28" s="224" t="str">
        <f>RIGHT(data!$C$96,4)</f>
        <v>2022</v>
      </c>
      <c r="C28" s="16">
        <f>data!AC$55</f>
        <v>7180</v>
      </c>
      <c r="D28" s="16" t="s">
        <v>1123</v>
      </c>
      <c r="E28" s="222">
        <f>ROUND(data!AC59,0)</f>
        <v>238921</v>
      </c>
      <c r="F28" s="212">
        <f>ROUND(data!AC60,2)</f>
        <v>62.86</v>
      </c>
      <c r="G28" s="222">
        <f>ROUND(data!AC61,0)</f>
        <v>7060330</v>
      </c>
      <c r="H28" s="222">
        <f>ROUND(data!AC62,0)</f>
        <v>1571501</v>
      </c>
      <c r="I28" s="222">
        <f>ROUND(data!AC63,0)</f>
        <v>0</v>
      </c>
      <c r="J28" s="222">
        <f>ROUND(data!AC64,0)</f>
        <v>1609687</v>
      </c>
      <c r="K28" s="222">
        <f>ROUND(data!AC65,0)</f>
        <v>13246</v>
      </c>
      <c r="L28" s="222">
        <f>ROUND(data!AC66,0)</f>
        <v>65100</v>
      </c>
      <c r="M28" s="66">
        <f>ROUND(data!AC67,0)</f>
        <v>268029</v>
      </c>
      <c r="N28" s="222">
        <f>ROUND(data!AC68,0)</f>
        <v>17851</v>
      </c>
      <c r="O28" s="222">
        <f>ROUND(data!AC69,0)</f>
        <v>253204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253204</v>
      </c>
      <c r="AD28" s="222">
        <f>ROUND(data!AC84,0)</f>
        <v>131324</v>
      </c>
      <c r="AE28" s="222">
        <f>ROUND(data!AC89,0)</f>
        <v>109321937</v>
      </c>
      <c r="AF28" s="222">
        <f>ROUND(data!AC87,0)</f>
        <v>108072312</v>
      </c>
      <c r="AG28" s="222">
        <f>IF(data!AC90&gt;0,ROUND(data!AC90,0),0)</f>
        <v>2307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176</v>
      </c>
      <c r="B29" s="224" t="str">
        <f>RIGHT(data!$C$96,4)</f>
        <v>2022</v>
      </c>
      <c r="C29" s="16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30493</v>
      </c>
      <c r="K29" s="222">
        <f>ROUND(data!AD65,0)</f>
        <v>1169</v>
      </c>
      <c r="L29" s="222">
        <f>ROUND(data!AD66,0)</f>
        <v>2592861</v>
      </c>
      <c r="M29" s="66">
        <f>ROUND(data!AD67,0)</f>
        <v>4196</v>
      </c>
      <c r="N29" s="222">
        <f>ROUND(data!AD68,0)</f>
        <v>0</v>
      </c>
      <c r="O29" s="222">
        <f>ROUND(data!AD69,0)</f>
        <v>214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214</v>
      </c>
      <c r="AD29" s="222">
        <f>ROUND(data!AD84,0)</f>
        <v>0</v>
      </c>
      <c r="AE29" s="222">
        <f>ROUND(data!AD89,0)</f>
        <v>5430644</v>
      </c>
      <c r="AF29" s="222">
        <f>ROUND(data!AD87,0)</f>
        <v>5331252</v>
      </c>
      <c r="AG29" s="222">
        <f>IF(data!AD90&gt;0,ROUND(data!AD90,0),0)</f>
        <v>327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176</v>
      </c>
      <c r="B30" s="224" t="str">
        <f>RIGHT(data!$C$96,4)</f>
        <v>2022</v>
      </c>
      <c r="C30" s="16">
        <f>data!AE$55</f>
        <v>7200</v>
      </c>
      <c r="D30" s="16" t="s">
        <v>1123</v>
      </c>
      <c r="E30" s="222">
        <f>ROUND(data!AE59,0)</f>
        <v>128990</v>
      </c>
      <c r="F30" s="212">
        <f>ROUND(data!AE60,2)</f>
        <v>29.65</v>
      </c>
      <c r="G30" s="222">
        <f>ROUND(data!AE61,0)</f>
        <v>3054895</v>
      </c>
      <c r="H30" s="222">
        <f>ROUND(data!AE62,0)</f>
        <v>722838</v>
      </c>
      <c r="I30" s="222">
        <f>ROUND(data!AE63,0)</f>
        <v>0</v>
      </c>
      <c r="J30" s="222">
        <f>ROUND(data!AE64,0)</f>
        <v>12201</v>
      </c>
      <c r="K30" s="222">
        <f>ROUND(data!AE65,0)</f>
        <v>10674</v>
      </c>
      <c r="L30" s="222">
        <f>ROUND(data!AE66,0)</f>
        <v>1366</v>
      </c>
      <c r="M30" s="66">
        <f>ROUND(data!AE67,0)</f>
        <v>52247</v>
      </c>
      <c r="N30" s="222">
        <f>ROUND(data!AE68,0)</f>
        <v>0</v>
      </c>
      <c r="O30" s="222">
        <f>ROUND(data!AE69,0)</f>
        <v>3878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3878</v>
      </c>
      <c r="AD30" s="222">
        <f>ROUND(data!AE84,0)</f>
        <v>277</v>
      </c>
      <c r="AE30" s="222">
        <f>ROUND(data!AE89,0)</f>
        <v>11407049</v>
      </c>
      <c r="AF30" s="222">
        <f>ROUND(data!AE87,0)</f>
        <v>10348748</v>
      </c>
      <c r="AG30" s="222">
        <f>IF(data!AE90&gt;0,ROUND(data!AE90,0),0)</f>
        <v>1244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6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176</v>
      </c>
      <c r="B31" s="224" t="str">
        <f>RIGHT(data!$C$96,4)</f>
        <v>2022</v>
      </c>
      <c r="C31" s="16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176</v>
      </c>
      <c r="B32" s="224" t="str">
        <f>RIGHT(data!$C$96,4)</f>
        <v>2022</v>
      </c>
      <c r="C32" s="16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240.09</v>
      </c>
      <c r="G32" s="222">
        <f>ROUND(data!AG61,0)</f>
        <v>35317723</v>
      </c>
      <c r="H32" s="222">
        <f>ROUND(data!AG62,0)</f>
        <v>4389703</v>
      </c>
      <c r="I32" s="222">
        <f>ROUND(data!AG63,0)</f>
        <v>7048674</v>
      </c>
      <c r="J32" s="222">
        <f>ROUND(data!AG64,0)</f>
        <v>4561237</v>
      </c>
      <c r="K32" s="222">
        <f>ROUND(data!AG65,0)</f>
        <v>282944</v>
      </c>
      <c r="L32" s="222">
        <f>ROUND(data!AG66,0)</f>
        <v>8437637</v>
      </c>
      <c r="M32" s="66">
        <f>ROUND(data!AG67,0)</f>
        <v>1391732</v>
      </c>
      <c r="N32" s="222">
        <f>ROUND(data!AG68,0)</f>
        <v>1125167</v>
      </c>
      <c r="O32" s="222">
        <f>ROUND(data!AG69,0)</f>
        <v>627654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627654</v>
      </c>
      <c r="AD32" s="222">
        <f>ROUND(data!AG84,0)</f>
        <v>8469</v>
      </c>
      <c r="AE32" s="222">
        <f>ROUND(data!AG89,0)</f>
        <v>499151484</v>
      </c>
      <c r="AF32" s="222">
        <f>ROUND(data!AG87,0)</f>
        <v>123797816</v>
      </c>
      <c r="AG32" s="222">
        <f>IF(data!AG90&gt;0,ROUND(data!AG90,0),0)</f>
        <v>50968</v>
      </c>
      <c r="AH32" s="222">
        <f>IF(data!AG91&gt;0,ROUND(data!AG91,0),0)</f>
        <v>17592</v>
      </c>
      <c r="AI32" s="222">
        <f>IF(data!AG92&gt;0,ROUND(data!AG92,0),0)</f>
        <v>19211</v>
      </c>
      <c r="AJ32" s="222">
        <f>IF(data!AG93&gt;0,ROUND(data!AG93,0),0)</f>
        <v>577013</v>
      </c>
      <c r="AK32" s="212">
        <f>IF(data!AG94&gt;0,ROUND(data!AG94,2),0)</f>
        <v>124.8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176</v>
      </c>
      <c r="B33" s="224" t="str">
        <f>RIGHT(data!$C$96,4)</f>
        <v>2022</v>
      </c>
      <c r="C33" s="16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176</v>
      </c>
      <c r="B34" s="224" t="str">
        <f>RIGHT(data!$C$96,4)</f>
        <v>2022</v>
      </c>
      <c r="C34" s="16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31.54</v>
      </c>
      <c r="G34" s="222">
        <f>ROUND(data!AI61,0)</f>
        <v>4456485</v>
      </c>
      <c r="H34" s="222">
        <f>ROUND(data!AI62,0)</f>
        <v>752587</v>
      </c>
      <c r="I34" s="222">
        <f>ROUND(data!AI63,0)</f>
        <v>0</v>
      </c>
      <c r="J34" s="222">
        <f>ROUND(data!AI64,0)</f>
        <v>406844</v>
      </c>
      <c r="K34" s="222">
        <f>ROUND(data!AI65,0)</f>
        <v>37353</v>
      </c>
      <c r="L34" s="222">
        <f>ROUND(data!AI66,0)</f>
        <v>138213</v>
      </c>
      <c r="M34" s="66">
        <f>ROUND(data!AI67,0)</f>
        <v>153833</v>
      </c>
      <c r="N34" s="222">
        <f>ROUND(data!AI68,0)</f>
        <v>40373</v>
      </c>
      <c r="O34" s="222">
        <f>ROUND(data!AI69,0)</f>
        <v>71648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71648</v>
      </c>
      <c r="AD34" s="222">
        <f>ROUND(data!AI84,0)</f>
        <v>0</v>
      </c>
      <c r="AE34" s="222">
        <f>ROUND(data!AI89,0)</f>
        <v>12077745</v>
      </c>
      <c r="AF34" s="222">
        <f>ROUND(data!AI87,0)</f>
        <v>11520850</v>
      </c>
      <c r="AG34" s="222">
        <f>IF(data!AI90&gt;0,ROUND(data!AI90,0),0)</f>
        <v>7806</v>
      </c>
      <c r="AH34" s="222">
        <f>IF(data!AI91&gt;0,ROUND(data!AI91,0),0)</f>
        <v>10948</v>
      </c>
      <c r="AI34" s="222">
        <f>IF(data!AI92&gt;0,ROUND(data!AI92,0),0)</f>
        <v>0</v>
      </c>
      <c r="AJ34" s="222">
        <f>IF(data!AI93&gt;0,ROUND(data!AI93,0),0)</f>
        <v>79263</v>
      </c>
      <c r="AK34" s="212">
        <f>IF(data!AI94&gt;0,ROUND(data!AI94,2),0)</f>
        <v>22.33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176</v>
      </c>
      <c r="B35" s="224" t="str">
        <f>RIGHT(data!$C$96,4)</f>
        <v>2022</v>
      </c>
      <c r="C35" s="16">
        <f>data!AJ$55</f>
        <v>7260</v>
      </c>
      <c r="D35" s="16" t="s">
        <v>1123</v>
      </c>
      <c r="E35" s="222">
        <f>ROUND(data!AJ59,0)</f>
        <v>30182</v>
      </c>
      <c r="F35" s="212">
        <f>ROUND(data!AJ60,2)</f>
        <v>349.94</v>
      </c>
      <c r="G35" s="222">
        <f>ROUND(data!AJ61,0)</f>
        <v>59620586</v>
      </c>
      <c r="H35" s="222">
        <f>ROUND(data!AJ62,0)</f>
        <v>9684878</v>
      </c>
      <c r="I35" s="222">
        <f>ROUND(data!AJ63,0)</f>
        <v>-1766</v>
      </c>
      <c r="J35" s="222">
        <f>ROUND(data!AJ64,0)</f>
        <v>4438765</v>
      </c>
      <c r="K35" s="222">
        <f>ROUND(data!AJ65,0)</f>
        <v>164552</v>
      </c>
      <c r="L35" s="222">
        <f>ROUND(data!AJ66,0)</f>
        <v>2331727</v>
      </c>
      <c r="M35" s="66">
        <f>ROUND(data!AJ67,0)</f>
        <v>1721183</v>
      </c>
      <c r="N35" s="222">
        <f>ROUND(data!AJ68,0)</f>
        <v>2723021</v>
      </c>
      <c r="O35" s="222">
        <f>ROUND(data!AJ69,0)</f>
        <v>421454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421454</v>
      </c>
      <c r="AD35" s="222">
        <f>ROUND(data!AJ84,0)</f>
        <v>524792</v>
      </c>
      <c r="AE35" s="222">
        <f>ROUND(data!AJ89,0)</f>
        <v>150335837</v>
      </c>
      <c r="AF35" s="222">
        <f>ROUND(data!AJ87,0)</f>
        <v>7311656</v>
      </c>
      <c r="AG35" s="222">
        <f>IF(data!AJ90&gt;0,ROUND(data!AJ90,0),0)</f>
        <v>14237</v>
      </c>
      <c r="AH35" s="222">
        <f>IF(data!AJ91&gt;0,ROUND(data!AJ91,0),0)</f>
        <v>10</v>
      </c>
      <c r="AI35" s="222">
        <f>IF(data!AJ92&gt;0,ROUND(data!AJ92,0),0)</f>
        <v>11065</v>
      </c>
      <c r="AJ35" s="222">
        <f>IF(data!AJ93&gt;0,ROUND(data!AJ93,0),0)</f>
        <v>74320</v>
      </c>
      <c r="AK35" s="212">
        <f>IF(data!AJ94&gt;0,ROUND(data!AJ94,2),0)</f>
        <v>32.07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176</v>
      </c>
      <c r="B36" s="224" t="str">
        <f>RIGHT(data!$C$96,4)</f>
        <v>2022</v>
      </c>
      <c r="C36" s="16">
        <f>data!AK$55</f>
        <v>7310</v>
      </c>
      <c r="D36" s="16" t="s">
        <v>1123</v>
      </c>
      <c r="E36" s="222">
        <f>ROUND(data!AK59,0)</f>
        <v>3995</v>
      </c>
      <c r="F36" s="212">
        <f>ROUND(data!AK60,2)</f>
        <v>1.0900000000000001</v>
      </c>
      <c r="G36" s="222">
        <f>ROUND(data!AK61,0)</f>
        <v>125492</v>
      </c>
      <c r="H36" s="222">
        <f>ROUND(data!AK62,0)</f>
        <v>28386</v>
      </c>
      <c r="I36" s="222">
        <f>ROUND(data!AK63,0)</f>
        <v>0</v>
      </c>
      <c r="J36" s="222">
        <f>ROUND(data!AK64,0)</f>
        <v>2128</v>
      </c>
      <c r="K36" s="222">
        <f>ROUND(data!AK65,0)</f>
        <v>0</v>
      </c>
      <c r="L36" s="222">
        <f>ROUND(data!AK66,0)</f>
        <v>7543</v>
      </c>
      <c r="M36" s="66">
        <f>ROUND(data!AK67,0)</f>
        <v>0</v>
      </c>
      <c r="N36" s="222">
        <f>ROUND(data!AK68,0)</f>
        <v>0</v>
      </c>
      <c r="O36" s="222">
        <f>ROUND(data!AK69,0)</f>
        <v>61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61</v>
      </c>
      <c r="AD36" s="222">
        <f>ROUND(data!AK84,0)</f>
        <v>5791</v>
      </c>
      <c r="AE36" s="222">
        <f>ROUND(data!AK89,0)</f>
        <v>491467</v>
      </c>
      <c r="AF36" s="222">
        <f>ROUND(data!AK87,0)</f>
        <v>28747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1232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176</v>
      </c>
      <c r="B37" s="224" t="str">
        <f>RIGHT(data!$C$96,4)</f>
        <v>2022</v>
      </c>
      <c r="C37" s="16">
        <f>data!AL$55</f>
        <v>7320</v>
      </c>
      <c r="D37" s="16" t="s">
        <v>1123</v>
      </c>
      <c r="E37" s="222">
        <f>ROUND(data!AL59,0)</f>
        <v>33552</v>
      </c>
      <c r="F37" s="212">
        <f>ROUND(data!AL60,2)</f>
        <v>6.59</v>
      </c>
      <c r="G37" s="222">
        <f>ROUND(data!AL61,0)</f>
        <v>841595</v>
      </c>
      <c r="H37" s="222">
        <f>ROUND(data!AL62,0)</f>
        <v>178796</v>
      </c>
      <c r="I37" s="222">
        <f>ROUND(data!AL63,0)</f>
        <v>0</v>
      </c>
      <c r="J37" s="222">
        <f>ROUND(data!AL64,0)</f>
        <v>13656</v>
      </c>
      <c r="K37" s="222">
        <f>ROUND(data!AL65,0)</f>
        <v>1158</v>
      </c>
      <c r="L37" s="222">
        <f>ROUND(data!AL66,0)</f>
        <v>0</v>
      </c>
      <c r="M37" s="66">
        <f>ROUND(data!AL67,0)</f>
        <v>1666</v>
      </c>
      <c r="N37" s="222">
        <f>ROUND(data!AL68,0)</f>
        <v>0</v>
      </c>
      <c r="O37" s="222">
        <f>ROUND(data!AL69,0)</f>
        <v>189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189</v>
      </c>
      <c r="AD37" s="222">
        <f>ROUND(data!AL84,0)</f>
        <v>0</v>
      </c>
      <c r="AE37" s="222">
        <f>ROUND(data!AL89,0)</f>
        <v>3514158</v>
      </c>
      <c r="AF37" s="222">
        <f>ROUND(data!AL87,0)</f>
        <v>2775356</v>
      </c>
      <c r="AG37" s="222">
        <f>IF(data!AL90&gt;0,ROUND(data!AL90,0),0)</f>
        <v>0</v>
      </c>
      <c r="AH37" s="222">
        <f>IF(data!AL91&gt;0,ROUND(data!AL91,0),0)</f>
        <v>113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176</v>
      </c>
      <c r="B38" s="224" t="str">
        <f>RIGHT(data!$C$96,4)</f>
        <v>2022</v>
      </c>
      <c r="C38" s="16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176</v>
      </c>
      <c r="B39" s="224" t="str">
        <f>RIGHT(data!$C$96,4)</f>
        <v>2022</v>
      </c>
      <c r="C39" s="16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176</v>
      </c>
      <c r="B40" s="224" t="str">
        <f>RIGHT(data!$C$96,4)</f>
        <v>2022</v>
      </c>
      <c r="C40" s="16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176</v>
      </c>
      <c r="B41" s="224" t="str">
        <f>RIGHT(data!$C$96,4)</f>
        <v>2022</v>
      </c>
      <c r="C41" s="16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46.39</v>
      </c>
      <c r="G41" s="222">
        <f>ROUND(data!AP61,0)</f>
        <v>9954968</v>
      </c>
      <c r="H41" s="222">
        <f>ROUND(data!AP62,0)</f>
        <v>1322219</v>
      </c>
      <c r="I41" s="222">
        <f>ROUND(data!AP63,0)</f>
        <v>0</v>
      </c>
      <c r="J41" s="222">
        <f>ROUND(data!AP64,0)</f>
        <v>383026</v>
      </c>
      <c r="K41" s="222">
        <f>ROUND(data!AP65,0)</f>
        <v>11747</v>
      </c>
      <c r="L41" s="222">
        <f>ROUND(data!AP66,0)</f>
        <v>49913</v>
      </c>
      <c r="M41" s="66">
        <f>ROUND(data!AP67,0)</f>
        <v>106079</v>
      </c>
      <c r="N41" s="222">
        <f>ROUND(data!AP68,0)</f>
        <v>554387</v>
      </c>
      <c r="O41" s="222">
        <f>ROUND(data!AP69,0)</f>
        <v>31462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31462</v>
      </c>
      <c r="AD41" s="222">
        <f>ROUND(data!AP84,0)</f>
        <v>67667</v>
      </c>
      <c r="AE41" s="222">
        <f>ROUND(data!AP89,0)</f>
        <v>25823820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9831</v>
      </c>
      <c r="AK41" s="212">
        <f>IF(data!AP94&gt;0,ROUND(data!AP94,2),0)</f>
        <v>2.58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176</v>
      </c>
      <c r="B42" s="224" t="str">
        <f>RIGHT(data!$C$96,4)</f>
        <v>2022</v>
      </c>
      <c r="C42" s="16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176</v>
      </c>
      <c r="B43" s="224" t="str">
        <f>RIGHT(data!$C$96,4)</f>
        <v>2022</v>
      </c>
      <c r="C43" s="16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176</v>
      </c>
      <c r="B44" s="224" t="str">
        <f>RIGHT(data!$C$96,4)</f>
        <v>2022</v>
      </c>
      <c r="C44" s="16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176</v>
      </c>
      <c r="B45" s="224" t="str">
        <f>RIGHT(data!$C$96,4)</f>
        <v>2022</v>
      </c>
      <c r="C45" s="16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176</v>
      </c>
      <c r="B46" s="224" t="str">
        <f>RIGHT(data!$C$96,4)</f>
        <v>2022</v>
      </c>
      <c r="C46" s="16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176</v>
      </c>
      <c r="B47" s="224" t="str">
        <f>RIGHT(data!$C$96,4)</f>
        <v>2022</v>
      </c>
      <c r="C47" s="16">
        <f>data!AV$55</f>
        <v>7490</v>
      </c>
      <c r="D47" s="16" t="s">
        <v>1123</v>
      </c>
      <c r="E47" s="222"/>
      <c r="F47" s="212">
        <f>ROUND(data!AV60,2)</f>
        <v>222.7</v>
      </c>
      <c r="G47" s="222">
        <f>ROUND(data!AV61,0)</f>
        <v>37443336</v>
      </c>
      <c r="H47" s="222">
        <f>ROUND(data!AV62,0)</f>
        <v>6161240</v>
      </c>
      <c r="I47" s="222">
        <f>ROUND(data!AV63,0)</f>
        <v>1860000</v>
      </c>
      <c r="J47" s="222">
        <f>ROUND(data!AV64,0)</f>
        <v>5087478</v>
      </c>
      <c r="K47" s="222">
        <f>ROUND(data!AV65,0)</f>
        <v>208217</v>
      </c>
      <c r="L47" s="222">
        <f>ROUND(data!AV66,0)</f>
        <v>-860277</v>
      </c>
      <c r="M47" s="66">
        <f>ROUND(data!AV67,0)</f>
        <v>1459779</v>
      </c>
      <c r="N47" s="222">
        <f>ROUND(data!AV68,0)</f>
        <v>781206</v>
      </c>
      <c r="O47" s="222">
        <f>ROUND(data!AV69,0)</f>
        <v>441988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441988</v>
      </c>
      <c r="AD47" s="222">
        <f>ROUND(data!AV84,0)</f>
        <v>174277</v>
      </c>
      <c r="AE47" s="222">
        <f>ROUND(data!AV89,0)</f>
        <v>170533715</v>
      </c>
      <c r="AF47" s="222">
        <f>ROUND(data!AV87,0)</f>
        <v>50730503</v>
      </c>
      <c r="AG47" s="222">
        <f>IF(data!AV90&gt;0,ROUND(data!AV90,0),0)</f>
        <v>32833</v>
      </c>
      <c r="AH47" s="222">
        <f>IF(data!AV91&gt;0,ROUND(data!AV91,0),0)</f>
        <v>20174</v>
      </c>
      <c r="AI47" s="222">
        <f>IF(data!AV92&gt;0,ROUND(data!AV92,0),0)</f>
        <v>23869</v>
      </c>
      <c r="AJ47" s="222">
        <f>IF(data!AV93&gt;0,ROUND(data!AV93,0),0)</f>
        <v>58290</v>
      </c>
      <c r="AK47" s="212">
        <f>IF(data!AV94&gt;0,ROUND(data!AV94,2),0)</f>
        <v>45.05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176</v>
      </c>
      <c r="B48" s="224" t="str">
        <f>RIGHT(data!$C$96,4)</f>
        <v>2022</v>
      </c>
      <c r="C48" s="16">
        <f>data!AW$55</f>
        <v>8200</v>
      </c>
      <c r="D48" s="16" t="s">
        <v>1123</v>
      </c>
      <c r="E48" s="222"/>
      <c r="F48" s="212">
        <f>ROUND(data!AW60,2)</f>
        <v>109.32</v>
      </c>
      <c r="G48" s="222">
        <f>ROUND(data!AW61,0)</f>
        <v>10491023</v>
      </c>
      <c r="H48" s="222">
        <f>ROUND(data!AW62,0)</f>
        <v>2726917</v>
      </c>
      <c r="I48" s="222">
        <f>ROUND(data!AW63,0)</f>
        <v>0</v>
      </c>
      <c r="J48" s="222">
        <f>ROUND(data!AW64,0)</f>
        <v>51720</v>
      </c>
      <c r="K48" s="222">
        <f>ROUND(data!AW65,0)</f>
        <v>18538</v>
      </c>
      <c r="L48" s="222">
        <f>ROUND(data!AW66,0)</f>
        <v>-2910155</v>
      </c>
      <c r="M48" s="66">
        <f>ROUND(data!AW67,0)</f>
        <v>45446</v>
      </c>
      <c r="N48" s="222">
        <f>ROUND(data!AW68,0)</f>
        <v>14280</v>
      </c>
      <c r="O48" s="222">
        <f>ROUND(data!AW69,0)</f>
        <v>206970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206970</v>
      </c>
      <c r="AD48" s="222">
        <f>ROUND(data!AW84,0)</f>
        <v>1754623</v>
      </c>
      <c r="AE48" s="222"/>
      <c r="AF48" s="222"/>
      <c r="AG48" s="222">
        <f>IF(data!AW90&gt;0,ROUND(data!AW90,0),0)</f>
        <v>854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2</v>
      </c>
      <c r="AK48" s="212">
        <f>IFERROR(IF(data!AW94&gt;0,ROUND(data!AW94,2),0),0)</f>
        <v>6.96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176</v>
      </c>
      <c r="B49" s="224" t="str">
        <f>RIGHT(data!$C$96,4)</f>
        <v>2022</v>
      </c>
      <c r="C49" s="16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176</v>
      </c>
      <c r="B50" s="224" t="str">
        <f>RIGHT(data!$C$96,4)</f>
        <v>2022</v>
      </c>
      <c r="C50" s="16">
        <f>data!AY$55</f>
        <v>8320</v>
      </c>
      <c r="D50" s="16" t="s">
        <v>1123</v>
      </c>
      <c r="E50" s="222">
        <f>ROUND(data!AY59,0)</f>
        <v>410155</v>
      </c>
      <c r="F50" s="212">
        <f>ROUND(data!AY60,2)</f>
        <v>13.35</v>
      </c>
      <c r="G50" s="222">
        <f>ROUND(data!AY61,0)</f>
        <v>789729</v>
      </c>
      <c r="H50" s="222">
        <f>ROUND(data!AY62,0)</f>
        <v>291080</v>
      </c>
      <c r="I50" s="222">
        <f>ROUND(data!AY63,0)</f>
        <v>0</v>
      </c>
      <c r="J50" s="222">
        <f>ROUND(data!AY64,0)</f>
        <v>396496</v>
      </c>
      <c r="K50" s="222">
        <f>ROUND(data!AY65,0)</f>
        <v>38952</v>
      </c>
      <c r="L50" s="222">
        <f>ROUND(data!AY66,0)</f>
        <v>15208</v>
      </c>
      <c r="M50" s="66">
        <f>ROUND(data!AY67,0)</f>
        <v>142593</v>
      </c>
      <c r="N50" s="222">
        <f>ROUND(data!AY68,0)</f>
        <v>0</v>
      </c>
      <c r="O50" s="222">
        <f>ROUND(data!AY69,0)</f>
        <v>9091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9091</v>
      </c>
      <c r="AD50" s="222">
        <f>ROUND(data!AY84,0)</f>
        <v>351547</v>
      </c>
      <c r="AE50" s="222"/>
      <c r="AF50" s="222"/>
      <c r="AG50" s="222">
        <f>IF(data!AY90&gt;0,ROUND(data!AY90,0),0)</f>
        <v>7754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310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176</v>
      </c>
      <c r="B51" s="224" t="str">
        <f>RIGHT(data!$C$96,4)</f>
        <v>2022</v>
      </c>
      <c r="C51" s="16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176</v>
      </c>
      <c r="B52" s="224" t="str">
        <f>RIGHT(data!$C$96,4)</f>
        <v>2022</v>
      </c>
      <c r="C52" s="16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176</v>
      </c>
      <c r="B53" s="224" t="str">
        <f>RIGHT(data!$C$96,4)</f>
        <v>2022</v>
      </c>
      <c r="C53" s="16">
        <f>data!BB$55</f>
        <v>8360</v>
      </c>
      <c r="D53" s="16" t="s">
        <v>1123</v>
      </c>
      <c r="E53" s="222"/>
      <c r="F53" s="212">
        <f>ROUND(data!BB60,2)</f>
        <v>27.13</v>
      </c>
      <c r="G53" s="222">
        <f>ROUND(data!BB61,0)</f>
        <v>2934304</v>
      </c>
      <c r="H53" s="222">
        <f>ROUND(data!BB62,0)</f>
        <v>694921</v>
      </c>
      <c r="I53" s="222">
        <f>ROUND(data!BB63,0)</f>
        <v>0</v>
      </c>
      <c r="J53" s="222">
        <f>ROUND(data!BB64,0)</f>
        <v>20093</v>
      </c>
      <c r="K53" s="222">
        <f>ROUND(data!BB65,0)</f>
        <v>4711</v>
      </c>
      <c r="L53" s="222">
        <f>ROUND(data!BB66,0)</f>
        <v>17893</v>
      </c>
      <c r="M53" s="66">
        <f>ROUND(data!BB67,0)</f>
        <v>10342</v>
      </c>
      <c r="N53" s="222">
        <f>ROUND(data!BB68,0)</f>
        <v>0</v>
      </c>
      <c r="O53" s="222">
        <f>ROUND(data!BB69,0)</f>
        <v>14146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14146</v>
      </c>
      <c r="AD53" s="222">
        <f>ROUND(data!BB84,0)</f>
        <v>10201</v>
      </c>
      <c r="AE53" s="222"/>
      <c r="AF53" s="222"/>
      <c r="AG53" s="222">
        <f>IF(data!BB90&gt;0,ROUND(data!BB90,0),0)</f>
        <v>773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176</v>
      </c>
      <c r="B54" s="224" t="str">
        <f>RIGHT(data!$C$96,4)</f>
        <v>2022</v>
      </c>
      <c r="C54" s="16">
        <f>data!BC$55</f>
        <v>8370</v>
      </c>
      <c r="D54" s="16" t="s">
        <v>1123</v>
      </c>
      <c r="E54" s="222"/>
      <c r="F54" s="212">
        <f>ROUND(data!BC60,2)</f>
        <v>18.329999999999998</v>
      </c>
      <c r="G54" s="222">
        <f>ROUND(data!BC61,0)</f>
        <v>1806420</v>
      </c>
      <c r="H54" s="222">
        <f>ROUND(data!BC62,0)</f>
        <v>452405</v>
      </c>
      <c r="I54" s="222">
        <f>ROUND(data!BC63,0)</f>
        <v>0</v>
      </c>
      <c r="J54" s="222">
        <f>ROUND(data!BC64,0)</f>
        <v>16977</v>
      </c>
      <c r="K54" s="222">
        <f>ROUND(data!BC65,0)</f>
        <v>2866</v>
      </c>
      <c r="L54" s="222">
        <f>ROUND(data!BC66,0)</f>
        <v>0</v>
      </c>
      <c r="M54" s="66">
        <f>ROUND(data!BC67,0)</f>
        <v>3263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4.2300000000000004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176</v>
      </c>
      <c r="B55" s="224" t="str">
        <f>RIGHT(data!$C$96,4)</f>
        <v>2022</v>
      </c>
      <c r="C55" s="16">
        <f>data!BD$55</f>
        <v>8420</v>
      </c>
      <c r="D55" s="16" t="s">
        <v>1123</v>
      </c>
      <c r="E55" s="222"/>
      <c r="F55" s="212">
        <f>ROUND(data!BD60,2)</f>
        <v>8.5399999999999991</v>
      </c>
      <c r="G55" s="222">
        <f>ROUND(data!BD61,0)</f>
        <v>475320</v>
      </c>
      <c r="H55" s="222">
        <f>ROUND(data!BD62,0)</f>
        <v>183465</v>
      </c>
      <c r="I55" s="222">
        <f>ROUND(data!BD63,0)</f>
        <v>0</v>
      </c>
      <c r="J55" s="222">
        <f>ROUND(data!BD64,0)</f>
        <v>-9027</v>
      </c>
      <c r="K55" s="222">
        <f>ROUND(data!BD65,0)</f>
        <v>10321</v>
      </c>
      <c r="L55" s="222">
        <f>ROUND(data!BD66,0)</f>
        <v>82969</v>
      </c>
      <c r="M55" s="66">
        <f>ROUND(data!BD67,0)</f>
        <v>28012</v>
      </c>
      <c r="N55" s="222">
        <f>ROUND(data!BD68,0)</f>
        <v>201</v>
      </c>
      <c r="O55" s="222">
        <f>ROUND(data!BD69,0)</f>
        <v>2524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2524</v>
      </c>
      <c r="AD55" s="222">
        <f>ROUND(data!BD84,0)</f>
        <v>0</v>
      </c>
      <c r="AE55" s="222"/>
      <c r="AF55" s="222"/>
      <c r="AG55" s="222">
        <f>IF(data!BD90&gt;0,ROUND(data!BD90,0),0)</f>
        <v>2167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78949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176</v>
      </c>
      <c r="B56" s="224" t="str">
        <f>RIGHT(data!$C$96,4)</f>
        <v>2022</v>
      </c>
      <c r="C56" s="16">
        <f>data!BE$55</f>
        <v>8430</v>
      </c>
      <c r="D56" s="16" t="s">
        <v>1123</v>
      </c>
      <c r="E56" s="222">
        <f>ROUND(data!BE59,0)</f>
        <v>552104</v>
      </c>
      <c r="F56" s="212">
        <f>ROUND(data!BE60,2)</f>
        <v>10.11</v>
      </c>
      <c r="G56" s="222">
        <f>ROUND(data!BE61,0)</f>
        <v>1061423</v>
      </c>
      <c r="H56" s="222">
        <f>ROUND(data!BE62,0)</f>
        <v>256463</v>
      </c>
      <c r="I56" s="222">
        <f>ROUND(data!BE63,0)</f>
        <v>0</v>
      </c>
      <c r="J56" s="222">
        <f>ROUND(data!BE64,0)</f>
        <v>9926</v>
      </c>
      <c r="K56" s="222">
        <f>ROUND(data!BE65,0)</f>
        <v>95321</v>
      </c>
      <c r="L56" s="222">
        <f>ROUND(data!BE66,0)</f>
        <v>794949</v>
      </c>
      <c r="M56" s="66">
        <f>ROUND(data!BE67,0)</f>
        <v>313689</v>
      </c>
      <c r="N56" s="222">
        <f>ROUND(data!BE68,0)</f>
        <v>0</v>
      </c>
      <c r="O56" s="222">
        <f>ROUND(data!BE69,0)</f>
        <v>47192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47192</v>
      </c>
      <c r="AD56" s="222">
        <f>ROUND(data!BE84,0)</f>
        <v>0</v>
      </c>
      <c r="AE56" s="222"/>
      <c r="AF56" s="222"/>
      <c r="AG56" s="222">
        <f>IF(data!BE90&gt;0,ROUND(data!BE90,0),0)</f>
        <v>22808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176</v>
      </c>
      <c r="B57" s="224" t="str">
        <f>RIGHT(data!$C$96,4)</f>
        <v>2022</v>
      </c>
      <c r="C57" s="16">
        <f>data!BF$55</f>
        <v>8460</v>
      </c>
      <c r="D57" s="16" t="s">
        <v>1123</v>
      </c>
      <c r="E57" s="222"/>
      <c r="F57" s="212">
        <f>ROUND(data!BF60,2)</f>
        <v>22.73</v>
      </c>
      <c r="G57" s="222">
        <f>ROUND(data!BF61,0)</f>
        <v>1140732</v>
      </c>
      <c r="H57" s="222">
        <f>ROUND(data!BF62,0)</f>
        <v>475091</v>
      </c>
      <c r="I57" s="222">
        <f>ROUND(data!BF63,0)</f>
        <v>0</v>
      </c>
      <c r="J57" s="222">
        <f>ROUND(data!BF64,0)</f>
        <v>123532</v>
      </c>
      <c r="K57" s="222">
        <f>ROUND(data!BF65,0)</f>
        <v>12575</v>
      </c>
      <c r="L57" s="222">
        <f>ROUND(data!BF66,0)</f>
        <v>23525</v>
      </c>
      <c r="M57" s="66">
        <f>ROUND(data!BF67,0)</f>
        <v>30204</v>
      </c>
      <c r="N57" s="222">
        <f>ROUND(data!BF68,0)</f>
        <v>0</v>
      </c>
      <c r="O57" s="222">
        <f>ROUND(data!BF69,0)</f>
        <v>243251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243251</v>
      </c>
      <c r="AD57" s="222">
        <f>ROUND(data!BF84,0)</f>
        <v>0</v>
      </c>
      <c r="AE57" s="222"/>
      <c r="AF57" s="222"/>
      <c r="AG57" s="222">
        <f>IF(data!BF90&gt;0,ROUND(data!BF90,0),0)</f>
        <v>2007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4914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176</v>
      </c>
      <c r="B58" s="224" t="str">
        <f>RIGHT(data!$C$96,4)</f>
        <v>2022</v>
      </c>
      <c r="C58" s="16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176</v>
      </c>
      <c r="B59" s="224" t="str">
        <f>RIGHT(data!$C$96,4)</f>
        <v>2022</v>
      </c>
      <c r="C59" s="16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176</v>
      </c>
      <c r="B60" s="224" t="str">
        <f>RIGHT(data!$C$96,4)</f>
        <v>2022</v>
      </c>
      <c r="C60" s="16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63625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176</v>
      </c>
      <c r="B61" s="224" t="str">
        <f>RIGHT(data!$C$96,4)</f>
        <v>2022</v>
      </c>
      <c r="C61" s="16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176</v>
      </c>
      <c r="B62" s="224" t="str">
        <f>RIGHT(data!$C$96,4)</f>
        <v>2022</v>
      </c>
      <c r="C62" s="16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176</v>
      </c>
      <c r="B63" s="224" t="str">
        <f>RIGHT(data!$C$96,4)</f>
        <v>2022</v>
      </c>
      <c r="C63" s="16">
        <f>data!BL$55</f>
        <v>8560</v>
      </c>
      <c r="D63" s="16" t="s">
        <v>1123</v>
      </c>
      <c r="E63" s="222"/>
      <c r="F63" s="212">
        <f>ROUND(data!BL60,2)</f>
        <v>31.61</v>
      </c>
      <c r="G63" s="222">
        <f>ROUND(data!BL61,0)</f>
        <v>1823748</v>
      </c>
      <c r="H63" s="222">
        <f>ROUND(data!BL62,0)</f>
        <v>677087</v>
      </c>
      <c r="I63" s="222">
        <f>ROUND(data!BL63,0)</f>
        <v>0</v>
      </c>
      <c r="J63" s="222">
        <f>ROUND(data!BL64,0)</f>
        <v>32540</v>
      </c>
      <c r="K63" s="222">
        <f>ROUND(data!BL65,0)</f>
        <v>7724</v>
      </c>
      <c r="L63" s="222">
        <f>ROUND(data!BL66,0)</f>
        <v>90</v>
      </c>
      <c r="M63" s="66">
        <f>ROUND(data!BL67,0)</f>
        <v>19584</v>
      </c>
      <c r="N63" s="222">
        <f>ROUND(data!BL68,0)</f>
        <v>0</v>
      </c>
      <c r="O63" s="222">
        <f>ROUND(data!BL69,0)</f>
        <v>1765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1765</v>
      </c>
      <c r="AD63" s="222">
        <f>ROUND(data!BL84,0)</f>
        <v>0</v>
      </c>
      <c r="AE63" s="222"/>
      <c r="AF63" s="222"/>
      <c r="AG63" s="222">
        <f>IF(data!BL90&gt;0,ROUND(data!BL90,0),0)</f>
        <v>1433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176</v>
      </c>
      <c r="B64" s="224" t="str">
        <f>RIGHT(data!$C$96,4)</f>
        <v>2022</v>
      </c>
      <c r="C64" s="16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176</v>
      </c>
      <c r="B65" s="224" t="str">
        <f>RIGHT(data!$C$96,4)</f>
        <v>2022</v>
      </c>
      <c r="C65" s="16">
        <f>data!BN$55</f>
        <v>8610</v>
      </c>
      <c r="D65" s="16" t="s">
        <v>1123</v>
      </c>
      <c r="E65" s="222"/>
      <c r="F65" s="212">
        <f>ROUND(data!BN60,2)</f>
        <v>12.98</v>
      </c>
      <c r="G65" s="222">
        <f>ROUND(data!BN61,0)</f>
        <v>3765817</v>
      </c>
      <c r="H65" s="222">
        <f>ROUND(data!BN62,0)</f>
        <v>280674</v>
      </c>
      <c r="I65" s="222">
        <f>ROUND(data!BN63,0)</f>
        <v>286121</v>
      </c>
      <c r="J65" s="222">
        <f>ROUND(data!BN64,0)</f>
        <v>282831</v>
      </c>
      <c r="K65" s="222">
        <f>ROUND(data!BN65,0)</f>
        <v>55097</v>
      </c>
      <c r="L65" s="222">
        <f>ROUND(data!BN66,0)</f>
        <v>11390662</v>
      </c>
      <c r="M65" s="66">
        <f>ROUND(data!BN67,0)</f>
        <v>583802</v>
      </c>
      <c r="N65" s="222">
        <f>ROUND(data!BN68,0)</f>
        <v>28435</v>
      </c>
      <c r="O65" s="222">
        <f>ROUND(data!BN69,0)</f>
        <v>681785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681785</v>
      </c>
      <c r="AD65" s="222">
        <f>ROUND(data!BN84,0)</f>
        <v>9254</v>
      </c>
      <c r="AE65" s="222"/>
      <c r="AF65" s="222"/>
      <c r="AG65" s="222">
        <f>IF(data!BN90&gt;0,ROUND(data!BN90,0),0)</f>
        <v>10024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0.25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176</v>
      </c>
      <c r="B66" s="224" t="str">
        <f>RIGHT(data!$C$96,4)</f>
        <v>2022</v>
      </c>
      <c r="C66" s="16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176</v>
      </c>
      <c r="B67" s="224" t="str">
        <f>RIGHT(data!$C$96,4)</f>
        <v>2022</v>
      </c>
      <c r="C67" s="16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176</v>
      </c>
      <c r="B68" s="224" t="str">
        <f>RIGHT(data!$C$96,4)</f>
        <v>2022</v>
      </c>
      <c r="C68" s="16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176</v>
      </c>
      <c r="B69" s="224" t="str">
        <f>RIGHT(data!$C$96,4)</f>
        <v>2022</v>
      </c>
      <c r="C69" s="16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176</v>
      </c>
      <c r="B70" s="224" t="str">
        <f>RIGHT(data!$C$96,4)</f>
        <v>2022</v>
      </c>
      <c r="C70" s="16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176</v>
      </c>
      <c r="B71" s="224" t="str">
        <f>RIGHT(data!$C$96,4)</f>
        <v>2022</v>
      </c>
      <c r="C71" s="16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176</v>
      </c>
      <c r="B72" s="224" t="str">
        <f>RIGHT(data!$C$96,4)</f>
        <v>2022</v>
      </c>
      <c r="C72" s="16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176</v>
      </c>
      <c r="B73" s="224" t="str">
        <f>RIGHT(data!$C$96,4)</f>
        <v>2022</v>
      </c>
      <c r="C73" s="16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176</v>
      </c>
      <c r="B74" s="224" t="str">
        <f>RIGHT(data!$C$96,4)</f>
        <v>2022</v>
      </c>
      <c r="C74" s="16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176</v>
      </c>
      <c r="B75" s="224" t="str">
        <f>RIGHT(data!$C$96,4)</f>
        <v>2022</v>
      </c>
      <c r="C75" s="16">
        <f>data!BX$55</f>
        <v>8710</v>
      </c>
      <c r="D75" s="16" t="s">
        <v>1123</v>
      </c>
      <c r="E75" s="222"/>
      <c r="F75" s="212">
        <f>ROUND(data!BX60,2)</f>
        <v>34.24</v>
      </c>
      <c r="G75" s="222">
        <f>ROUND(data!BX61,0)</f>
        <v>4660959</v>
      </c>
      <c r="H75" s="222">
        <f>ROUND(data!BX62,0)</f>
        <v>855950</v>
      </c>
      <c r="I75" s="222">
        <f>ROUND(data!BX63,0)</f>
        <v>102</v>
      </c>
      <c r="J75" s="222">
        <f>ROUND(data!BX64,0)</f>
        <v>33241</v>
      </c>
      <c r="K75" s="222">
        <f>ROUND(data!BX65,0)</f>
        <v>25410</v>
      </c>
      <c r="L75" s="222">
        <f>ROUND(data!BX66,0)</f>
        <v>170182</v>
      </c>
      <c r="M75" s="66">
        <f>ROUND(data!BX67,0)</f>
        <v>32494</v>
      </c>
      <c r="N75" s="222">
        <f>ROUND(data!BX68,0)</f>
        <v>0</v>
      </c>
      <c r="O75" s="222">
        <f>ROUND(data!BX69,0)</f>
        <v>63687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63687</v>
      </c>
      <c r="AD75" s="222">
        <f>ROUND(data!BX84,0)</f>
        <v>0</v>
      </c>
      <c r="AE75" s="222"/>
      <c r="AF75" s="222"/>
      <c r="AG75" s="222">
        <f>IF(data!BX90&gt;0,ROUND(data!BX90,0),0)</f>
        <v>2530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1.37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176</v>
      </c>
      <c r="B76" s="224" t="str">
        <f>RIGHT(data!$C$96,4)</f>
        <v>2022</v>
      </c>
      <c r="C76" s="16">
        <f>data!BY$55</f>
        <v>8720</v>
      </c>
      <c r="D76" s="16" t="s">
        <v>1123</v>
      </c>
      <c r="E76" s="222"/>
      <c r="F76" s="212">
        <f>ROUND(data!BY60,2)</f>
        <v>13.34</v>
      </c>
      <c r="G76" s="222">
        <f>ROUND(data!BY61,0)</f>
        <v>2920437</v>
      </c>
      <c r="H76" s="222">
        <f>ROUND(data!BY62,0)</f>
        <v>406577</v>
      </c>
      <c r="I76" s="222">
        <f>ROUND(data!BY63,0)</f>
        <v>12000</v>
      </c>
      <c r="J76" s="222">
        <f>ROUND(data!BY64,0)</f>
        <v>12498</v>
      </c>
      <c r="K76" s="222">
        <f>ROUND(data!BY65,0)</f>
        <v>2455</v>
      </c>
      <c r="L76" s="222">
        <f>ROUND(data!BY66,0)</f>
        <v>941691</v>
      </c>
      <c r="M76" s="66">
        <f>ROUND(data!BY67,0)</f>
        <v>42463</v>
      </c>
      <c r="N76" s="222">
        <f>ROUND(data!BY68,0)</f>
        <v>10496</v>
      </c>
      <c r="O76" s="222">
        <f>ROUND(data!BY69,0)</f>
        <v>104134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104134</v>
      </c>
      <c r="AD76" s="222">
        <f>ROUND(data!BY84,0)</f>
        <v>107888</v>
      </c>
      <c r="AE76" s="222"/>
      <c r="AF76" s="222"/>
      <c r="AG76" s="222">
        <f>IF(data!BY90&gt;0,ROUND(data!BY90,0),0)</f>
        <v>498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0.25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176</v>
      </c>
      <c r="B77" s="224" t="str">
        <f>RIGHT(data!$C$96,4)</f>
        <v>2022</v>
      </c>
      <c r="C77" s="16">
        <f>data!BZ$55</f>
        <v>8730</v>
      </c>
      <c r="D77" s="16" t="s">
        <v>1123</v>
      </c>
      <c r="E77" s="222"/>
      <c r="F77" s="212">
        <f>ROUND(data!BZ60,2)</f>
        <v>22.17</v>
      </c>
      <c r="G77" s="222">
        <f>ROUND(data!BZ61,0)</f>
        <v>3487895</v>
      </c>
      <c r="H77" s="222">
        <f>ROUND(data!BZ62,0)</f>
        <v>476632</v>
      </c>
      <c r="I77" s="222">
        <f>ROUND(data!BZ63,0)</f>
        <v>0</v>
      </c>
      <c r="J77" s="222">
        <f>ROUND(data!BZ64,0)</f>
        <v>5038</v>
      </c>
      <c r="K77" s="222">
        <f>ROUND(data!BZ65,0)</f>
        <v>7572</v>
      </c>
      <c r="L77" s="222">
        <f>ROUND(data!BZ66,0)</f>
        <v>-319152</v>
      </c>
      <c r="M77" s="66">
        <f>ROUND(data!BZ67,0)</f>
        <v>24930</v>
      </c>
      <c r="N77" s="222">
        <f>ROUND(data!BZ68,0)</f>
        <v>0</v>
      </c>
      <c r="O77" s="222">
        <f>ROUND(data!BZ69,0)</f>
        <v>50929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50929</v>
      </c>
      <c r="AD77" s="222">
        <f>ROUND(data!BZ84,0)</f>
        <v>0</v>
      </c>
      <c r="AE77" s="222"/>
      <c r="AF77" s="222"/>
      <c r="AG77" s="222">
        <f>IF(data!BZ90&gt;0,ROUND(data!BZ90,0),0)</f>
        <v>381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15.47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176</v>
      </c>
      <c r="B78" s="224" t="str">
        <f>RIGHT(data!$C$96,4)</f>
        <v>2022</v>
      </c>
      <c r="C78" s="16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176</v>
      </c>
      <c r="B79" s="224" t="str">
        <f>RIGHT(data!$C$96,4)</f>
        <v>2022</v>
      </c>
      <c r="C79" s="16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176</v>
      </c>
      <c r="B80" s="224" t="str">
        <f>RIGHT(data!$C$96,4)</f>
        <v>2022</v>
      </c>
      <c r="C80" s="16">
        <f>data!CC$55</f>
        <v>8790</v>
      </c>
      <c r="D80" s="16" t="s">
        <v>1123</v>
      </c>
      <c r="E80" s="222"/>
      <c r="F80" s="212">
        <f>ROUND(data!CC60,2)</f>
        <v>22.02</v>
      </c>
      <c r="G80" s="222">
        <f>ROUND(data!CC61,0)</f>
        <v>10629146</v>
      </c>
      <c r="H80" s="222">
        <f>ROUND(data!CC62,0)</f>
        <v>580814</v>
      </c>
      <c r="I80" s="222">
        <f>ROUND(data!CC63,0)</f>
        <v>18839582</v>
      </c>
      <c r="J80" s="222">
        <f>ROUND(data!CC64,0)</f>
        <v>5571911</v>
      </c>
      <c r="K80" s="222">
        <f>ROUND(data!CC65,0)</f>
        <v>39105</v>
      </c>
      <c r="L80" s="222">
        <f>ROUND(data!CC66,0)</f>
        <v>214540171</v>
      </c>
      <c r="M80" s="66">
        <f>ROUND(data!CC67,0)</f>
        <v>529553</v>
      </c>
      <c r="N80" s="222">
        <f>ROUND(data!CC68,0)</f>
        <v>38431</v>
      </c>
      <c r="O80" s="222">
        <f>ROUND(data!CC69,0)</f>
        <v>23140663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23140663</v>
      </c>
      <c r="AD80" s="222">
        <f>ROUND(data!CC84,0)</f>
        <v>4047110</v>
      </c>
      <c r="AE80" s="222"/>
      <c r="AF80" s="222"/>
      <c r="AG80" s="222">
        <f>IF(data!CC90&gt;0,ROUND(data!CC90,0),0)</f>
        <v>3574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Tacoma General / Allenmore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H-176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>
        <f>+data!C99</f>
        <v>0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 xml:space="preserve">Tacoma  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176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73605937.11999999</v>
      </c>
      <c r="C15" s="275">
        <f>data!C85</f>
        <v>81221634.950000003</v>
      </c>
      <c r="D15" s="275">
        <f>'Prior Year'!C60</f>
        <v>46835</v>
      </c>
      <c r="E15" s="1">
        <f>data!C59</f>
        <v>46158</v>
      </c>
      <c r="F15" s="238">
        <f t="shared" ref="F15:F59" si="0">IF(B15=0,"",IF(D15=0,"",B15/D15))</f>
        <v>1571.6010914914059</v>
      </c>
      <c r="G15" s="238">
        <f t="shared" ref="G15:G29" si="1">IF(C15=0,"",IF(E15=0,"",C15/E15))</f>
        <v>1759.6437226482951</v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24972614.979999997</v>
      </c>
      <c r="C16" s="275">
        <f>data!D85</f>
        <v>29410089.060000002</v>
      </c>
      <c r="D16" s="275">
        <f>'Prior Year'!D60</f>
        <v>20797</v>
      </c>
      <c r="E16" s="1">
        <f>data!D59</f>
        <v>23145</v>
      </c>
      <c r="F16" s="238">
        <f t="shared" si="0"/>
        <v>1200.7796787998268</v>
      </c>
      <c r="G16" s="238">
        <f t="shared" si="1"/>
        <v>1270.688661049903</v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35820950.269999996</v>
      </c>
      <c r="C17" s="275">
        <f>data!E85</f>
        <v>42678869.960000001</v>
      </c>
      <c r="D17" s="275">
        <f>'Prior Year'!E60</f>
        <v>40778</v>
      </c>
      <c r="E17" s="1">
        <f>data!E59</f>
        <v>40031</v>
      </c>
      <c r="F17" s="238">
        <f t="shared" si="0"/>
        <v>878.43813502378725</v>
      </c>
      <c r="G17" s="238">
        <f t="shared" si="1"/>
        <v>1066.1454862481578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24007.599999999995</v>
      </c>
      <c r="C18" s="275">
        <f>data!F85</f>
        <v>6245840.2699999996</v>
      </c>
      <c r="D18" s="275">
        <f>'Prior Year'!F60</f>
        <v>0</v>
      </c>
      <c r="E18" s="1">
        <f>data!F59</f>
        <v>3871</v>
      </c>
      <c r="F18" s="238" t="str">
        <f t="shared" si="0"/>
        <v/>
      </c>
      <c r="G18" s="238">
        <f t="shared" si="1"/>
        <v>1613.4952906225781</v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7989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8024067.9699999988</v>
      </c>
      <c r="C20" s="275">
        <f>data!H85</f>
        <v>8857909.3000000007</v>
      </c>
      <c r="D20" s="275">
        <f>'Prior Year'!H60</f>
        <v>0</v>
      </c>
      <c r="E20" s="1">
        <f>data!H59</f>
        <v>7884</v>
      </c>
      <c r="F20" s="238" t="str">
        <f t="shared" si="0"/>
        <v/>
      </c>
      <c r="G20" s="238">
        <f t="shared" si="1"/>
        <v>1123.5298452562151</v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23658247.569999997</v>
      </c>
      <c r="C27" s="275">
        <f>data!O85</f>
        <v>19957112.779999997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108783561.07000001</v>
      </c>
      <c r="C28" s="275">
        <f>data!P85</f>
        <v>119488459.50000001</v>
      </c>
      <c r="D28" s="275">
        <f>'Prior Year'!P60</f>
        <v>2872820</v>
      </c>
      <c r="E28" s="1">
        <f>data!P59</f>
        <v>2992340</v>
      </c>
      <c r="F28" s="238">
        <f t="shared" si="0"/>
        <v>37.866473036946282</v>
      </c>
      <c r="G28" s="238">
        <f t="shared" si="1"/>
        <v>39.931444789027992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2509935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12288790.950000001</v>
      </c>
      <c r="C30" s="275">
        <f>data!R85</f>
        <v>22394454.59</v>
      </c>
      <c r="D30" s="275">
        <f>'Prior Year'!R60</f>
        <v>0</v>
      </c>
      <c r="E30" s="1">
        <f>data!R59</f>
        <v>2843175</v>
      </c>
      <c r="F30" s="238" t="str">
        <f t="shared" si="0"/>
        <v/>
      </c>
      <c r="G30" s="238">
        <f>IFERROR(IF(C30=0,"",IF(E30=0,"",C30/E30)),"")</f>
        <v>7.8765656669040771</v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7202513.9299999997</v>
      </c>
      <c r="C31" s="275">
        <f>data!S85</f>
        <v>-583015.46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16747887.290000001</v>
      </c>
      <c r="C32" s="275">
        <f>data!T85</f>
        <v>19901580.749999996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e">
        <f t="shared" si="2"/>
        <v>#VALUE!</v>
      </c>
      <c r="I32" s="275" t="e">
        <f t="shared" si="3"/>
        <v>#VALUE!</v>
      </c>
      <c r="M32" s="7"/>
    </row>
    <row r="33" spans="1:13" x14ac:dyDescent="0.35">
      <c r="A33" s="1" t="s">
        <v>727</v>
      </c>
      <c r="B33" s="275">
        <f>'Prior Year'!U86</f>
        <v>45835148.839999996</v>
      </c>
      <c r="C33" s="275">
        <f>data!U85</f>
        <v>106175921.75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0</v>
      </c>
      <c r="D34" s="275">
        <f>'Prior Year'!V60</f>
        <v>47470</v>
      </c>
      <c r="E34" s="1">
        <f>data!V59</f>
        <v>48639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4332825.3900000006</v>
      </c>
      <c r="C35" s="275">
        <f>data!W85</f>
        <v>5883152.2999999998</v>
      </c>
      <c r="D35" s="275">
        <f>'Prior Year'!W60</f>
        <v>127609.58</v>
      </c>
      <c r="E35" s="1">
        <f>data!W59</f>
        <v>183872.96</v>
      </c>
      <c r="F35" s="238">
        <f t="shared" si="0"/>
        <v>33.953762640704568</v>
      </c>
      <c r="G35" s="238">
        <f t="shared" si="5"/>
        <v>31.995744779439022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3652723.07</v>
      </c>
      <c r="C36" s="275">
        <f>data!X85</f>
        <v>5472927.1799999997</v>
      </c>
      <c r="D36" s="275">
        <f>'Prior Year'!X60</f>
        <v>362585.48</v>
      </c>
      <c r="E36" s="1">
        <f>data!X59</f>
        <v>409970.73</v>
      </c>
      <c r="F36" s="238">
        <f t="shared" si="0"/>
        <v>10.074101891780112</v>
      </c>
      <c r="G36" s="238">
        <f t="shared" si="5"/>
        <v>13.349555906100907</v>
      </c>
      <c r="H36" s="6">
        <f t="shared" si="2"/>
        <v>0.3251360815591291</v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31969863.449999996</v>
      </c>
      <c r="C37" s="275">
        <f>data!Y85</f>
        <v>34320557.979999997</v>
      </c>
      <c r="D37" s="275">
        <f>'Prior Year'!Y60</f>
        <v>246796.69</v>
      </c>
      <c r="E37" s="1">
        <f>data!Y59</f>
        <v>258068.95</v>
      </c>
      <c r="F37" s="238">
        <f t="shared" si="0"/>
        <v>129.53927157613012</v>
      </c>
      <c r="G37" s="238">
        <f t="shared" si="5"/>
        <v>132.98987724017164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12232449.210000001</v>
      </c>
      <c r="C38" s="275">
        <f>data!Z85</f>
        <v>14146604.99</v>
      </c>
      <c r="D38" s="275">
        <f>'Prior Year'!Z60</f>
        <v>167545.10999999999</v>
      </c>
      <c r="E38" s="1">
        <f>data!Z59</f>
        <v>0</v>
      </c>
      <c r="F38" s="238">
        <f t="shared" si="0"/>
        <v>73.009884979633256</v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1357666.18</v>
      </c>
      <c r="C39" s="275">
        <f>data!AA85</f>
        <v>1574488.0999999999</v>
      </c>
      <c r="D39" s="275">
        <f>'Prior Year'!AA60</f>
        <v>22738.440000000002</v>
      </c>
      <c r="E39" s="1">
        <f>data!AA59</f>
        <v>23006.350000000002</v>
      </c>
      <c r="F39" s="238">
        <f t="shared" si="0"/>
        <v>59.707973809988715</v>
      </c>
      <c r="G39" s="238">
        <f t="shared" si="5"/>
        <v>68.437109754480815</v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90991734.600000009</v>
      </c>
      <c r="C40" s="275">
        <f>data!AB85</f>
        <v>95182263.949999988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12033282.609999999</v>
      </c>
      <c r="C41" s="275">
        <f>data!AC85</f>
        <v>10727623.799999999</v>
      </c>
      <c r="D41" s="275">
        <f>'Prior Year'!AC60</f>
        <v>270122.17000000004</v>
      </c>
      <c r="E41" s="1">
        <f>data!AC59</f>
        <v>238920.99</v>
      </c>
      <c r="F41" s="238">
        <f t="shared" si="0"/>
        <v>44.547556426042327</v>
      </c>
      <c r="G41" s="238">
        <f t="shared" si="5"/>
        <v>44.900298630103613</v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2045475.15</v>
      </c>
      <c r="C42" s="275">
        <f>data!AD85</f>
        <v>2628933.1500000004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3302777.0700000003</v>
      </c>
      <c r="C43" s="275">
        <f>data!AE85</f>
        <v>3857823.2199999997</v>
      </c>
      <c r="D43" s="275">
        <f>'Prior Year'!AE60</f>
        <v>116223</v>
      </c>
      <c r="E43" s="1">
        <f>data!AE59</f>
        <v>128990</v>
      </c>
      <c r="F43" s="238">
        <f t="shared" si="0"/>
        <v>28.417585761854369</v>
      </c>
      <c r="G43" s="238">
        <f t="shared" si="5"/>
        <v>29.907924800372118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48537220.619999997</v>
      </c>
      <c r="C45" s="275">
        <f>data!AG85</f>
        <v>63174000.320000008</v>
      </c>
      <c r="D45" s="275">
        <f>'Prior Year'!AG60</f>
        <v>901890.00000000012</v>
      </c>
      <c r="E45" s="1">
        <f>data!AG59</f>
        <v>0</v>
      </c>
      <c r="F45" s="238">
        <f t="shared" si="0"/>
        <v>53.817228952533007</v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29955.940000000002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4932803.8800000018</v>
      </c>
      <c r="C47" s="275">
        <f>data!AI85</f>
        <v>6057334.75</v>
      </c>
      <c r="D47" s="275">
        <f>'Prior Year'!AI60</f>
        <v>5154</v>
      </c>
      <c r="E47" s="1">
        <f>data!AI59</f>
        <v>0</v>
      </c>
      <c r="F47" s="238">
        <f t="shared" si="0"/>
        <v>957.08263096624012</v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76708233.770000011</v>
      </c>
      <c r="C48" s="275">
        <f>data!AJ85</f>
        <v>80579608.25</v>
      </c>
      <c r="D48" s="275">
        <f>'Prior Year'!AJ60</f>
        <v>30077</v>
      </c>
      <c r="E48" s="1">
        <f>data!AJ59</f>
        <v>30182</v>
      </c>
      <c r="F48" s="238">
        <f t="shared" si="0"/>
        <v>2550.3951115470295</v>
      </c>
      <c r="G48" s="238">
        <f t="shared" si="5"/>
        <v>2669.7902143661786</v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195797</v>
      </c>
      <c r="C49" s="275">
        <f>data!AK85</f>
        <v>157819.81999999998</v>
      </c>
      <c r="D49" s="275">
        <f>'Prior Year'!AK60</f>
        <v>0</v>
      </c>
      <c r="E49" s="1">
        <f>data!AK59</f>
        <v>3995</v>
      </c>
      <c r="F49" s="238" t="str">
        <f t="shared" si="0"/>
        <v/>
      </c>
      <c r="G49" s="238">
        <f t="shared" si="5"/>
        <v>39.504335419274085</v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852014.52999999991</v>
      </c>
      <c r="C50" s="275">
        <f>data!AL85</f>
        <v>1037060.2600000001</v>
      </c>
      <c r="D50" s="275">
        <f>'Prior Year'!AL60</f>
        <v>0</v>
      </c>
      <c r="E50" s="1">
        <f>data!AL59</f>
        <v>33552</v>
      </c>
      <c r="F50" s="238" t="str">
        <f t="shared" si="0"/>
        <v/>
      </c>
      <c r="G50" s="238">
        <f t="shared" si="5"/>
        <v>30.909044468288034</v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12463901.659999998</v>
      </c>
      <c r="C54" s="275">
        <f>data!AP85</f>
        <v>12346133.560000001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48407388.18</v>
      </c>
      <c r="C60" s="275">
        <f>data!AV85</f>
        <v>52408690.539999999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7056869.8100000005</v>
      </c>
      <c r="C61" s="275">
        <f>data!AW85</f>
        <v>8890115.6900000013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1080965.19</v>
      </c>
      <c r="C63" s="275">
        <f>data!AY85</f>
        <v>1331600.8300000003</v>
      </c>
      <c r="D63" s="275">
        <f>'Prior Year'!AY60</f>
        <v>368143</v>
      </c>
      <c r="E63" s="1">
        <f>data!AY59</f>
        <v>410155</v>
      </c>
      <c r="F63" s="238">
        <f>IF(B63=0,"",IF(D63=0,"",B63/D63))</f>
        <v>2.9362644135566884</v>
      </c>
      <c r="G63" s="238">
        <f t="shared" si="5"/>
        <v>3.2465795370043038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3237005.08</v>
      </c>
      <c r="C66" s="275">
        <f>data!BB85</f>
        <v>3686208.1299999994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2161474.89</v>
      </c>
      <c r="C67" s="275">
        <f>data!BC85</f>
        <v>2281931.3500000006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797707.08999999985</v>
      </c>
      <c r="C68" s="275">
        <f>data!BD85</f>
        <v>773784.96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1963364.7199999997</v>
      </c>
      <c r="C69" s="275">
        <f>data!BE85</f>
        <v>2578962.79</v>
      </c>
      <c r="D69" s="275">
        <f>'Prior Year'!BE60</f>
        <v>548092.07499999984</v>
      </c>
      <c r="E69" s="1">
        <f>data!BE59</f>
        <v>552104.41499999992</v>
      </c>
      <c r="F69" s="238">
        <f>IF(B69=0,"",IF(D69=0,"",B69/D69))</f>
        <v>3.5821804575444745</v>
      </c>
      <c r="G69" s="238">
        <f t="shared" si="5"/>
        <v>4.67115045620492</v>
      </c>
      <c r="H69" s="6">
        <f>IF(B69=0,"",IF(C69=0,"",IF(D69=0,"",IF(E69=0,"",IF(G69/F69-1&lt;-0.25,G69/F69-1,IF(G69/F69-1&gt;0.25,G69/F69-1,""))))))</f>
        <v>0.30399640988687548</v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1847282.93</v>
      </c>
      <c r="C70" s="275">
        <f>data!BF85</f>
        <v>2048909.9200000002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2747977.3800000004</v>
      </c>
      <c r="C76" s="275">
        <f>data!BL85</f>
        <v>2562537.9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5251827.7699999996</v>
      </c>
      <c r="C78" s="275">
        <f>data!BN85</f>
        <v>17345970.449999999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0</v>
      </c>
      <c r="C86" s="275">
        <f>data!BV85</f>
        <v>0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data!BW85</f>
        <v>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5360133.0100000007</v>
      </c>
      <c r="C88" s="275">
        <f>data!BX85</f>
        <v>5842024.9500000002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3236115.79</v>
      </c>
      <c r="C89" s="275">
        <f>data!BY85</f>
        <v>4344863.0399999991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3292360.1800000006</v>
      </c>
      <c r="C90" s="275">
        <f>data!BZ85</f>
        <v>3733842.9899999993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187209255.02000001</v>
      </c>
      <c r="C93" s="275">
        <f>data!CC85</f>
        <v>269862265.75999999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29026131.379999995</v>
      </c>
      <c r="C94" s="275">
        <f>data!CD85</f>
        <v>28928690.019999996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6" t="s">
        <v>1348</v>
      </c>
    </row>
    <row r="3" spans="1:4" x14ac:dyDescent="0.35">
      <c r="A3" s="11" t="s">
        <v>789</v>
      </c>
    </row>
    <row r="4" spans="1:4" x14ac:dyDescent="0.35">
      <c r="A4" s="324" t="s">
        <v>1346</v>
      </c>
    </row>
    <row r="5" spans="1:4" x14ac:dyDescent="0.35">
      <c r="A5" s="325" t="s">
        <v>1344</v>
      </c>
    </row>
    <row r="6" spans="1:4" x14ac:dyDescent="0.35">
      <c r="A6" s="323"/>
    </row>
    <row r="7" spans="1:4" x14ac:dyDescent="0.35">
      <c r="A7" s="324" t="s">
        <v>1347</v>
      </c>
    </row>
    <row r="8" spans="1:4" x14ac:dyDescent="0.35">
      <c r="A8" s="325" t="s">
        <v>1345</v>
      </c>
    </row>
    <row r="11" spans="1:4" x14ac:dyDescent="0.35">
      <c r="A11" s="13" t="s">
        <v>790</v>
      </c>
      <c r="D11" s="276">
        <f>data!C380</f>
        <v>24763295.469999991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29332708.120000001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H-176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Tacoma General / Allenmore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98405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Pierce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Bill Robertson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James Lee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2534031000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2434597859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23815</v>
      </c>
      <c r="G23" s="81">
        <f>data!D127</f>
        <v>146151.08000000002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2975</v>
      </c>
      <c r="G26" s="81">
        <f>data!D130</f>
        <v>4300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148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74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97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63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52</v>
      </c>
      <c r="E34" s="78" t="s">
        <v>324</v>
      </c>
      <c r="F34" s="81"/>
      <c r="G34" s="81">
        <f>data!E143</f>
        <v>461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27</v>
      </c>
      <c r="E36" s="78" t="s">
        <v>325</v>
      </c>
      <c r="F36" s="81"/>
      <c r="G36" s="81">
        <f>data!C144</f>
        <v>581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Tacoma General / Allenmore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9871.9853383049995</v>
      </c>
      <c r="C7" s="141">
        <f>data!B155</f>
        <v>60175.592310048836</v>
      </c>
      <c r="D7" s="141">
        <f>data!B156</f>
        <v>238270</v>
      </c>
      <c r="E7" s="141">
        <f>data!B157</f>
        <v>805148990.36722505</v>
      </c>
      <c r="F7" s="141">
        <f>data!B158</f>
        <v>936455219.25596952</v>
      </c>
      <c r="G7" s="141">
        <f>data!B157+data!B158</f>
        <v>1741604209.6231947</v>
      </c>
    </row>
    <row r="8" spans="1:7" ht="20.149999999999999" customHeight="1" x14ac:dyDescent="0.35">
      <c r="A8" s="77" t="s">
        <v>331</v>
      </c>
      <c r="B8" s="141">
        <f>data!C154</f>
        <v>5886.1164176139991</v>
      </c>
      <c r="C8" s="141">
        <f>data!C155</f>
        <v>36586.401514701334</v>
      </c>
      <c r="D8" s="141">
        <f>data!C156</f>
        <v>166517</v>
      </c>
      <c r="E8" s="141">
        <f>data!C157</f>
        <v>489624790.78021622</v>
      </c>
      <c r="F8" s="141">
        <f>data!C158</f>
        <v>556353280.43483257</v>
      </c>
      <c r="G8" s="141">
        <f>data!C157+data!C158</f>
        <v>1045978071.2150488</v>
      </c>
    </row>
    <row r="9" spans="1:7" ht="20.149999999999999" customHeight="1" x14ac:dyDescent="0.35">
      <c r="A9" s="77" t="s">
        <v>829</v>
      </c>
      <c r="B9" s="141">
        <f>data!D154</f>
        <v>8055.8982440810023</v>
      </c>
      <c r="C9" s="141">
        <f>data!D155</f>
        <v>49136.086175249846</v>
      </c>
      <c r="D9" s="141">
        <f>data!D156</f>
        <v>339787</v>
      </c>
      <c r="E9" s="141">
        <f>data!D157</f>
        <v>657444765.50255835</v>
      </c>
      <c r="F9" s="141">
        <f>data!D158</f>
        <v>764094698.12919855</v>
      </c>
      <c r="G9" s="141">
        <f>data!D157+data!D158</f>
        <v>1421539463.6317568</v>
      </c>
    </row>
    <row r="10" spans="1:7" ht="20.149999999999999" customHeight="1" x14ac:dyDescent="0.35">
      <c r="A10" s="92" t="s">
        <v>215</v>
      </c>
      <c r="B10" s="141">
        <f>data!E154</f>
        <v>23814</v>
      </c>
      <c r="C10" s="141">
        <f>data!E155</f>
        <v>145898.08000000002</v>
      </c>
      <c r="D10" s="141">
        <f>data!E156</f>
        <v>744574</v>
      </c>
      <c r="E10" s="141">
        <f>data!E157</f>
        <v>1952218546.6499996</v>
      </c>
      <c r="F10" s="141">
        <f>data!E158</f>
        <v>2256903197.8200006</v>
      </c>
      <c r="G10" s="141">
        <f>E10+F10</f>
        <v>4209121744.4700003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Tacoma General / Allenmore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25003156.800000001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37866805.199999996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0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16432161.799999999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113226.88999999998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79415350.689999998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5982458.0899999999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3478055.06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9460513.1500000004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11325279.300000003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11325279.300000003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437045.52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7488844.8399999999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7925890.3599999994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9677520.3600000013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9677520.3600000013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Tacoma General / Allenmore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5728062.54</v>
      </c>
      <c r="D7" s="81">
        <f>data!C225</f>
        <v>144353.69999999995</v>
      </c>
      <c r="E7" s="81">
        <f>data!D225</f>
        <v>19919.29</v>
      </c>
      <c r="F7" s="81">
        <f>data!E211</f>
        <v>5697062.54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3311377.88</v>
      </c>
      <c r="D8" s="81">
        <f>data!C226</f>
        <v>3771393.5699999928</v>
      </c>
      <c r="E8" s="81">
        <f>data!D226</f>
        <v>-18729.68</v>
      </c>
      <c r="F8" s="81">
        <f>data!E212</f>
        <v>3324681.27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620400698.23000002</v>
      </c>
      <c r="D9" s="81">
        <f>data!C227</f>
        <v>0</v>
      </c>
      <c r="E9" s="81">
        <f>data!D227</f>
        <v>0</v>
      </c>
      <c r="F9" s="81">
        <f>data!E213</f>
        <v>632569057.88999999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data!C228</f>
        <v>1329954.2500000007</v>
      </c>
      <c r="E10" s="81">
        <f>data!D228</f>
        <v>365711.31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34790496.899999999</v>
      </c>
      <c r="D11" s="81">
        <f>data!C229</f>
        <v>5542675.3299999349</v>
      </c>
      <c r="E11" s="81">
        <f>data!D229</f>
        <v>54498784.300000027</v>
      </c>
      <c r="F11" s="81">
        <f>data!E215</f>
        <v>35305496.079999998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241316063.84</v>
      </c>
      <c r="D12" s="81">
        <f>data!C230</f>
        <v>0</v>
      </c>
      <c r="E12" s="81">
        <f>data!D230</f>
        <v>0</v>
      </c>
      <c r="F12" s="81">
        <f>data!E216</f>
        <v>197141673.91999999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data!C231</f>
        <v>658840.83999999973</v>
      </c>
      <c r="E13" s="81">
        <f>data!D231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14268559.630000001</v>
      </c>
      <c r="D14" s="81">
        <f>data!C232</f>
        <v>0</v>
      </c>
      <c r="E14" s="81">
        <f>data!D232</f>
        <v>0</v>
      </c>
      <c r="F14" s="81">
        <f>data!E218</f>
        <v>14645373.65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0</v>
      </c>
      <c r="D15" s="81">
        <f>data!C233</f>
        <v>11447217.689999929</v>
      </c>
      <c r="E15" s="81">
        <f>data!D233</f>
        <v>54865685.220000029</v>
      </c>
      <c r="F15" s="81">
        <f>data!E219</f>
        <v>0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919815259.01999998</v>
      </c>
      <c r="D16" s="81">
        <f>data!C234</f>
        <v>0</v>
      </c>
      <c r="E16" s="81">
        <f>data!D234</f>
        <v>0</v>
      </c>
      <c r="F16" s="81">
        <f>data!E220</f>
        <v>888683345.3499999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2396947.7600000002</v>
      </c>
      <c r="D24" s="81">
        <f>data!C225</f>
        <v>144353.69999999995</v>
      </c>
      <c r="E24" s="81">
        <f>data!D225</f>
        <v>19919.29</v>
      </c>
      <c r="F24" s="81">
        <f>data!E225</f>
        <v>2521382.17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324656203.87999994</v>
      </c>
      <c r="D25" s="81">
        <f>data!C226</f>
        <v>3771393.5699999928</v>
      </c>
      <c r="E25" s="81">
        <f>data!D226</f>
        <v>-18729.68</v>
      </c>
      <c r="F25" s="81">
        <f>data!E226</f>
        <v>328446327.12999994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26291253.530000001</v>
      </c>
      <c r="D27" s="81">
        <f>data!C228</f>
        <v>1329954.2500000007</v>
      </c>
      <c r="E27" s="81">
        <f>data!D228</f>
        <v>365711.31</v>
      </c>
      <c r="F27" s="81">
        <f>data!E228</f>
        <v>27255496.470000003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198391196.83999997</v>
      </c>
      <c r="D28" s="81">
        <f>data!C229</f>
        <v>5542675.3299999349</v>
      </c>
      <c r="E28" s="81">
        <f>data!D229</f>
        <v>54498784.300000027</v>
      </c>
      <c r="F28" s="81">
        <f>data!E229</f>
        <v>149435087.86999989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9633436.8999999985</v>
      </c>
      <c r="D30" s="81">
        <f>data!C231</f>
        <v>658840.83999999973</v>
      </c>
      <c r="E30" s="81">
        <f>data!D231</f>
        <v>0</v>
      </c>
      <c r="F30" s="81">
        <f>data!E231</f>
        <v>10292277.739999998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561369038.90999997</v>
      </c>
      <c r="D32" s="81">
        <f>data!C233</f>
        <v>11447217.689999929</v>
      </c>
      <c r="E32" s="81">
        <f>data!D233</f>
        <v>54865685.220000029</v>
      </c>
      <c r="F32" s="81">
        <f>data!E233</f>
        <v>517950571.37999988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Tacoma General / Allenmore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34442800.430000007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1399068458.8402066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837646291.73203111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30997585.020000003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1110842861.5577619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3378555197.1499996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21478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27782502.46388698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42152735.546113014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69935238.00999999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39187289.429999992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39187289.429999992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2023-07-05T20:39:03Z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