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7F61A6AF-F2C9-4EA1-B88D-084DD05DBB23}" xr6:coauthVersionLast="47" xr6:coauthVersionMax="47" xr10:uidLastSave="{00000000-0000-0000-0000-000000000000}"/>
  <workbookProtection workbookAlgorithmName="SHA-512" workbookHashValue="5Jm/AJ1h0Jc8oY60Lkvci/wzKilk9a4JN5nZmzs/7ytP332h9yqD/rJ16VXtYFAcOUvXMg0pX+tDUMR+QUINRw==" workbookSaltValue="pu37Yu9rDu+sH7ZJ2j+hz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94" i="24" l="1"/>
  <c r="G414" i="24" l="1"/>
  <c r="F414" i="24"/>
  <c r="G399" i="24"/>
  <c r="F399" i="24"/>
  <c r="CF89" i="24"/>
  <c r="CF88" i="24"/>
  <c r="CF87" i="24"/>
  <c r="CC67" i="24"/>
  <c r="CF67" i="24"/>
  <c r="CG68" i="24"/>
  <c r="CF68" i="24"/>
  <c r="CC62" i="24"/>
  <c r="CC47" i="24"/>
  <c r="CF47" i="24"/>
  <c r="CG63" i="24"/>
  <c r="CG64" i="24"/>
  <c r="CG65" i="24"/>
  <c r="CG66" i="24"/>
  <c r="CF62" i="24"/>
  <c r="CF63" i="24"/>
  <c r="CF64" i="24"/>
  <c r="CF65" i="24"/>
  <c r="CF66" i="24"/>
  <c r="CC66" i="24"/>
  <c r="CF61" i="24"/>
  <c r="CF59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CE87" i="24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CE66" i="24"/>
  <c r="CE65" i="24"/>
  <c r="CE64" i="24"/>
  <c r="F392" i="24" s="1"/>
  <c r="G392" i="24" s="1"/>
  <c r="CE63" i="24"/>
  <c r="CE61" i="24"/>
  <c r="CG61" i="24" s="1"/>
  <c r="CE60" i="24"/>
  <c r="B53" i="24"/>
  <c r="CE51" i="24"/>
  <c r="B49" i="24"/>
  <c r="CE47" i="24"/>
  <c r="CG47" i="24" s="1"/>
  <c r="D10" i="4" l="1"/>
  <c r="L156" i="24"/>
  <c r="I376" i="32"/>
  <c r="CG87" i="24"/>
  <c r="I377" i="32"/>
  <c r="CG88" i="24"/>
  <c r="I370" i="32"/>
  <c r="F396" i="24"/>
  <c r="G396" i="24" s="1"/>
  <c r="I368" i="32"/>
  <c r="F394" i="24"/>
  <c r="G394" i="24" s="1"/>
  <c r="I367" i="32"/>
  <c r="F393" i="24"/>
  <c r="G393" i="24" s="1"/>
  <c r="I365" i="32"/>
  <c r="F391" i="24"/>
  <c r="G391" i="24" s="1"/>
  <c r="I363" i="32"/>
  <c r="F389" i="24"/>
  <c r="G389" i="24" s="1"/>
  <c r="AU48" i="24"/>
  <c r="AU62" i="24" s="1"/>
  <c r="H46" i="31" s="1"/>
  <c r="G48" i="24"/>
  <c r="G62" i="24" s="1"/>
  <c r="G12" i="32" s="1"/>
  <c r="W48" i="24"/>
  <c r="W62" i="24" s="1"/>
  <c r="I76" i="32" s="1"/>
  <c r="BK48" i="24"/>
  <c r="BK62" i="24" s="1"/>
  <c r="H62" i="31" s="1"/>
  <c r="H48" i="24"/>
  <c r="H62" i="24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H80" i="31" s="1"/>
  <c r="C48" i="24"/>
  <c r="C62" i="24" s="1"/>
  <c r="C12" i="32" s="1"/>
  <c r="K48" i="24"/>
  <c r="K62" i="24" s="1"/>
  <c r="H10" i="31" s="1"/>
  <c r="S48" i="24"/>
  <c r="S62" i="24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H12" i="32"/>
  <c r="H39" i="31"/>
  <c r="H71" i="31"/>
  <c r="H65" i="31"/>
  <c r="H18" i="31"/>
  <c r="E76" i="32"/>
  <c r="E32" i="6"/>
  <c r="E15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D300" i="32"/>
  <c r="H35" i="31"/>
  <c r="O14" i="31"/>
  <c r="H51" i="32"/>
  <c r="O38" i="31"/>
  <c r="D179" i="32"/>
  <c r="O78" i="31"/>
  <c r="I339" i="32"/>
  <c r="H4" i="31"/>
  <c r="H12" i="31"/>
  <c r="G76" i="32"/>
  <c r="BK2" i="30"/>
  <c r="I362" i="32"/>
  <c r="H612" i="24"/>
  <c r="E220" i="24"/>
  <c r="F16" i="6" s="1"/>
  <c r="I612" i="24"/>
  <c r="I366" i="32"/>
  <c r="F612" i="24"/>
  <c r="BQ2" i="30"/>
  <c r="D383" i="24"/>
  <c r="D12" i="17" s="1"/>
  <c r="G236" i="32"/>
  <c r="DF2" i="30"/>
  <c r="C170" i="8"/>
  <c r="AV52" i="24"/>
  <c r="AV67" i="24" s="1"/>
  <c r="D22" i="7"/>
  <c r="D258" i="24"/>
  <c r="H17" i="31"/>
  <c r="D76" i="32"/>
  <c r="H22" i="31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53" i="31"/>
  <c r="E236" i="32"/>
  <c r="X52" i="24"/>
  <c r="X67" i="24" s="1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H63" i="31" l="1"/>
  <c r="H23" i="31"/>
  <c r="H74" i="31"/>
  <c r="D332" i="32"/>
  <c r="G204" i="32"/>
  <c r="C44" i="32"/>
  <c r="I172" i="32"/>
  <c r="D204" i="32"/>
  <c r="H76" i="31"/>
  <c r="F300" i="32"/>
  <c r="D44" i="32"/>
  <c r="G268" i="32"/>
  <c r="H37" i="31"/>
  <c r="H2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CG62" i="24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E17" i="32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S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I364" i="32" l="1"/>
  <c r="F390" i="24"/>
  <c r="G390" i="24" s="1"/>
  <c r="E85" i="24"/>
  <c r="C17" i="15" s="1"/>
  <c r="G17" i="15" s="1"/>
  <c r="M61" i="3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C67" i="24"/>
  <c r="CE52" i="24"/>
  <c r="E85" i="32"/>
  <c r="C31" i="15"/>
  <c r="G31" i="15" s="1"/>
  <c r="C684" i="24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F20" i="15"/>
  <c r="M50" i="31"/>
  <c r="I209" i="32"/>
  <c r="AY85" i="24"/>
  <c r="F82" i="15"/>
  <c r="F29" i="15"/>
  <c r="G94" i="15"/>
  <c r="H94" i="15" s="1"/>
  <c r="I94" i="15" s="1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H72" i="15"/>
  <c r="I72" i="15" s="1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C670" i="24" l="1"/>
  <c r="E21" i="32"/>
  <c r="I117" i="32"/>
  <c r="C695" i="24"/>
  <c r="H36" i="15"/>
  <c r="I36" i="15" s="1"/>
  <c r="C74" i="15"/>
  <c r="G74" i="15" s="1"/>
  <c r="H277" i="32"/>
  <c r="H27" i="15"/>
  <c r="I27" i="15" s="1"/>
  <c r="C76" i="15"/>
  <c r="G76" i="15" s="1"/>
  <c r="H76" i="15" s="1"/>
  <c r="I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I369" i="32" l="1"/>
  <c r="F395" i="24"/>
  <c r="G395" i="24" s="1"/>
  <c r="CG67" i="24"/>
  <c r="G47" i="15"/>
  <c r="H47" i="15" s="1"/>
  <c r="I47" i="15" s="1"/>
  <c r="G53" i="15"/>
  <c r="H53" i="15"/>
  <c r="I53" i="15" s="1"/>
  <c r="G30" i="15"/>
  <c r="H30" i="15"/>
  <c r="I30" i="15" s="1"/>
  <c r="H69" i="15"/>
  <c r="I69" i="15" s="1"/>
  <c r="G20" i="15"/>
  <c r="H20" i="15"/>
  <c r="I20" i="15" s="1"/>
  <c r="G16" i="15"/>
  <c r="H16" i="15" s="1"/>
  <c r="I16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 s="1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K696" i="25"/>
  <c r="K688" i="25"/>
  <c r="K680" i="25"/>
  <c r="K709" i="25"/>
  <c r="K701" i="25"/>
  <c r="M701" i="25" s="1"/>
  <c r="K693" i="25"/>
  <c r="K685" i="25"/>
  <c r="M685" i="25" s="1"/>
  <c r="K717" i="25"/>
  <c r="K708" i="25"/>
  <c r="K700" i="25"/>
  <c r="K692" i="25"/>
  <c r="M692" i="25" s="1"/>
  <c r="K684" i="25"/>
  <c r="K714" i="25"/>
  <c r="K689" i="25"/>
  <c r="K687" i="25"/>
  <c r="K678" i="25"/>
  <c r="K670" i="25"/>
  <c r="K706" i="25"/>
  <c r="K681" i="25"/>
  <c r="K675" i="25"/>
  <c r="K698" i="25"/>
  <c r="M698" i="25" s="1"/>
  <c r="K672" i="25"/>
  <c r="K690" i="25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K673" i="25"/>
  <c r="M673" i="25" s="1"/>
  <c r="K697" i="25"/>
  <c r="K711" i="25"/>
  <c r="K676" i="25"/>
  <c r="M676" i="25" s="1"/>
  <c r="K705" i="25"/>
  <c r="M705" i="25" s="1"/>
  <c r="K695" i="25"/>
  <c r="M695" i="25" s="1"/>
  <c r="M688" i="25"/>
  <c r="M711" i="25" l="1"/>
  <c r="M704" i="25"/>
  <c r="M687" i="25"/>
  <c r="M690" i="25"/>
  <c r="M675" i="25"/>
  <c r="M680" i="25"/>
  <c r="M700" i="25"/>
  <c r="M703" i="25"/>
  <c r="M672" i="25"/>
  <c r="M686" i="25"/>
  <c r="M670" i="25"/>
  <c r="M694" i="25"/>
  <c r="M693" i="25"/>
  <c r="M674" i="25"/>
  <c r="M681" i="25"/>
  <c r="M689" i="25"/>
  <c r="M706" i="25"/>
  <c r="M714" i="25"/>
  <c r="M684" i="25"/>
  <c r="M697" i="25"/>
  <c r="M708" i="25"/>
  <c r="M696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M705" i="24" s="1"/>
  <c r="E183" i="32" s="1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669" i="25"/>
  <c r="L715" i="24"/>
  <c r="M672" i="24"/>
  <c r="G23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<sst xmlns="http://schemas.openxmlformats.org/spreadsheetml/2006/main" count="5620" uniqueCount="1378">
  <si>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</si>
  <si>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</si>
  <si>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</si>
  <si>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</si>
  <si>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</si>
  <si>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</si>
  <si>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</si>
  <si>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</si>
  <si>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</si>
  <si>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</si>
  <si>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</si>
  <si>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</si>
  <si>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</si>
  <si>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</si>
  <si>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</si>
  <si>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</si>
  <si>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</si>
  <si>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</si>
  <si>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</si>
  <si>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</si>
  <si>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</si>
  <si>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</si>
  <si>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</si>
  <si>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</si>
  <si>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</si>
  <si>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</si>
  <si>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</si>
  <si>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</si>
  <si>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</si>
  <si>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</si>
  <si>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</si>
  <si>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</si>
  <si>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</si>
  <si>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</si>
  <si>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</si>
  <si>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</si>
  <si>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</si>
  <si>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</si>
  <si>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</si>
  <si>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</si>
  <si>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</si>
  <si>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</si>
  <si>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</si>
  <si>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</si>
  <si>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</si>
  <si>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</si>
  <si>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</si>
  <si>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</si>
  <si>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</si>
  <si>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</si>
  <si>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</si>
  <si>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</si>
  <si>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</si>
  <si>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</si>
  <si>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</si>
  <si>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</si>
  <si>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</si>
  <si>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</si>
  <si>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</si>
  <si>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</si>
  <si>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</si>
  <si>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</si>
  <si>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</si>
  <si>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</si>
  <si>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</si>
  <si>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</si>
  <si>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</si>
  <si>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</si>
  <si>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</si>
  <si>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</si>
  <si>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</si>
  <si>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</si>
  <si>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</si>
  <si>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</si>
  <si>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</si>
  <si>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</si>
  <si>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</si>
  <si>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</si>
  <si>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</si>
  <si>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</si>
  <si>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</si>
  <si>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</si>
  <si>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</si>
  <si>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</si>
  <si>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</si>
  <si>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</si>
  <si>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</si>
  <si>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</si>
  <si>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</si>
  <si>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</si>
  <si>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</si>
  <si>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</si>
  <si>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</si>
  <si>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</si>
  <si>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</si>
  <si>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</si>
  <si>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</si>
  <si>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</si>
  <si>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</si>
  <si>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</si>
  <si>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</si>
  <si>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</si>
  <si>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</si>
  <si>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</si>
  <si>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</si>
  <si>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</si>
  <si>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</si>
  <si>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</si>
  <si>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</si>
  <si>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</si>
  <si>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</si>
  <si>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</si>
  <si>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</si>
  <si>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</si>
  <si>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</si>
  <si>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</si>
  <si>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</si>
  <si>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</si>
  <si>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</si>
  <si>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</si>
  <si>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</si>
  <si>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</si>
  <si>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</si>
  <si>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</si>
  <si>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</si>
  <si>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</si>
  <si>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</si>
  <si>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</si>
  <si>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</si>
  <si>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</si>
  <si>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</si>
  <si>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</si>
  <si>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</si>
  <si>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</si>
  <si>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</si>
  <si>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</si>
  <si>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</si>
  <si>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</si>
  <si>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</si>
  <si>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</si>
  <si>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</si>
  <si>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</si>
  <si>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</si>
  <si>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</si>
  <si>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</si>
  <si>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</si>
  <si>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</si>
  <si>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</si>
  <si>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</si>
  <si>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</si>
  <si>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</si>
  <si>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</si>
  <si>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</si>
  <si>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</si>
  <si>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</si>
  <si>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</si>
  <si>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</si>
  <si>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</si>
  <si>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</si>
  <si>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</si>
  <si>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</si>
  <si>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</si>
  <si>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</si>
  <si>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</si>
  <si>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</si>
  <si>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</si>
  <si>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</si>
  <si>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</si>
  <si>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</si>
  <si>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</si>
  <si>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</si>
  <si>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</si>
  <si>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</si>
  <si>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</si>
  <si>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</si>
  <si>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</si>
  <si>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</si>
  <si>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</si>
  <si>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</si>
  <si>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</si>
  <si>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</si>
  <si>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</si>
  <si>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</si>
  <si>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</si>
  <si>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</si>
  <si>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</si>
  <si>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</si>
  <si>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</si>
  <si>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</si>
  <si>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</si>
  <si>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</si>
  <si>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</si>
  <si>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</si>
  <si>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</si>
  <si>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</si>
  <si>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</si>
  <si>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</si>
  <si>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</si>
  <si>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</si>
  <si>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</si>
  <si>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</si>
  <si>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</si>
  <si>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</si>
  <si>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</si>
  <si>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</si>
  <si>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</si>
  <si>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</si>
  <si>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</si>
  <si>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</si>
  <si>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</si>
  <si>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</si>
  <si>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</si>
  <si>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</si>
  <si>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</si>
  <si>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</si>
  <si>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</si>
  <si>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</si>
  <si>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</si>
  <si>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</si>
  <si>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</si>
  <si>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</si>
  <si>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</si>
  <si>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</si>
  <si>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</si>
  <si>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</si>
  <si>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</si>
  <si>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</si>
  <si>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</si>
  <si>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</si>
  <si>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</si>
  <si>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</si>
  <si>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</si>
  <si>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</si>
  <si>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</si>
  <si>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</si>
  <si>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</si>
  <si>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</si>
  <si>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</si>
  <si>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</si>
  <si>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</si>
  <si>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</si>
  <si>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</si>
  <si>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</si>
  <si>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</si>
  <si>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</si>
  <si>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</si>
  <si>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</si>
  <si>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</si>
  <si>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</si>
  <si>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</si>
  <si>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</si>
  <si>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</si>
  <si>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</si>
  <si>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</si>
  <si>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</si>
  <si>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</si>
  <si>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</si>
  <si>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</si>
  <si>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</si>
  <si>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</si>
  <si>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</si>
  <si>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</si>
  <si>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</si>
  <si>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</si>
  <si>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</si>
  <si>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</si>
  <si>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</si>
  <si>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</si>
  <si>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</si>
  <si>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</si>
  <si>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</si>
  <si>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</si>
  <si>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</si>
  <si>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</si>
  <si>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</si>
  <si>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</si>
  <si>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</si>
  <si>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</si>
  <si>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</si>
  <si>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</si>
  <si>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</si>
  <si>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</si>
  <si>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</si>
  <si>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</si>
  <si>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</si>
  <si>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</si>
  <si>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</si>
  <si>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</si>
  <si>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</si>
  <si>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</si>
  <si>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</si>
  <si>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</si>
  <si>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</si>
  <si>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</si>
  <si>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</si>
  <si>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</si>
  <si>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</si>
  <si>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</si>
  <si>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</si>
  <si>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</si>
  <si>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</si>
  <si>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</si>
  <si>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</si>
  <si>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</si>
  <si>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</si>
  <si>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</si>
  <si>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</si>
  <si>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</si>
  <si>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</si>
  <si>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</si>
  <si>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</si>
  <si>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</si>
  <si>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</si>
  <si>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</si>
  <si>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</si>
  <si>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</si>
  <si>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</si>
  <si>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</si>
  <si>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</si>
  <si>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</si>
  <si>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</si>
  <si>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</si>
  <si>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</si>
  <si>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</si>
  <si>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</si>
  <si>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</si>
  <si>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</si>
  <si>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</si>
  <si>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</si>
  <si>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</si>
  <si>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</si>
  <si>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</si>
  <si>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</si>
  <si>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</si>
  <si>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</si>
  <si>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</si>
  <si>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</si>
  <si>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</si>
  <si>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</si>
  <si>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</si>
  <si>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</si>
  <si>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</si>
  <si>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</si>
  <si>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</si>
  <si>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</si>
  <si>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</si>
  <si>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</si>
  <si>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</si>
  <si>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</si>
  <si>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</si>
  <si>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</si>
  <si>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</si>
  <si>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</si>
  <si>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</si>
  <si>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</si>
  <si>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</si>
  <si>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</si>
  <si>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</si>
  <si>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</si>
  <si>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</si>
  <si>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</si>
  <si>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</si>
  <si>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</si>
  <si>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</si>
  <si>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</si>
  <si>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</si>
  <si>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</si>
  <si>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</si>
  <si>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</si>
  <si>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</si>
  <si>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</si>
  <si>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</si>
  <si>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</si>
  <si>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</si>
  <si>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</si>
  <si>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</si>
  <si>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</si>
  <si>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</si>
  <si>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</si>
  <si>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</si>
  <si>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</si>
  <si>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</si>
  <si>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</si>
  <si>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</si>
  <si>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</si>
  <si>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</si>
  <si>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</si>
  <si>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</si>
  <si>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</si>
  <si>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</si>
  <si>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</si>
  <si>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</si>
  <si>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</si>
  <si>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</si>
  <si>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</si>
  <si>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</si>
  <si>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</si>
  <si>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</si>
  <si>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</si>
  <si>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</si>
  <si>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</si>
  <si>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</si>
  <si>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</si>
  <si>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</si>
  <si>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</si>
  <si>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</si>
  <si>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</si>
  <si>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</si>
  <si>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</si>
  <si>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</si>
  <si>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</si>
  <si>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</si>
  <si>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</si>
  <si>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</si>
  <si>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</si>
  <si>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</si>
  <si>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</si>
  <si>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</si>
  <si>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</si>
  <si>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</si>
  <si>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</si>
  <si>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</si>
  <si>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</si>
  <si>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</si>
  <si>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</si>
  <si>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</si>
  <si>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</si>
  <si>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</si>
  <si>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</si>
  <si>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</si>
  <si>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</si>
  <si>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</si>
  <si>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</si>
  <si>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</si>
  <si>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</si>
  <si>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</si>
  <si>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</si>
  <si>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</si>
  <si>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</si>
  <si>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</si>
  <si>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</si>
  <si>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</si>
  <si>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</si>
  <si>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</si>
  <si>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</si>
  <si>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</si>
  <si>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</si>
  <si>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</si>
  <si>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</si>
  <si>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</si>
  <si>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</si>
  <si>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</si>
  <si>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</si>
  <si>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</si>
  <si>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</si>
  <si>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</si>
  <si>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</si>
  <si>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</si>
  <si>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</si>
  <si>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</si>
  <si>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</si>
  <si>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</si>
  <si>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</si>
  <si>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</si>
  <si>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</si>
  <si>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</si>
  <si>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</si>
  <si>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</si>
  <si>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</si>
  <si>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</si>
  <si>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</si>
  <si>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</si>
  <si>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</si>
  <si>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</si>
  <si>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</si>
  <si>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</si>
  <si>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</si>
  <si>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</si>
  <si>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</si>
  <si>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</si>
  <si>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</si>
  <si>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</si>
  <si>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</si>
  <si>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</si>
  <si>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</si>
  <si>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</si>
  <si>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</si>
  <si>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</si>
  <si>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</si>
  <si>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</si>
  <si>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</si>
  <si>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</si>
  <si>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</si>
  <si>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</si>
  <si>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</si>
  <si>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</si>
  <si>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</si>
  <si>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</si>
  <si>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</si>
  <si>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</si>
  <si>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</si>
  <si>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</si>
  <si>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</si>
  <si>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</si>
  <si>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</si>
  <si>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</si>
  <si>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</si>
  <si>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</si>
  <si>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</si>
  <si>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</si>
  <si>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</si>
  <si>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</si>
  <si>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</si>
  <si>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</si>
  <si>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</si>
  <si>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</si>
  <si>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</si>
  <si>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</si>
  <si>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</si>
  <si>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</si>
  <si>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</si>
  <si>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</si>
  <si>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</si>
  <si>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</si>
  <si>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</si>
  <si>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</si>
  <si>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</si>
  <si>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</si>
  <si>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</si>
  <si>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</si>
  <si>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</si>
  <si>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</si>
  <si>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</si>
  <si>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</si>
  <si>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</si>
  <si>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</si>
  <si>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</si>
  <si>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</si>
  <si>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</si>
  <si>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</si>
  <si>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</si>
  <si>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</si>
  <si>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</si>
  <si>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</si>
  <si>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</si>
  <si>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</si>
  <si>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</si>
  <si>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</si>
  <si>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</si>
  <si>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</si>
  <si>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</si>
  <si>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</si>
  <si>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</si>
  <si>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</si>
  <si>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</si>
  <si>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</si>
  <si>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</si>
  <si>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</si>
  <si>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</si>
  <si>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</si>
  <si>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</si>
  <si>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</si>
  <si>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</si>
  <si>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</si>
  <si>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</si>
  <si>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</si>
  <si>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</si>
  <si>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</si>
  <si>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</si>
  <si>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</si>
  <si>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</si>
  <si>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</si>
  <si>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</si>
  <si>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</si>
  <si>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</si>
  <si>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</si>
  <si>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</si>
  <si>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</si>
  <si>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</si>
  <si>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</si>
  <si>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</si>
  <si>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</si>
  <si>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</si>
  <si>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</si>
  <si>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</si>
  <si>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</si>
  <si>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</si>
  <si>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</si>
  <si>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</si>
  <si>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</si>
  <si>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</si>
  <si>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</si>
  <si>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</si>
  <si>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</si>
  <si>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</si>
  <si>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</si>
  <si>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</si>
  <si>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</si>
  <si>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</si>
  <si>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</si>
  <si>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</si>
  <si>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</si>
  <si>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</si>
  <si>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</si>
  <si>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</si>
  <si>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</si>
  <si>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</si>
  <si>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</si>
  <si>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</si>
  <si>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</si>
  <si>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</si>
  <si>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</si>
  <si>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</si>
  <si>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</si>
  <si>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</si>
  <si>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</si>
  <si>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</si>
  <si>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</si>
  <si>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</si>
  <si>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</si>
  <si>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</si>
  <si>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</si>
  <si>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</si>
  <si>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</si>
  <si>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</si>
  <si>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</si>
  <si>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</si>
  <si>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</si>
  <si>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</si>
  <si>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</si>
  <si>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</si>
  <si>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</si>
  <si>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</si>
  <si>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</si>
  <si>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</si>
  <si>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</si>
  <si>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</si>
  <si>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</si>
  <si>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</si>
  <si>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</si>
  <si>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</si>
  <si>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</si>
  <si>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</si>
  <si>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</si>
  <si>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</si>
  <si>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</si>
  <si>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</si>
  <si>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</si>
  <si>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</si>
  <si>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</si>
  <si>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</si>
  <si>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</si>
  <si>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</si>
  <si>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</si>
  <si>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</si>
  <si>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</si>
  <si>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</si>
  <si>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</si>
  <si>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</si>
  <si>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</si>
  <si>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</si>
  <si>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</si>
  <si>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</si>
  <si>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</si>
  <si>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</si>
  <si>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</si>
  <si>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</si>
  <si>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</si>
  <si>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</si>
  <si>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</si>
  <si>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</si>
  <si>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</si>
  <si>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</si>
  <si>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</si>
  <si>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</si>
  <si>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</si>
  <si>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</si>
  <si>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</si>
  <si>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</si>
  <si>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</si>
  <si>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</si>
  <si>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</si>
  <si>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</si>
  <si>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</si>
  <si>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</si>
  <si>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</si>
  <si>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</si>
  <si>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</si>
  <si>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</si>
  <si>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</si>
  <si>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</si>
  <si>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</si>
  <si>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</si>
  <si>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</si>
  <si>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</si>
  <si>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</si>
  <si>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</si>
  <si>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</si>
  <si>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</si>
  <si>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</si>
  <si>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</si>
  <si>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</si>
  <si>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</si>
  <si>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</si>
  <si>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</si>
  <si>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</si>
  <si>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</si>
  <si>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</si>
  <si>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</si>
  <si>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</si>
  <si>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</si>
  <si>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</si>
  <si>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</si>
  <si>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</si>
  <si>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</si>
  <si>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</si>
  <si>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</si>
  <si>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</si>
  <si>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</si>
  <si>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</si>
  <si>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</si>
  <si>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</si>
  <si>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</si>
  <si>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</si>
  <si>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</si>
  <si>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</si>
  <si>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</si>
  <si>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</si>
  <si>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</si>
  <si>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</si>
  <si>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</si>
  <si>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</si>
  <si>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</si>
  <si>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</si>
  <si>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</si>
  <si>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</si>
  <si>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</si>
  <si>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</si>
  <si>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</si>
  <si>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</si>
  <si>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</si>
  <si>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</si>
  <si>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</si>
  <si>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</si>
  <si>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</si>
  <si>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</si>
  <si>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</si>
  <si>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</si>
  <si>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</si>
  <si>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</si>
  <si>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</si>
  <si>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</si>
  <si>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</si>
  <si>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</si>
  <si>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</si>
  <si>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</si>
  <si>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</si>
  <si>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</si>
  <si>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</si>
  <si>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</si>
  <si>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</si>
  <si>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</si>
  <si>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</si>
  <si>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</si>
  <si>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</si>
  <si>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</si>
  <si>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</si>
  <si>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</si>
  <si>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</si>
  <si>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</si>
  <si>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</si>
  <si>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</si>
  <si>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</si>
  <si>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</si>
  <si>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</si>
  <si>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</si>
  <si>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</si>
  <si>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</si>
  <si>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</si>
  <si>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</si>
  <si>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</si>
  <si>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</si>
  <si>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</si>
  <si>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</si>
  <si>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</si>
  <si>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</si>
  <si>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</si>
  <si>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</si>
  <si>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</si>
  <si>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</si>
  <si>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</si>
  <si>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</si>
  <si>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</si>
  <si>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</si>
  <si>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</si>
  <si>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</si>
  <si>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</si>
  <si>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</si>
  <si>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</si>
  <si>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</si>
  <si>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</si>
  <si>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</si>
  <si>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</si>
  <si>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</si>
  <si>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</si>
  <si>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</si>
  <si>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</si>
  <si>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</si>
  <si>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</si>
  <si>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</si>
  <si>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</si>
  <si>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</si>
  <si>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</si>
  <si>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</si>
  <si>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</si>
  <si>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</si>
  <si>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</si>
  <si>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</si>
  <si>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</si>
  <si>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</si>
  <si>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</si>
  <si>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</si>
  <si>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</si>
  <si>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</si>
  <si>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</si>
  <si>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</si>
  <si>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</si>
  <si>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</si>
  <si>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</si>
  <si>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</si>
  <si>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</si>
  <si>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</si>
  <si>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</si>
  <si>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</si>
  <si>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</si>
  <si>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</si>
  <si>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</si>
  <si>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</si>
  <si>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</si>
  <si>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</si>
  <si>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</si>
  <si>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</si>
  <si>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</si>
  <si>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</si>
  <si>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</si>
  <si>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</si>
  <si>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</si>
  <si>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</si>
  <si>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</si>
  <si>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</si>
  <si>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</si>
  <si>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</si>
  <si>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</si>
  <si>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</si>
  <si>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</si>
  <si>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</si>
  <si>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</si>
  <si>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</si>
  <si>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</si>
  <si>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</si>
  <si>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</si>
  <si>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</si>
  <si>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</si>
  <si>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</si>
  <si>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</si>
  <si>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</si>
  <si>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</si>
  <si>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</si>
  <si>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</si>
  <si>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</si>
  <si>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</si>
  <si>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</si>
  <si>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</si>
  <si>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</si>
  <si>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</si>
  <si>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</si>
  <si>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</si>
  <si>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</si>
  <si>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</si>
  <si>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</si>
  <si>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</si>
  <si>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</si>
  <si>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</si>
  <si>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</si>
  <si>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</si>
  <si>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</si>
  <si>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</si>
  <si>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</si>
  <si>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</si>
  <si>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</si>
  <si>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</si>
  <si>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</si>
  <si>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</si>
  <si>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</si>
  <si>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</si>
  <si>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</si>
  <si>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</si>
  <si>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</si>
  <si>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</si>
  <si>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</si>
  <si>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</si>
  <si>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</si>
  <si>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</si>
  <si>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</si>
  <si>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</si>
  <si>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</si>
  <si>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</si>
  <si>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</si>
  <si>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</si>
  <si>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</si>
  <si>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</si>
  <si>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</si>
  <si>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</si>
  <si>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</si>
  <si>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</si>
  <si>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</si>
  <si>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</si>
  <si>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</si>
  <si>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</si>
  <si>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</si>
  <si>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</si>
  <si>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</si>
  <si>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</si>
  <si>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</si>
  <si>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</si>
  <si>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</si>
  <si>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</si>
  <si>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</si>
  <si>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</si>
  <si>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</si>
  <si>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</si>
  <si>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</si>
  <si>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</si>
  <si>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</si>
  <si>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</si>
  <si>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</si>
  <si>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</si>
  <si>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</si>
  <si>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</si>
  <si>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</si>
  <si>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</si>
  <si>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</si>
  <si>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</si>
  <si>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</si>
  <si>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</si>
  <si>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</si>
  <si>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</si>
  <si>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</si>
  <si>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</si>
  <si>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</si>
  <si>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</si>
  <si>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</si>
  <si>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</si>
  <si>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</si>
  <si>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</si>
  <si>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</si>
  <si>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</si>
  <si>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</si>
  <si>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</si>
  <si>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</si>
  <si>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</si>
  <si>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</si>
  <si>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</si>
  <si>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</si>
  <si>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</si>
  <si>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</si>
  <si>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</si>
  <si>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</si>
  <si>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</si>
  <si>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</si>
  <si>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</si>
  <si>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</si>
  <si>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</si>
  <si>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</si>
  <si>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</si>
  <si>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</si>
  <si>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</si>
  <si>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</si>
  <si>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</si>
  <si>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</si>
  <si>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</si>
  <si>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</si>
  <si>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</si>
  <si>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</si>
  <si>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</si>
  <si>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</si>
  <si>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</si>
  <si>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</si>
  <si>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</si>
  <si>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</si>
  <si>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</si>
  <si>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</si>
  <si>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</si>
  <si>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</si>
  <si>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</si>
  <si>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</si>
  <si>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</si>
  <si>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</si>
  <si>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</si>
  <si>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</si>
  <si>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</si>
  <si>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</si>
  <si>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</si>
  <si>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</si>
  <si>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</si>
  <si>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</si>
  <si>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</si>
  <si>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</si>
  <si>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</si>
  <si>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</si>
  <si>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</si>
  <si>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</si>
  <si>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</si>
  <si>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</si>
  <si>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</si>
  <si>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</si>
  <si>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</si>
  <si>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</si>
  <si>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</si>
  <si>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</si>
  <si>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</si>
  <si>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</si>
  <si>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</si>
  <si>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</si>
  <si>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</si>
  <si>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</si>
  <si>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</si>
  <si>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</si>
  <si>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</si>
  <si>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</si>
  <si>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</si>
  <si>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</si>
  <si>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</si>
  <si>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</si>
  <si>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</si>
  <si>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</si>
  <si>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</si>
  <si>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</si>
  <si>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</si>
  <si>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</si>
  <si>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</si>
  <si>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</si>
  <si>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</si>
  <si>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</si>
  <si>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</si>
  <si>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</si>
  <si>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</si>
  <si>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</si>
  <si>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</si>
  <si>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</si>
  <si>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</si>
  <si>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</si>
  <si>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</si>
  <si>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</si>
  <si>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</si>
  <si>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</si>
  <si>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</si>
  <si>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</si>
  <si>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</si>
  <si>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</si>
  <si>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</si>
  <si>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</si>
  <si>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</si>
  <si>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</si>
  <si>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</si>
  <si>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</si>
  <si>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</si>
  <si>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</si>
  <si>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</si>
  <si>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</si>
  <si>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</si>
  <si>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</si>
  <si>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</si>
  <si>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</si>
  <si>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</si>
  <si>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</si>
  <si>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</si>
  <si>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</si>
  <si>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</si>
  <si>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</si>
  <si>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</si>
  <si>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</si>
  <si>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</si>
  <si>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</si>
  <si>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</si>
  <si>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</si>
  <si>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</si>
  <si>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</si>
  <si>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</si>
  <si>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</si>
  <si>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</si>
  <si>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</si>
  <si>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</si>
  <si>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</si>
  <si>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</si>
  <si>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</si>
  <si>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</si>
  <si>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</si>
  <si>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</si>
  <si>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</si>
  <si>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</si>
  <si>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</si>
  <si>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</si>
  <si>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</si>
  <si>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</si>
  <si>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</si>
  <si>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</si>
  <si>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</si>
  <si>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</si>
  <si>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</si>
  <si>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</si>
  <si>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</si>
  <si>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</si>
  <si>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</si>
  <si>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</si>
  <si>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</si>
  <si>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</si>
  <si>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</si>
  <si>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</si>
  <si>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</si>
  <si>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</si>
  <si>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</si>
  <si>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</si>
  <si>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</si>
  <si>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</si>
  <si>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</si>
  <si>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</si>
  <si>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</si>
  <si>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</si>
  <si>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</si>
  <si>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</si>
  <si>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</si>
  <si>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</si>
  <si>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</si>
  <si>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</si>
  <si>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</si>
  <si>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</si>
  <si>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</si>
  <si>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</si>
  <si>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</si>
  <si>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</si>
  <si>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</si>
  <si>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</si>
  <si>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</si>
  <si>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</si>
  <si>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</si>
  <si>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</si>
  <si>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</si>
  <si>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</si>
  <si>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</si>
  <si>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</si>
  <si>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</si>
  <si>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</si>
  <si>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</si>
  <si>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</si>
  <si>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</si>
  <si>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</si>
  <si>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</si>
  <si>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</si>
  <si>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</si>
  <si>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</si>
  <si>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</si>
  <si>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</si>
  <si>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</si>
  <si>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</si>
  <si>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</si>
  <si>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</si>
  <si>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</si>
  <si>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</si>
  <si>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</si>
  <si>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</si>
  <si>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</si>
  <si>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</si>
  <si>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</si>
  <si>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</si>
  <si>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</si>
  <si>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</si>
  <si>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</si>
  <si>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</si>
  <si>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</si>
  <si>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</si>
  <si>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</si>
  <si>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</si>
  <si>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</si>
  <si>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</si>
  <si>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</si>
  <si>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</si>
  <si>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</si>
  <si>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</si>
  <si>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</si>
  <si>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</si>
  <si>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</si>
  <si>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</si>
  <si>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</si>
  <si>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</si>
  <si>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</si>
  <si>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</si>
  <si>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</si>
  <si>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</si>
  <si>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</si>
  <si>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</si>
  <si>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</si>
  <si>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</si>
  <si>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</si>
  <si>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</si>
  <si>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</si>
  <si>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</si>
  <si>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</si>
  <si>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</si>
  <si>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</si>
  <si>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</si>
  <si>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</si>
  <si>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</si>
  <si>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</si>
  <si>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</si>
  <si>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</si>
  <si>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</si>
  <si>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</si>
  <si>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</si>
  <si>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</si>
  <si>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</si>
  <si>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</si>
  <si>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</si>
  <si>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</si>
  <si>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</si>
  <si>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</si>
  <si>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</si>
  <si>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</si>
  <si>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</si>
  <si>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</si>
  <si>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</si>
  <si>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</si>
  <si>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</si>
  <si>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</si>
  <si>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</si>
  <si>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</si>
  <si>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</si>
  <si>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</si>
  <si>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</si>
  <si>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</si>
  <si>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</si>
  <si>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</si>
  <si>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</si>
  <si>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</si>
  <si>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</si>
  <si>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</si>
  <si>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</si>
  <si>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</si>
  <si>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</si>
  <si>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</si>
  <si>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</si>
  <si>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</si>
  <si>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</si>
  <si>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</si>
  <si>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</si>
  <si>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</si>
  <si>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</si>
  <si>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</si>
  <si>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</si>
  <si>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</si>
  <si>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</si>
  <si>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</si>
  <si>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</si>
  <si>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</si>
  <si>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</si>
  <si>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</si>
  <si>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</si>
  <si>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</si>
  <si>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</si>
  <si>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</si>
  <si>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</si>
  <si>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</si>
  <si>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</si>
  <si>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</si>
  <si>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</si>
  <si>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</si>
  <si>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</si>
  <si>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</si>
  <si>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</si>
  <si>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</si>
  <si>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</si>
  <si>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</si>
  <si>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</si>
  <si>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</si>
  <si>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</si>
  <si>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</si>
  <si>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</si>
  <si>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</si>
  <si>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</si>
  <si>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</si>
  <si>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</si>
  <si>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</si>
  <si>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</si>
  <si>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</si>
  <si>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</si>
  <si>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</si>
  <si>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</si>
  <si>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</si>
  <si>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</si>
  <si>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</si>
  <si>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</si>
  <si>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</si>
  <si>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</si>
  <si>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</si>
  <si>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</si>
  <si>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</si>
  <si>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</si>
  <si>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</si>
  <si>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</si>
  <si>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</si>
  <si>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</si>
  <si>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</si>
  <si>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</si>
  <si>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</si>
  <si>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</si>
  <si>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</si>
  <si>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</si>
  <si>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</si>
  <si>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</si>
  <si>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</si>
  <si>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</si>
  <si>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</si>
  <si>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</si>
  <si>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</si>
  <si>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</si>
  <si>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</si>
  <si>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</si>
  <si>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</si>
  <si>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</si>
  <si>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</si>
  <si>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</si>
  <si>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</si>
  <si>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</si>
  <si>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</si>
  <si>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</si>
  <si>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</si>
  <si>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</si>
  <si>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</si>
  <si>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</si>
  <si>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</si>
  <si>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</si>
  <si>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</si>
  <si>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</si>
  <si>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</si>
  <si>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</si>
  <si>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</si>
  <si>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</si>
  <si>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</si>
  <si>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</si>
  <si>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</si>
  <si>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</si>
  <si>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</si>
  <si>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</si>
  <si>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</si>
  <si>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</si>
  <si>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</si>
  <si>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</si>
  <si>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</si>
  <si>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</si>
  <si>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</si>
  <si>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</si>
  <si>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</si>
  <si>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</si>
  <si>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</si>
  <si>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183</t>
  </si>
  <si>
    <t>Auburn Medical Center</t>
  </si>
  <si>
    <t>Plaza One, 202 N. Division</t>
  </si>
  <si>
    <t>Auburn</t>
  </si>
  <si>
    <t>WA</t>
  </si>
  <si>
    <t>King</t>
  </si>
  <si>
    <t>Bill Robertson</t>
  </si>
  <si>
    <t>James Lee</t>
  </si>
  <si>
    <t>John Wiborg</t>
  </si>
  <si>
    <t>(253) 403-1000</t>
  </si>
  <si>
    <t>(253) 459-7859</t>
  </si>
  <si>
    <t>&lt;&lt; previous based on ED Visits</t>
  </si>
  <si>
    <t>dan.wickens@multicare.org</t>
  </si>
  <si>
    <t>Dan Wickens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</si>
</sst>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7" fontId="23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37" fontId="13" fillId="12" borderId="0" xfId="0" applyFont="1" applyFill="1"/>
    <xf numFmtId="37" fontId="15" fillId="8" borderId="1" xfId="0" quotePrefix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n.wickens@multicar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77" transitionEvaluation="1" transitionEntry="1" codeName="Sheet1">
    <tabColor rgb="FF92D050"/>
    <pageSetUpPr autoPageBreaks="0" fitToPage="1"/>
  </sheetPr>
  <dimension ref="A1:CG716"/>
  <sheetViews>
    <sheetView tabSelected="1" topLeftCell="A77" zoomScale="85" zoomScaleNormal="85" workbookViewId="0">
      <selection activeCell="C110" sqref="C110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5" width="4" style="333" bestFit="1" customWidth="1"/>
    <col min="86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22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5" x14ac:dyDescent="0.35">
      <c r="A33" s="18" t="s">
        <v>16</v>
      </c>
      <c r="B33" s="72"/>
      <c r="C33" s="72"/>
      <c r="D33" s="72"/>
    </row>
    <row r="34" spans="1:85" x14ac:dyDescent="0.35">
      <c r="A34" s="18" t="s">
        <v>17</v>
      </c>
      <c r="B34" s="71"/>
      <c r="C34" s="71"/>
      <c r="D34" s="71"/>
    </row>
    <row r="35" spans="1:85" x14ac:dyDescent="0.35">
      <c r="B35" s="71"/>
      <c r="C35" s="71"/>
      <c r="D35" s="71"/>
    </row>
    <row r="36" spans="1:85" x14ac:dyDescent="0.35">
      <c r="A36" s="323" t="s">
        <v>18</v>
      </c>
      <c r="B36" s="324"/>
      <c r="C36" s="325"/>
      <c r="D36" s="324"/>
      <c r="E36" s="324"/>
      <c r="F36" s="324"/>
      <c r="G36" s="324"/>
    </row>
    <row r="37" spans="1:85" x14ac:dyDescent="0.35">
      <c r="A37" s="326" t="s">
        <v>1342</v>
      </c>
      <c r="B37" s="327"/>
      <c r="C37" s="325"/>
      <c r="D37" s="324"/>
      <c r="E37" s="324"/>
      <c r="F37" s="324"/>
      <c r="G37" s="324"/>
    </row>
    <row r="38" spans="1:85" x14ac:dyDescent="0.35">
      <c r="A38" s="330" t="s">
        <v>1361</v>
      </c>
      <c r="B38" s="327"/>
      <c r="C38" s="325"/>
      <c r="D38" s="324"/>
      <c r="E38" s="324"/>
      <c r="F38" s="324"/>
      <c r="G38" s="324"/>
    </row>
    <row r="39" spans="1:85" x14ac:dyDescent="0.35">
      <c r="A39" s="329" t="s">
        <v>1343</v>
      </c>
      <c r="B39" s="324"/>
      <c r="C39" s="325"/>
      <c r="D39" s="324"/>
      <c r="E39" s="324"/>
      <c r="F39" s="324"/>
      <c r="G39" s="324"/>
    </row>
    <row r="40" spans="1:85" x14ac:dyDescent="0.35">
      <c r="A40" s="330" t="s">
        <v>1362</v>
      </c>
      <c r="B40" s="324"/>
      <c r="C40" s="325"/>
      <c r="D40" s="324"/>
      <c r="E40" s="324"/>
      <c r="F40" s="324"/>
      <c r="G40" s="324"/>
    </row>
    <row r="41" spans="1:85" x14ac:dyDescent="0.35">
      <c r="C41" s="17"/>
    </row>
    <row r="42" spans="1:85" x14ac:dyDescent="0.35">
      <c r="A42" s="12" t="s">
        <v>19</v>
      </c>
      <c r="C42" s="17"/>
      <c r="F42" s="19" t="s">
        <v>14</v>
      </c>
    </row>
    <row r="43" spans="1:85" x14ac:dyDescent="0.35">
      <c r="A43" s="19" t="s">
        <v>20</v>
      </c>
      <c r="C43" s="17"/>
    </row>
    <row r="44" spans="1:85" x14ac:dyDescent="0.35">
      <c r="A44" s="20"/>
      <c r="B44" s="20"/>
      <c r="C44" s="332">
        <v>6010</v>
      </c>
      <c r="D44" s="332">
        <v>6030</v>
      </c>
      <c r="E44" s="332">
        <v>6070</v>
      </c>
      <c r="F44" s="332">
        <v>6100</v>
      </c>
      <c r="G44" s="332">
        <v>6120</v>
      </c>
      <c r="H44" s="332">
        <v>6140</v>
      </c>
      <c r="I44" s="332">
        <v>6150</v>
      </c>
      <c r="J44" s="332">
        <v>6170</v>
      </c>
      <c r="K44" s="332">
        <v>6200</v>
      </c>
      <c r="L44" s="332">
        <v>6210</v>
      </c>
      <c r="M44" s="332">
        <v>6330</v>
      </c>
      <c r="N44" s="332">
        <v>6400</v>
      </c>
      <c r="O44" s="332">
        <v>7010</v>
      </c>
      <c r="P44" s="332">
        <v>7020</v>
      </c>
      <c r="Q44" s="332">
        <v>7030</v>
      </c>
      <c r="R44" s="332">
        <v>7040</v>
      </c>
      <c r="S44" s="332">
        <v>7050</v>
      </c>
      <c r="T44" s="332">
        <v>7060</v>
      </c>
      <c r="U44" s="332">
        <v>7070</v>
      </c>
      <c r="V44" s="332">
        <v>7110</v>
      </c>
      <c r="W44" s="332">
        <v>7120</v>
      </c>
      <c r="X44" s="332">
        <v>7130</v>
      </c>
      <c r="Y44" s="332">
        <v>7140</v>
      </c>
      <c r="Z44" s="332">
        <v>7150</v>
      </c>
      <c r="AA44" s="332">
        <v>7160</v>
      </c>
      <c r="AB44" s="332">
        <v>7170</v>
      </c>
      <c r="AC44" s="332">
        <v>7180</v>
      </c>
      <c r="AD44" s="332">
        <v>7190</v>
      </c>
      <c r="AE44" s="332">
        <v>7200</v>
      </c>
      <c r="AF44" s="332">
        <v>7220</v>
      </c>
      <c r="AG44" s="332">
        <v>7230</v>
      </c>
      <c r="AH44" s="332">
        <v>7240</v>
      </c>
      <c r="AI44" s="332">
        <v>7250</v>
      </c>
      <c r="AJ44" s="332">
        <v>7260</v>
      </c>
      <c r="AK44" s="332">
        <v>7310</v>
      </c>
      <c r="AL44" s="332">
        <v>7320</v>
      </c>
      <c r="AM44" s="332">
        <v>7330</v>
      </c>
      <c r="AN44" s="332">
        <v>7340</v>
      </c>
      <c r="AO44" s="332">
        <v>7350</v>
      </c>
      <c r="AP44" s="332">
        <v>7380</v>
      </c>
      <c r="AQ44" s="332">
        <v>7390</v>
      </c>
      <c r="AR44" s="332">
        <v>7400</v>
      </c>
      <c r="AS44" s="332">
        <v>7410</v>
      </c>
      <c r="AT44" s="332">
        <v>7420</v>
      </c>
      <c r="AU44" s="332">
        <v>7430</v>
      </c>
      <c r="AV44" s="332">
        <v>7490</v>
      </c>
      <c r="AW44" s="332">
        <v>8200</v>
      </c>
      <c r="AX44" s="332">
        <v>8310</v>
      </c>
      <c r="AY44" s="332">
        <v>8320</v>
      </c>
      <c r="AZ44" s="332">
        <v>8330</v>
      </c>
      <c r="BA44" s="332">
        <v>8350</v>
      </c>
      <c r="BB44" s="332">
        <v>8360</v>
      </c>
      <c r="BC44" s="332">
        <v>8370</v>
      </c>
      <c r="BD44" s="332">
        <v>8420</v>
      </c>
      <c r="BE44" s="332">
        <v>8430</v>
      </c>
      <c r="BF44" s="332">
        <v>8460</v>
      </c>
      <c r="BG44" s="332">
        <v>8470</v>
      </c>
      <c r="BH44" s="332">
        <v>8480</v>
      </c>
      <c r="BI44" s="332">
        <v>8490</v>
      </c>
      <c r="BJ44" s="332">
        <v>8510</v>
      </c>
      <c r="BK44" s="332">
        <v>8530</v>
      </c>
      <c r="BL44" s="332">
        <v>8560</v>
      </c>
      <c r="BM44" s="332">
        <v>8590</v>
      </c>
      <c r="BN44" s="332">
        <v>8610</v>
      </c>
      <c r="BO44" s="332">
        <v>8620</v>
      </c>
      <c r="BP44" s="332">
        <v>8630</v>
      </c>
      <c r="BQ44" s="332">
        <v>8640</v>
      </c>
      <c r="BR44" s="332">
        <v>8650</v>
      </c>
      <c r="BS44" s="332">
        <v>8660</v>
      </c>
      <c r="BT44" s="332">
        <v>8670</v>
      </c>
      <c r="BU44" s="332">
        <v>8680</v>
      </c>
      <c r="BV44" s="332">
        <v>8690</v>
      </c>
      <c r="BW44" s="332">
        <v>8700</v>
      </c>
      <c r="BX44" s="332">
        <v>8710</v>
      </c>
      <c r="BY44" s="332">
        <v>8720</v>
      </c>
      <c r="BZ44" s="332">
        <v>8730</v>
      </c>
      <c r="CA44" s="332">
        <v>8740</v>
      </c>
      <c r="CB44" s="332">
        <v>8770</v>
      </c>
      <c r="CC44" s="332">
        <v>8790</v>
      </c>
      <c r="CD44" s="22" t="s">
        <v>100</v>
      </c>
      <c r="CE44" s="332">
        <v>9999</v>
      </c>
    </row>
    <row r="45" spans="1:85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5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5" x14ac:dyDescent="0.35">
      <c r="A47" s="20" t="s">
        <v>216</v>
      </c>
      <c r="B47" s="312"/>
      <c r="C47" s="24">
        <v>1194300.53</v>
      </c>
      <c r="D47" s="24">
        <v>1136412.1700000002</v>
      </c>
      <c r="E47" s="24">
        <v>1441934.82</v>
      </c>
      <c r="F47" s="24">
        <v>0</v>
      </c>
      <c r="G47" s="24">
        <v>0</v>
      </c>
      <c r="H47" s="24">
        <v>2209726.5300000003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1077421.3700000001</v>
      </c>
      <c r="P47" s="24">
        <v>467805.86000000004</v>
      </c>
      <c r="Q47" s="24">
        <v>0</v>
      </c>
      <c r="R47" s="24">
        <v>214452.22999999998</v>
      </c>
      <c r="S47" s="24">
        <v>218526.44999999998</v>
      </c>
      <c r="T47" s="24">
        <v>0</v>
      </c>
      <c r="U47" s="24">
        <v>619633.26000000013</v>
      </c>
      <c r="V47" s="24">
        <v>0</v>
      </c>
      <c r="W47" s="24">
        <v>92770.889999999985</v>
      </c>
      <c r="X47" s="24">
        <v>222827.97</v>
      </c>
      <c r="Y47" s="24">
        <v>841652.29999999993</v>
      </c>
      <c r="Z47" s="24">
        <v>0</v>
      </c>
      <c r="AA47" s="24">
        <v>63822.38</v>
      </c>
      <c r="AB47" s="24">
        <v>903059.34</v>
      </c>
      <c r="AC47" s="24">
        <v>419556.85</v>
      </c>
      <c r="AD47" s="24">
        <v>0</v>
      </c>
      <c r="AE47" s="24">
        <v>0</v>
      </c>
      <c r="AF47" s="24">
        <v>0</v>
      </c>
      <c r="AG47" s="24">
        <v>1989854.46</v>
      </c>
      <c r="AH47" s="24">
        <v>0</v>
      </c>
      <c r="AI47" s="24">
        <v>222613.09</v>
      </c>
      <c r="AJ47" s="24">
        <v>238585.83000000002</v>
      </c>
      <c r="AK47" s="24">
        <v>4004.26</v>
      </c>
      <c r="AL47" s="24">
        <v>0</v>
      </c>
      <c r="AM47" s="24">
        <v>0</v>
      </c>
      <c r="AN47" s="24">
        <v>0</v>
      </c>
      <c r="AO47" s="24">
        <v>1.0999999999999901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1128876.93</v>
      </c>
      <c r="AW47" s="24">
        <v>507547.77999999997</v>
      </c>
      <c r="AX47" s="24">
        <v>0</v>
      </c>
      <c r="AY47" s="24">
        <v>641007.07999999996</v>
      </c>
      <c r="AZ47" s="24">
        <v>0</v>
      </c>
      <c r="BA47" s="24">
        <v>24792.3</v>
      </c>
      <c r="BB47" s="24">
        <v>248400.62000000002</v>
      </c>
      <c r="BC47" s="24">
        <v>126712.26999999999</v>
      </c>
      <c r="BD47" s="24">
        <v>214250.02</v>
      </c>
      <c r="BE47" s="24">
        <v>275501.59999999998</v>
      </c>
      <c r="BF47" s="24">
        <v>700595.75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320617.10000000003</v>
      </c>
      <c r="BM47" s="24">
        <v>0</v>
      </c>
      <c r="BN47" s="24">
        <v>483862.48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225185.62</v>
      </c>
      <c r="BY47" s="24">
        <v>128798.84</v>
      </c>
      <c r="BZ47" s="24">
        <v>97833.09</v>
      </c>
      <c r="CA47" s="24">
        <v>0</v>
      </c>
      <c r="CB47" s="24">
        <v>0</v>
      </c>
      <c r="CC47" s="24">
        <f>879880.34</f>
        <v>879880.34</v>
      </c>
      <c r="CD47" s="20"/>
      <c r="CE47" s="32">
        <f>SUM(C47:CC47)</f>
        <v>19582823.510000002</v>
      </c>
      <c r="CF47" s="12">
        <f>C390</f>
        <v>19582823.510000002</v>
      </c>
      <c r="CG47" s="333">
        <f>CF47-CE47</f>
        <v>0</v>
      </c>
    </row>
    <row r="48" spans="1:85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5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5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5" x14ac:dyDescent="0.35">
      <c r="A51" s="26" t="s">
        <v>219</v>
      </c>
      <c r="B51" s="24"/>
      <c r="C51" s="24">
        <v>204606.37000000002</v>
      </c>
      <c r="D51" s="24">
        <v>231179.36000000002</v>
      </c>
      <c r="E51" s="24">
        <v>349681.17999999993</v>
      </c>
      <c r="F51" s="24">
        <v>0</v>
      </c>
      <c r="G51" s="24">
        <v>0</v>
      </c>
      <c r="H51" s="24">
        <v>302692.67999999988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365269.95</v>
      </c>
      <c r="P51" s="24">
        <v>701671.22</v>
      </c>
      <c r="Q51" s="24">
        <v>0</v>
      </c>
      <c r="R51" s="24">
        <v>88890.48000000001</v>
      </c>
      <c r="S51" s="24">
        <v>119550.13</v>
      </c>
      <c r="T51" s="24">
        <v>0</v>
      </c>
      <c r="U51" s="24">
        <v>96384.48</v>
      </c>
      <c r="V51" s="24">
        <v>0</v>
      </c>
      <c r="W51" s="24">
        <v>17887.719999999998</v>
      </c>
      <c r="X51" s="24">
        <v>274212.91000000003</v>
      </c>
      <c r="Y51" s="24">
        <v>623338.74</v>
      </c>
      <c r="Z51" s="24">
        <v>0</v>
      </c>
      <c r="AA51" s="24">
        <v>51527.039999999994</v>
      </c>
      <c r="AB51" s="24">
        <v>62213.66</v>
      </c>
      <c r="AC51" s="24">
        <v>74700.260000000009</v>
      </c>
      <c r="AD51" s="24">
        <v>3457.2099999999996</v>
      </c>
      <c r="AE51" s="24">
        <v>0</v>
      </c>
      <c r="AF51" s="24">
        <v>0</v>
      </c>
      <c r="AG51" s="24">
        <v>499989.02</v>
      </c>
      <c r="AH51" s="24">
        <v>0</v>
      </c>
      <c r="AI51" s="24">
        <v>17753.39</v>
      </c>
      <c r="AJ51" s="24">
        <v>58002.340000000011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251179.87000000002</v>
      </c>
      <c r="AW51" s="24">
        <v>0</v>
      </c>
      <c r="AX51" s="24">
        <v>0</v>
      </c>
      <c r="AY51" s="24">
        <v>120659.93000000001</v>
      </c>
      <c r="AZ51" s="24">
        <v>0</v>
      </c>
      <c r="BA51" s="24">
        <v>0</v>
      </c>
      <c r="BB51" s="24">
        <v>0</v>
      </c>
      <c r="BC51" s="24">
        <v>20808.939999999999</v>
      </c>
      <c r="BD51" s="24">
        <v>19251.310000000001</v>
      </c>
      <c r="BE51" s="24">
        <v>835398.31</v>
      </c>
      <c r="BF51" s="24">
        <v>41022.550000000003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1359.0899999999997</v>
      </c>
      <c r="BM51" s="24">
        <v>0</v>
      </c>
      <c r="BN51" s="24">
        <v>266221.44000000006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2806.56</v>
      </c>
      <c r="BY51" s="24">
        <v>45963.61</v>
      </c>
      <c r="BZ51" s="24">
        <v>2033.7499999999998</v>
      </c>
      <c r="CA51" s="24">
        <v>0</v>
      </c>
      <c r="CB51" s="24">
        <v>0</v>
      </c>
      <c r="CC51" s="24">
        <v>117417.1099999999</v>
      </c>
      <c r="CD51" s="20"/>
      <c r="CE51" s="32">
        <f>SUM(C51:CD51)</f>
        <v>5867130.6100000003</v>
      </c>
    </row>
    <row r="52" spans="1:85" x14ac:dyDescent="0.3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5" x14ac:dyDescent="0.35">
      <c r="A53" s="20" t="s">
        <v>218</v>
      </c>
      <c r="B53" s="32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5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5" x14ac:dyDescent="0.35">
      <c r="A55" s="26" t="s">
        <v>221</v>
      </c>
      <c r="B55" s="20"/>
      <c r="C55" s="332">
        <v>6010</v>
      </c>
      <c r="D55" s="332">
        <v>6030</v>
      </c>
      <c r="E55" s="332">
        <v>6070</v>
      </c>
      <c r="F55" s="332">
        <v>6100</v>
      </c>
      <c r="G55" s="332">
        <v>6120</v>
      </c>
      <c r="H55" s="332">
        <v>6140</v>
      </c>
      <c r="I55" s="332">
        <v>6150</v>
      </c>
      <c r="J55" s="332">
        <v>6170</v>
      </c>
      <c r="K55" s="332">
        <v>6200</v>
      </c>
      <c r="L55" s="332">
        <v>6210</v>
      </c>
      <c r="M55" s="332">
        <v>6330</v>
      </c>
      <c r="N55" s="332">
        <v>6400</v>
      </c>
      <c r="O55" s="332">
        <v>7010</v>
      </c>
      <c r="P55" s="332">
        <v>7020</v>
      </c>
      <c r="Q55" s="332">
        <v>7030</v>
      </c>
      <c r="R55" s="332">
        <v>7040</v>
      </c>
      <c r="S55" s="332">
        <v>7050</v>
      </c>
      <c r="T55" s="332">
        <v>7060</v>
      </c>
      <c r="U55" s="332">
        <v>7070</v>
      </c>
      <c r="V55" s="332">
        <v>7110</v>
      </c>
      <c r="W55" s="332">
        <v>7120</v>
      </c>
      <c r="X55" s="332">
        <v>7130</v>
      </c>
      <c r="Y55" s="332">
        <v>7140</v>
      </c>
      <c r="Z55" s="332">
        <v>7150</v>
      </c>
      <c r="AA55" s="332">
        <v>7160</v>
      </c>
      <c r="AB55" s="332">
        <v>7170</v>
      </c>
      <c r="AC55" s="332">
        <v>7180</v>
      </c>
      <c r="AD55" s="332">
        <v>7190</v>
      </c>
      <c r="AE55" s="332">
        <v>7200</v>
      </c>
      <c r="AF55" s="332">
        <v>7220</v>
      </c>
      <c r="AG55" s="332">
        <v>7230</v>
      </c>
      <c r="AH55" s="332">
        <v>7240</v>
      </c>
      <c r="AI55" s="332">
        <v>7250</v>
      </c>
      <c r="AJ55" s="332">
        <v>7260</v>
      </c>
      <c r="AK55" s="332">
        <v>7310</v>
      </c>
      <c r="AL55" s="332">
        <v>7320</v>
      </c>
      <c r="AM55" s="332">
        <v>7330</v>
      </c>
      <c r="AN55" s="332">
        <v>7340</v>
      </c>
      <c r="AO55" s="332">
        <v>7350</v>
      </c>
      <c r="AP55" s="332">
        <v>7380</v>
      </c>
      <c r="AQ55" s="332">
        <v>7390</v>
      </c>
      <c r="AR55" s="332">
        <v>7400</v>
      </c>
      <c r="AS55" s="332">
        <v>7410</v>
      </c>
      <c r="AT55" s="332">
        <v>7420</v>
      </c>
      <c r="AU55" s="332">
        <v>7430</v>
      </c>
      <c r="AV55" s="332">
        <v>7490</v>
      </c>
      <c r="AW55" s="332">
        <v>8200</v>
      </c>
      <c r="AX55" s="332">
        <v>8310</v>
      </c>
      <c r="AY55" s="332">
        <v>8320</v>
      </c>
      <c r="AZ55" s="332">
        <v>8330</v>
      </c>
      <c r="BA55" s="332">
        <v>8350</v>
      </c>
      <c r="BB55" s="332">
        <v>8360</v>
      </c>
      <c r="BC55" s="332">
        <v>8370</v>
      </c>
      <c r="BD55" s="332">
        <v>8420</v>
      </c>
      <c r="BE55" s="332">
        <v>8430</v>
      </c>
      <c r="BF55" s="332">
        <v>8460</v>
      </c>
      <c r="BG55" s="332">
        <v>8470</v>
      </c>
      <c r="BH55" s="332">
        <v>8480</v>
      </c>
      <c r="BI55" s="332">
        <v>8490</v>
      </c>
      <c r="BJ55" s="332">
        <v>8510</v>
      </c>
      <c r="BK55" s="332">
        <v>8530</v>
      </c>
      <c r="BL55" s="332">
        <v>8560</v>
      </c>
      <c r="BM55" s="332">
        <v>8590</v>
      </c>
      <c r="BN55" s="332">
        <v>8610</v>
      </c>
      <c r="BO55" s="332">
        <v>8620</v>
      </c>
      <c r="BP55" s="332">
        <v>8630</v>
      </c>
      <c r="BQ55" s="332">
        <v>8640</v>
      </c>
      <c r="BR55" s="332">
        <v>8650</v>
      </c>
      <c r="BS55" s="332">
        <v>8660</v>
      </c>
      <c r="BT55" s="332">
        <v>8670</v>
      </c>
      <c r="BU55" s="332">
        <v>8680</v>
      </c>
      <c r="BV55" s="332">
        <v>8690</v>
      </c>
      <c r="BW55" s="332">
        <v>8700</v>
      </c>
      <c r="BX55" s="332">
        <v>8710</v>
      </c>
      <c r="BY55" s="332">
        <v>8720</v>
      </c>
      <c r="BZ55" s="332">
        <v>8730</v>
      </c>
      <c r="CA55" s="332">
        <v>8740</v>
      </c>
      <c r="CB55" s="332">
        <v>8770</v>
      </c>
      <c r="CC55" s="332">
        <v>8790</v>
      </c>
      <c r="CD55" s="22" t="s">
        <v>100</v>
      </c>
      <c r="CE55" s="332">
        <v>9999</v>
      </c>
    </row>
    <row r="56" spans="1:85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5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5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5" x14ac:dyDescent="0.35">
      <c r="A59" s="39" t="s">
        <v>246</v>
      </c>
      <c r="B59" s="32"/>
      <c r="C59" s="24">
        <v>6075</v>
      </c>
      <c r="D59" s="24">
        <v>11162</v>
      </c>
      <c r="E59" s="24">
        <v>10696</v>
      </c>
      <c r="F59" s="24">
        <v>0</v>
      </c>
      <c r="G59" s="24">
        <v>0</v>
      </c>
      <c r="H59" s="24">
        <v>15872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548100</v>
      </c>
      <c r="Q59" s="24">
        <v>0</v>
      </c>
      <c r="R59" s="24">
        <v>331605</v>
      </c>
      <c r="S59" s="314"/>
      <c r="T59" s="314"/>
      <c r="U59" s="24">
        <v>0</v>
      </c>
      <c r="V59" s="24">
        <v>18381</v>
      </c>
      <c r="W59" s="24">
        <v>24316.78</v>
      </c>
      <c r="X59" s="24">
        <v>135207.47</v>
      </c>
      <c r="Y59" s="24">
        <v>96741.560000000012</v>
      </c>
      <c r="Z59" s="24">
        <v>0</v>
      </c>
      <c r="AA59" s="24">
        <v>14274.71</v>
      </c>
      <c r="AB59" s="314"/>
      <c r="AC59" s="24">
        <v>63683.73000000001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726405.00000000012</v>
      </c>
      <c r="AJ59" s="24">
        <v>14269</v>
      </c>
      <c r="AK59" s="24">
        <v>824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77807</v>
      </c>
      <c r="AW59" s="314"/>
      <c r="AX59" s="314"/>
      <c r="AY59" s="30">
        <v>160041</v>
      </c>
      <c r="AZ59" s="30"/>
      <c r="BA59" s="314"/>
      <c r="BB59" s="314"/>
      <c r="BC59" s="314"/>
      <c r="BD59" s="314"/>
      <c r="BE59" s="30">
        <v>218918.75999999998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  <c r="CF59" s="12">
        <f>SUM(C59:CD59)</f>
        <v>2474380.0099999998</v>
      </c>
    </row>
    <row r="60" spans="1:85" s="225" customFormat="1" x14ac:dyDescent="0.35">
      <c r="A60" s="241" t="s">
        <v>247</v>
      </c>
      <c r="B60" s="242"/>
      <c r="C60" s="24">
        <v>58.588782183754965</v>
      </c>
      <c r="D60" s="24">
        <v>70.160021908197265</v>
      </c>
      <c r="E60" s="24">
        <v>60.687099306755201</v>
      </c>
      <c r="F60" s="24">
        <v>0</v>
      </c>
      <c r="G60" s="24">
        <v>0</v>
      </c>
      <c r="H60" s="24">
        <v>93.629348617311052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48.58386437690632</v>
      </c>
      <c r="P60" s="24">
        <v>22.737663695515394</v>
      </c>
      <c r="Q60" s="24">
        <v>0</v>
      </c>
      <c r="R60" s="24">
        <v>9.9273328753524233</v>
      </c>
      <c r="S60" s="24">
        <v>10.348382875294742</v>
      </c>
      <c r="T60" s="24">
        <v>0</v>
      </c>
      <c r="U60" s="24">
        <v>29.405091776793824</v>
      </c>
      <c r="V60" s="24">
        <v>0</v>
      </c>
      <c r="W60" s="24">
        <v>3.227546574900336</v>
      </c>
      <c r="X60" s="24">
        <v>8.1602883550465357</v>
      </c>
      <c r="Y60" s="24">
        <v>33.731643146064165</v>
      </c>
      <c r="Z60" s="24">
        <v>0</v>
      </c>
      <c r="AA60" s="24">
        <v>2.3375972599537542</v>
      </c>
      <c r="AB60" s="24">
        <v>34.542511639103765</v>
      </c>
      <c r="AC60" s="24">
        <v>17.823596572900879</v>
      </c>
      <c r="AD60" s="24">
        <v>0</v>
      </c>
      <c r="AE60" s="24">
        <v>0</v>
      </c>
      <c r="AF60" s="24">
        <v>0</v>
      </c>
      <c r="AG60" s="24">
        <v>121.58053080526295</v>
      </c>
      <c r="AH60" s="24">
        <v>0</v>
      </c>
      <c r="AI60" s="24">
        <v>10.023160957531074</v>
      </c>
      <c r="AJ60" s="24">
        <v>9.156613697375807</v>
      </c>
      <c r="AK60" s="24">
        <v>0.15931712326584696</v>
      </c>
      <c r="AL60" s="24">
        <v>0</v>
      </c>
      <c r="AM60" s="24">
        <v>0</v>
      </c>
      <c r="AN60" s="24">
        <v>0</v>
      </c>
      <c r="AO60" s="24">
        <v>3.5958904104663116E-4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43.788917117289188</v>
      </c>
      <c r="AW60" s="24">
        <v>27.637452735940077</v>
      </c>
      <c r="AX60" s="24">
        <v>0</v>
      </c>
      <c r="AY60" s="24">
        <v>29.647392461692139</v>
      </c>
      <c r="AZ60" s="24">
        <v>0</v>
      </c>
      <c r="BA60" s="24">
        <v>1.1951205477814903</v>
      </c>
      <c r="BB60" s="24">
        <v>9.6517294507326401</v>
      </c>
      <c r="BC60" s="24">
        <v>6.2025657525749915</v>
      </c>
      <c r="BD60" s="24">
        <v>10.179735615043873</v>
      </c>
      <c r="BE60" s="24">
        <v>10.729307532776806</v>
      </c>
      <c r="BF60" s="24">
        <v>33.798440406328986</v>
      </c>
      <c r="BG60" s="24">
        <v>0</v>
      </c>
      <c r="BH60" s="24">
        <v>0</v>
      </c>
      <c r="BI60" s="24">
        <v>0</v>
      </c>
      <c r="BJ60" s="24">
        <v>0</v>
      </c>
      <c r="BK60" s="24">
        <v>0</v>
      </c>
      <c r="BL60" s="24">
        <v>14.817422600709943</v>
      </c>
      <c r="BM60" s="24">
        <v>0</v>
      </c>
      <c r="BN60" s="24">
        <v>12.510745203765653</v>
      </c>
      <c r="BO60" s="24">
        <v>0</v>
      </c>
      <c r="BP60" s="24">
        <v>0</v>
      </c>
      <c r="BQ60" s="24">
        <v>0</v>
      </c>
      <c r="BR60" s="24">
        <v>0</v>
      </c>
      <c r="BS60" s="24">
        <v>0</v>
      </c>
      <c r="BT60" s="24">
        <v>0</v>
      </c>
      <c r="BU60" s="24">
        <v>0</v>
      </c>
      <c r="BV60" s="24">
        <v>0</v>
      </c>
      <c r="BW60" s="24">
        <v>0</v>
      </c>
      <c r="BX60" s="24">
        <v>11.101089039575195</v>
      </c>
      <c r="BY60" s="24">
        <v>5.7065006841497947</v>
      </c>
      <c r="BZ60" s="24">
        <v>4.6107609582724987</v>
      </c>
      <c r="CA60" s="24">
        <v>0</v>
      </c>
      <c r="CB60" s="24">
        <v>0</v>
      </c>
      <c r="CC60" s="24">
        <v>35.743352049898171</v>
      </c>
      <c r="CD60" s="247" t="s">
        <v>233</v>
      </c>
      <c r="CE60" s="268">
        <f t="shared" ref="CE60:CE68" si="4">SUM(C60:CD60)</f>
        <v>902.13128549285886</v>
      </c>
      <c r="CG60" s="333"/>
    </row>
    <row r="61" spans="1:85" x14ac:dyDescent="0.35">
      <c r="A61" s="39" t="s">
        <v>248</v>
      </c>
      <c r="B61" s="20"/>
      <c r="C61" s="24">
        <v>10458573.790000001</v>
      </c>
      <c r="D61" s="24">
        <v>11886950.09</v>
      </c>
      <c r="E61" s="24">
        <v>7093091.5899999999</v>
      </c>
      <c r="F61" s="24">
        <v>0</v>
      </c>
      <c r="G61" s="24">
        <v>0</v>
      </c>
      <c r="H61" s="24">
        <v>10513975.359999999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7209916.4299999997</v>
      </c>
      <c r="P61" s="24">
        <v>3128395.11</v>
      </c>
      <c r="Q61" s="24">
        <v>0</v>
      </c>
      <c r="R61" s="24">
        <v>1976402.5699999996</v>
      </c>
      <c r="S61" s="24">
        <v>797064.95000000007</v>
      </c>
      <c r="T61" s="24">
        <v>0</v>
      </c>
      <c r="U61" s="24">
        <v>3039372.43</v>
      </c>
      <c r="V61" s="24">
        <v>0</v>
      </c>
      <c r="W61" s="24">
        <v>458655.66000000003</v>
      </c>
      <c r="X61" s="24">
        <v>1075136.67</v>
      </c>
      <c r="Y61" s="24">
        <v>3862427.13</v>
      </c>
      <c r="Z61" s="24">
        <v>0</v>
      </c>
      <c r="AA61" s="24">
        <v>320983.24000000005</v>
      </c>
      <c r="AB61" s="24">
        <v>4225319.3100000005</v>
      </c>
      <c r="AC61" s="24">
        <v>2245816.75</v>
      </c>
      <c r="AD61" s="24">
        <v>0</v>
      </c>
      <c r="AE61" s="24">
        <v>0</v>
      </c>
      <c r="AF61" s="24">
        <v>0</v>
      </c>
      <c r="AG61" s="24">
        <v>20772906.700000003</v>
      </c>
      <c r="AH61" s="24">
        <v>0</v>
      </c>
      <c r="AI61" s="24">
        <v>1481880.7500000002</v>
      </c>
      <c r="AJ61" s="24">
        <v>1033863.6800000001</v>
      </c>
      <c r="AK61" s="24">
        <v>4670.1399999999994</v>
      </c>
      <c r="AL61" s="24">
        <v>0</v>
      </c>
      <c r="AM61" s="24">
        <v>0</v>
      </c>
      <c r="AN61" s="24">
        <v>0</v>
      </c>
      <c r="AO61" s="24">
        <v>114.33999999999995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6170700.8199999994</v>
      </c>
      <c r="AW61" s="24">
        <v>3484767.7699999996</v>
      </c>
      <c r="AX61" s="24">
        <v>0</v>
      </c>
      <c r="AY61" s="24">
        <v>1838131.5500000003</v>
      </c>
      <c r="AZ61" s="24">
        <v>0</v>
      </c>
      <c r="BA61" s="24">
        <v>52018.31</v>
      </c>
      <c r="BB61" s="24">
        <v>1066103.53</v>
      </c>
      <c r="BC61" s="24">
        <v>288727.34000000003</v>
      </c>
      <c r="BD61" s="24">
        <v>553796.97999999986</v>
      </c>
      <c r="BE61" s="24">
        <v>1146557.3</v>
      </c>
      <c r="BF61" s="24">
        <v>1967209.26</v>
      </c>
      <c r="BG61" s="24">
        <v>0</v>
      </c>
      <c r="BH61" s="24">
        <v>0</v>
      </c>
      <c r="BI61" s="24">
        <v>0</v>
      </c>
      <c r="BJ61" s="24">
        <v>0</v>
      </c>
      <c r="BK61" s="24">
        <v>0</v>
      </c>
      <c r="BL61" s="24">
        <v>874601.48</v>
      </c>
      <c r="BM61" s="24">
        <v>0</v>
      </c>
      <c r="BN61" s="24">
        <v>2760138.9499999997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4">
        <v>0</v>
      </c>
      <c r="BX61" s="24">
        <v>1625844.1999999997</v>
      </c>
      <c r="BY61" s="24">
        <v>830535.61</v>
      </c>
      <c r="BZ61" s="24">
        <v>746895.7699999999</v>
      </c>
      <c r="CA61" s="24">
        <v>0</v>
      </c>
      <c r="CB61" s="24">
        <v>0</v>
      </c>
      <c r="CC61" s="24">
        <v>5052587.83</v>
      </c>
      <c r="CD61" s="29" t="s">
        <v>233</v>
      </c>
      <c r="CE61" s="32">
        <f t="shared" si="4"/>
        <v>120044133.39000003</v>
      </c>
      <c r="CF61" s="12">
        <f>C389</f>
        <v>120044133.39000003</v>
      </c>
      <c r="CG61" s="333">
        <f>CF61-CE61</f>
        <v>0</v>
      </c>
    </row>
    <row r="62" spans="1:85" x14ac:dyDescent="0.35">
      <c r="A62" s="39" t="s">
        <v>9</v>
      </c>
      <c r="B62" s="20"/>
      <c r="C62" s="32">
        <f>ROUND(C47+C48,0)</f>
        <v>1194301</v>
      </c>
      <c r="D62" s="32">
        <f t="shared" ref="D62:BO62" si="5">ROUND(D47+D48,0)</f>
        <v>1136412</v>
      </c>
      <c r="E62" s="32">
        <f t="shared" si="5"/>
        <v>1441935</v>
      </c>
      <c r="F62" s="32">
        <f t="shared" si="5"/>
        <v>0</v>
      </c>
      <c r="G62" s="32">
        <f t="shared" si="5"/>
        <v>0</v>
      </c>
      <c r="H62" s="32">
        <f t="shared" si="5"/>
        <v>2209727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1077421</v>
      </c>
      <c r="P62" s="32">
        <f t="shared" si="5"/>
        <v>467806</v>
      </c>
      <c r="Q62" s="32">
        <f t="shared" si="5"/>
        <v>0</v>
      </c>
      <c r="R62" s="32">
        <f t="shared" si="5"/>
        <v>214452</v>
      </c>
      <c r="S62" s="32">
        <f t="shared" si="5"/>
        <v>218526</v>
      </c>
      <c r="T62" s="32">
        <f t="shared" si="5"/>
        <v>0</v>
      </c>
      <c r="U62" s="32">
        <f t="shared" si="5"/>
        <v>619633</v>
      </c>
      <c r="V62" s="32">
        <f t="shared" si="5"/>
        <v>0</v>
      </c>
      <c r="W62" s="32">
        <f t="shared" si="5"/>
        <v>92771</v>
      </c>
      <c r="X62" s="32">
        <f t="shared" si="5"/>
        <v>222828</v>
      </c>
      <c r="Y62" s="32">
        <f t="shared" si="5"/>
        <v>841652</v>
      </c>
      <c r="Z62" s="32">
        <f t="shared" si="5"/>
        <v>0</v>
      </c>
      <c r="AA62" s="32">
        <f t="shared" si="5"/>
        <v>63822</v>
      </c>
      <c r="AB62" s="32">
        <f t="shared" si="5"/>
        <v>903059</v>
      </c>
      <c r="AC62" s="32">
        <f t="shared" si="5"/>
        <v>419557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1989854</v>
      </c>
      <c r="AH62" s="32">
        <f t="shared" si="5"/>
        <v>0</v>
      </c>
      <c r="AI62" s="32">
        <f t="shared" si="5"/>
        <v>222613</v>
      </c>
      <c r="AJ62" s="32">
        <f t="shared" si="5"/>
        <v>238586</v>
      </c>
      <c r="AK62" s="32">
        <f t="shared" si="5"/>
        <v>4004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1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1128877</v>
      </c>
      <c r="AW62" s="32">
        <f t="shared" si="5"/>
        <v>507548</v>
      </c>
      <c r="AX62" s="32">
        <f t="shared" si="5"/>
        <v>0</v>
      </c>
      <c r="AY62" s="32">
        <f t="shared" si="5"/>
        <v>641007</v>
      </c>
      <c r="AZ62" s="32">
        <f t="shared" si="5"/>
        <v>0</v>
      </c>
      <c r="BA62" s="32">
        <f t="shared" si="5"/>
        <v>24792</v>
      </c>
      <c r="BB62" s="32">
        <f t="shared" si="5"/>
        <v>248401</v>
      </c>
      <c r="BC62" s="32">
        <f t="shared" si="5"/>
        <v>126712</v>
      </c>
      <c r="BD62" s="32">
        <f t="shared" si="5"/>
        <v>214250</v>
      </c>
      <c r="BE62" s="32">
        <f t="shared" si="5"/>
        <v>275502</v>
      </c>
      <c r="BF62" s="32">
        <f t="shared" si="5"/>
        <v>700596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320617</v>
      </c>
      <c r="BM62" s="32">
        <f t="shared" si="5"/>
        <v>0</v>
      </c>
      <c r="BN62" s="32">
        <f t="shared" si="5"/>
        <v>483862</v>
      </c>
      <c r="BO62" s="32">
        <f t="shared" si="5"/>
        <v>0</v>
      </c>
      <c r="BP62" s="32">
        <f t="shared" ref="BP62:CB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225186</v>
      </c>
      <c r="BY62" s="32">
        <f t="shared" si="6"/>
        <v>128799</v>
      </c>
      <c r="BZ62" s="32">
        <f t="shared" si="6"/>
        <v>97833</v>
      </c>
      <c r="CA62" s="32">
        <f t="shared" si="6"/>
        <v>0</v>
      </c>
      <c r="CB62" s="32">
        <f t="shared" si="6"/>
        <v>0</v>
      </c>
      <c r="CC62" s="334">
        <f>ROUND(CC47+CC48,0)+1.51</f>
        <v>879881.51</v>
      </c>
      <c r="CD62" s="29" t="s">
        <v>233</v>
      </c>
      <c r="CE62" s="32">
        <f t="shared" si="4"/>
        <v>19582823.510000002</v>
      </c>
      <c r="CF62" s="12">
        <f t="shared" ref="CF62:CF66" si="7">C390</f>
        <v>19582823.510000002</v>
      </c>
      <c r="CG62" s="333">
        <f t="shared" ref="CG62:CG68" si="8">CF62-CE62</f>
        <v>0</v>
      </c>
    </row>
    <row r="63" spans="1:85" x14ac:dyDescent="0.35">
      <c r="A63" s="39" t="s">
        <v>249</v>
      </c>
      <c r="B63" s="20"/>
      <c r="C63" s="24">
        <v>696803.55</v>
      </c>
      <c r="D63" s="24">
        <v>4500</v>
      </c>
      <c r="E63" s="24">
        <v>3000</v>
      </c>
      <c r="F63" s="24">
        <v>0</v>
      </c>
      <c r="G63" s="24">
        <v>0</v>
      </c>
      <c r="H63" s="24">
        <v>1282778.3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42450</v>
      </c>
      <c r="P63" s="24">
        <v>0</v>
      </c>
      <c r="Q63" s="24">
        <v>0</v>
      </c>
      <c r="R63" s="24">
        <v>34064</v>
      </c>
      <c r="S63" s="24">
        <v>0</v>
      </c>
      <c r="T63" s="24">
        <v>0</v>
      </c>
      <c r="U63" s="24">
        <v>11235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279671.51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1126382.8699999999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2263214.2099999995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22193.42</v>
      </c>
      <c r="BY63" s="24">
        <v>164264.85999999996</v>
      </c>
      <c r="BZ63" s="24">
        <v>0</v>
      </c>
      <c r="CA63" s="24">
        <v>0</v>
      </c>
      <c r="CB63" s="24">
        <v>0</v>
      </c>
      <c r="CC63" s="24">
        <v>6777770.6400000006</v>
      </c>
      <c r="CD63" s="29" t="s">
        <v>233</v>
      </c>
      <c r="CE63" s="32">
        <f t="shared" si="4"/>
        <v>12708328.359999999</v>
      </c>
      <c r="CF63" s="12">
        <f t="shared" si="7"/>
        <v>12708328.359999999</v>
      </c>
      <c r="CG63" s="333">
        <f t="shared" si="8"/>
        <v>0</v>
      </c>
    </row>
    <row r="64" spans="1:85" x14ac:dyDescent="0.35">
      <c r="A64" s="39" t="s">
        <v>250</v>
      </c>
      <c r="B64" s="20"/>
      <c r="C64" s="24">
        <v>1038260.8</v>
      </c>
      <c r="D64" s="24">
        <v>911489.89</v>
      </c>
      <c r="E64" s="24">
        <v>843507.22000000009</v>
      </c>
      <c r="F64" s="24">
        <v>0</v>
      </c>
      <c r="G64" s="24">
        <v>0</v>
      </c>
      <c r="H64" s="24">
        <v>254982.52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779280.07</v>
      </c>
      <c r="P64" s="24">
        <v>8612189.2799999993</v>
      </c>
      <c r="Q64" s="24">
        <v>0</v>
      </c>
      <c r="R64" s="24">
        <v>41494.74</v>
      </c>
      <c r="S64" s="24">
        <v>202458.59999999998</v>
      </c>
      <c r="T64" s="24">
        <v>0</v>
      </c>
      <c r="U64" s="24">
        <v>1461789.6199999999</v>
      </c>
      <c r="V64" s="24">
        <v>19894.96</v>
      </c>
      <c r="W64" s="24">
        <v>46779.510000000009</v>
      </c>
      <c r="X64" s="24">
        <v>255516.24</v>
      </c>
      <c r="Y64" s="24">
        <v>3290435.4299999997</v>
      </c>
      <c r="Z64" s="24">
        <v>883.92</v>
      </c>
      <c r="AA64" s="24">
        <v>200969.8</v>
      </c>
      <c r="AB64" s="24">
        <v>5341159</v>
      </c>
      <c r="AC64" s="24">
        <v>222573.34000000003</v>
      </c>
      <c r="AD64" s="24">
        <v>0</v>
      </c>
      <c r="AE64" s="24">
        <v>0</v>
      </c>
      <c r="AF64" s="24">
        <v>0</v>
      </c>
      <c r="AG64" s="24">
        <v>1915983.96</v>
      </c>
      <c r="AH64" s="24">
        <v>0</v>
      </c>
      <c r="AI64" s="24">
        <v>236782.60000000003</v>
      </c>
      <c r="AJ64" s="24">
        <v>135435.49</v>
      </c>
      <c r="AK64" s="24">
        <v>200.77</v>
      </c>
      <c r="AL64" s="24">
        <v>0</v>
      </c>
      <c r="AM64" s="24">
        <v>0</v>
      </c>
      <c r="AN64" s="24">
        <v>0</v>
      </c>
      <c r="AO64" s="24">
        <v>-4.5499999999999998E-13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641509.99</v>
      </c>
      <c r="AW64" s="24">
        <v>0</v>
      </c>
      <c r="AX64" s="24">
        <v>0</v>
      </c>
      <c r="AY64" s="24">
        <v>640467.05999999994</v>
      </c>
      <c r="AZ64" s="24">
        <v>0</v>
      </c>
      <c r="BA64" s="24">
        <v>0</v>
      </c>
      <c r="BB64" s="24">
        <v>0</v>
      </c>
      <c r="BC64" s="24">
        <v>4034.7699999999995</v>
      </c>
      <c r="BD64" s="24">
        <v>-244.20000000000482</v>
      </c>
      <c r="BE64" s="24">
        <v>10036.959999999999</v>
      </c>
      <c r="BF64" s="24">
        <v>150957.53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32484.83</v>
      </c>
      <c r="BM64" s="24">
        <v>0</v>
      </c>
      <c r="BN64" s="24">
        <v>75172.22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5224.55</v>
      </c>
      <c r="BY64" s="24">
        <v>2874.3399999999983</v>
      </c>
      <c r="BZ64" s="24">
        <v>259.49999999999994</v>
      </c>
      <c r="CA64" s="24">
        <v>0</v>
      </c>
      <c r="CB64" s="24">
        <v>0</v>
      </c>
      <c r="CC64" s="24">
        <v>781241.51</v>
      </c>
      <c r="CD64" s="29" t="s">
        <v>233</v>
      </c>
      <c r="CE64" s="32">
        <f t="shared" si="4"/>
        <v>28156086.82</v>
      </c>
      <c r="CF64" s="12">
        <f t="shared" si="7"/>
        <v>28156086.82</v>
      </c>
      <c r="CG64" s="333">
        <f t="shared" si="8"/>
        <v>0</v>
      </c>
    </row>
    <row r="65" spans="1:85" x14ac:dyDescent="0.35">
      <c r="A65" s="39" t="s">
        <v>251</v>
      </c>
      <c r="B65" s="20"/>
      <c r="C65" s="24">
        <v>52100.53</v>
      </c>
      <c r="D65" s="24">
        <v>63883.93</v>
      </c>
      <c r="E65" s="24">
        <v>112104.86</v>
      </c>
      <c r="F65" s="24">
        <v>0</v>
      </c>
      <c r="G65" s="24">
        <v>0</v>
      </c>
      <c r="H65" s="24">
        <v>86858.62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74579</v>
      </c>
      <c r="P65" s="24">
        <v>68719.590000000011</v>
      </c>
      <c r="Q65" s="24">
        <v>0</v>
      </c>
      <c r="R65" s="24">
        <v>29445.040000000005</v>
      </c>
      <c r="S65" s="24">
        <v>18308.679999999997</v>
      </c>
      <c r="T65" s="24">
        <v>0</v>
      </c>
      <c r="U65" s="24">
        <v>28982.730000000003</v>
      </c>
      <c r="V65" s="24">
        <v>0</v>
      </c>
      <c r="W65" s="24">
        <v>5737.72</v>
      </c>
      <c r="X65" s="24">
        <v>10222.34</v>
      </c>
      <c r="Y65" s="24">
        <v>70767.759999999995</v>
      </c>
      <c r="Z65" s="24">
        <v>0</v>
      </c>
      <c r="AA65" s="24">
        <v>14627.61</v>
      </c>
      <c r="AB65" s="24">
        <v>12108.36</v>
      </c>
      <c r="AC65" s="24">
        <v>7166.5099999999993</v>
      </c>
      <c r="AD65" s="24">
        <v>1102.3399999999999</v>
      </c>
      <c r="AE65" s="24">
        <v>0</v>
      </c>
      <c r="AF65" s="24">
        <v>0</v>
      </c>
      <c r="AG65" s="24">
        <v>111639.34999999999</v>
      </c>
      <c r="AH65" s="24">
        <v>0</v>
      </c>
      <c r="AI65" s="24">
        <v>1407.69</v>
      </c>
      <c r="AJ65" s="24">
        <v>574.06000000000006</v>
      </c>
      <c r="AK65" s="24">
        <v>249.76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36788.11</v>
      </c>
      <c r="AW65" s="24">
        <v>0</v>
      </c>
      <c r="AX65" s="24">
        <v>0</v>
      </c>
      <c r="AY65" s="24">
        <v>31686.959999999999</v>
      </c>
      <c r="AZ65" s="24">
        <v>0</v>
      </c>
      <c r="BA65" s="24">
        <v>0</v>
      </c>
      <c r="BB65" s="24">
        <v>579.17999999999995</v>
      </c>
      <c r="BC65" s="24">
        <v>8722.08</v>
      </c>
      <c r="BD65" s="24">
        <v>6170.99</v>
      </c>
      <c r="BE65" s="24">
        <v>256950.87000000005</v>
      </c>
      <c r="BF65" s="24">
        <v>16358.02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34301.729999999996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1944.49</v>
      </c>
      <c r="BY65" s="24">
        <v>3829.5</v>
      </c>
      <c r="BZ65" s="24">
        <v>999.09</v>
      </c>
      <c r="CA65" s="24">
        <v>0</v>
      </c>
      <c r="CB65" s="24">
        <v>0</v>
      </c>
      <c r="CC65" s="24">
        <v>42755.529999999992</v>
      </c>
      <c r="CD65" s="29" t="s">
        <v>233</v>
      </c>
      <c r="CE65" s="32">
        <f t="shared" si="4"/>
        <v>1211673.03</v>
      </c>
      <c r="CF65" s="12">
        <f t="shared" si="7"/>
        <v>1211673.03</v>
      </c>
      <c r="CG65" s="333">
        <f t="shared" si="8"/>
        <v>0</v>
      </c>
    </row>
    <row r="66" spans="1:85" x14ac:dyDescent="0.35">
      <c r="A66" s="39" t="s">
        <v>252</v>
      </c>
      <c r="B66" s="20"/>
      <c r="C66" s="24">
        <v>288101.38</v>
      </c>
      <c r="D66" s="24">
        <v>449133.21</v>
      </c>
      <c r="E66" s="24">
        <v>706121.16</v>
      </c>
      <c r="F66" s="24">
        <v>0</v>
      </c>
      <c r="G66" s="24">
        <v>0</v>
      </c>
      <c r="H66" s="24">
        <v>264384.21999999997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729486.31</v>
      </c>
      <c r="P66" s="24">
        <v>3493093.38</v>
      </c>
      <c r="Q66" s="24">
        <v>0</v>
      </c>
      <c r="R66" s="24">
        <v>421541.94</v>
      </c>
      <c r="S66" s="24">
        <v>-1288086.28</v>
      </c>
      <c r="T66" s="24">
        <v>0</v>
      </c>
      <c r="U66" s="24">
        <v>7374919.29</v>
      </c>
      <c r="V66" s="24">
        <v>38946.17</v>
      </c>
      <c r="W66" s="24">
        <v>71786.149999999994</v>
      </c>
      <c r="X66" s="24">
        <v>380943.61</v>
      </c>
      <c r="Y66" s="24">
        <v>-400121.83</v>
      </c>
      <c r="Z66" s="24">
        <v>0</v>
      </c>
      <c r="AA66" s="24">
        <v>35791.69</v>
      </c>
      <c r="AB66" s="24">
        <v>169068.02</v>
      </c>
      <c r="AC66" s="24">
        <v>53559.8</v>
      </c>
      <c r="AD66" s="24">
        <v>1177962.69</v>
      </c>
      <c r="AE66" s="24">
        <v>0</v>
      </c>
      <c r="AF66" s="24">
        <v>0</v>
      </c>
      <c r="AG66" s="24">
        <v>1154732.32</v>
      </c>
      <c r="AH66" s="24">
        <v>0</v>
      </c>
      <c r="AI66" s="24">
        <v>98695.89</v>
      </c>
      <c r="AJ66" s="24">
        <v>-709199.31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-321829.12</v>
      </c>
      <c r="AW66" s="24">
        <v>503.63</v>
      </c>
      <c r="AX66" s="24">
        <v>0</v>
      </c>
      <c r="AY66" s="24">
        <v>61828.15</v>
      </c>
      <c r="AZ66" s="24">
        <v>0</v>
      </c>
      <c r="BA66" s="24">
        <v>-62366.87</v>
      </c>
      <c r="BB66" s="24">
        <v>11.65</v>
      </c>
      <c r="BC66" s="24">
        <v>503.63</v>
      </c>
      <c r="BD66" s="24">
        <v>5093.1400000000003</v>
      </c>
      <c r="BE66" s="24">
        <v>660338.19999999995</v>
      </c>
      <c r="BF66" s="24">
        <v>148113.01999999999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-0.01</v>
      </c>
      <c r="BM66" s="24">
        <v>0</v>
      </c>
      <c r="BN66" s="24">
        <v>-1539115.55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35740.07</v>
      </c>
      <c r="BY66" s="24">
        <v>132860.4</v>
      </c>
      <c r="BZ66" s="24">
        <v>-738641.95</v>
      </c>
      <c r="CA66" s="24">
        <v>0</v>
      </c>
      <c r="CB66" s="24">
        <v>0</v>
      </c>
      <c r="CC66" s="24">
        <f>7441205.55+42001144.01</f>
        <v>49442349.559999995</v>
      </c>
      <c r="CD66" s="29" t="s">
        <v>233</v>
      </c>
      <c r="CE66" s="32">
        <f t="shared" si="4"/>
        <v>62336247.759999998</v>
      </c>
      <c r="CF66" s="12">
        <f t="shared" si="7"/>
        <v>62336247.759999976</v>
      </c>
      <c r="CG66" s="333">
        <f t="shared" si="8"/>
        <v>0</v>
      </c>
    </row>
    <row r="67" spans="1:85" x14ac:dyDescent="0.35">
      <c r="A67" s="39" t="s">
        <v>11</v>
      </c>
      <c r="B67" s="20"/>
      <c r="C67" s="32">
        <f t="shared" ref="C67:BN67" si="9">ROUND(C51+C52,0)</f>
        <v>204606</v>
      </c>
      <c r="D67" s="32">
        <f t="shared" si="9"/>
        <v>231179</v>
      </c>
      <c r="E67" s="32">
        <f t="shared" si="9"/>
        <v>349681</v>
      </c>
      <c r="F67" s="32">
        <f t="shared" si="9"/>
        <v>0</v>
      </c>
      <c r="G67" s="32">
        <f t="shared" si="9"/>
        <v>0</v>
      </c>
      <c r="H67" s="32">
        <f t="shared" si="9"/>
        <v>302693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0</v>
      </c>
      <c r="O67" s="32">
        <f t="shared" si="9"/>
        <v>365270</v>
      </c>
      <c r="P67" s="32">
        <f t="shared" si="9"/>
        <v>701671</v>
      </c>
      <c r="Q67" s="32">
        <f t="shared" si="9"/>
        <v>0</v>
      </c>
      <c r="R67" s="32">
        <f t="shared" si="9"/>
        <v>88890</v>
      </c>
      <c r="S67" s="32">
        <f t="shared" si="9"/>
        <v>119550</v>
      </c>
      <c r="T67" s="32">
        <f t="shared" si="9"/>
        <v>0</v>
      </c>
      <c r="U67" s="32">
        <f t="shared" si="9"/>
        <v>96384</v>
      </c>
      <c r="V67" s="32">
        <f t="shared" si="9"/>
        <v>0</v>
      </c>
      <c r="W67" s="32">
        <f t="shared" si="9"/>
        <v>17888</v>
      </c>
      <c r="X67" s="32">
        <f t="shared" si="9"/>
        <v>274213</v>
      </c>
      <c r="Y67" s="32">
        <f t="shared" si="9"/>
        <v>623339</v>
      </c>
      <c r="Z67" s="32">
        <f t="shared" si="9"/>
        <v>0</v>
      </c>
      <c r="AA67" s="32">
        <f t="shared" si="9"/>
        <v>51527</v>
      </c>
      <c r="AB67" s="32">
        <f t="shared" si="9"/>
        <v>62214</v>
      </c>
      <c r="AC67" s="32">
        <f t="shared" si="9"/>
        <v>74700</v>
      </c>
      <c r="AD67" s="32">
        <f t="shared" si="9"/>
        <v>3457</v>
      </c>
      <c r="AE67" s="32">
        <f t="shared" si="9"/>
        <v>0</v>
      </c>
      <c r="AF67" s="32">
        <f t="shared" si="9"/>
        <v>0</v>
      </c>
      <c r="AG67" s="32">
        <f t="shared" si="9"/>
        <v>499989</v>
      </c>
      <c r="AH67" s="32">
        <f t="shared" si="9"/>
        <v>0</v>
      </c>
      <c r="AI67" s="32">
        <f t="shared" si="9"/>
        <v>17753</v>
      </c>
      <c r="AJ67" s="32">
        <f t="shared" si="9"/>
        <v>58002</v>
      </c>
      <c r="AK67" s="32">
        <f t="shared" si="9"/>
        <v>0</v>
      </c>
      <c r="AL67" s="32">
        <f t="shared" si="9"/>
        <v>0</v>
      </c>
      <c r="AM67" s="32">
        <f t="shared" si="9"/>
        <v>0</v>
      </c>
      <c r="AN67" s="32">
        <f t="shared" si="9"/>
        <v>0</v>
      </c>
      <c r="AO67" s="32">
        <f t="shared" si="9"/>
        <v>0</v>
      </c>
      <c r="AP67" s="32">
        <f t="shared" si="9"/>
        <v>0</v>
      </c>
      <c r="AQ67" s="32">
        <f t="shared" si="9"/>
        <v>0</v>
      </c>
      <c r="AR67" s="32">
        <f t="shared" si="9"/>
        <v>0</v>
      </c>
      <c r="AS67" s="32">
        <f t="shared" si="9"/>
        <v>0</v>
      </c>
      <c r="AT67" s="32">
        <f t="shared" si="9"/>
        <v>0</v>
      </c>
      <c r="AU67" s="32">
        <f t="shared" si="9"/>
        <v>0</v>
      </c>
      <c r="AV67" s="32">
        <f t="shared" si="9"/>
        <v>251180</v>
      </c>
      <c r="AW67" s="32">
        <f t="shared" si="9"/>
        <v>0</v>
      </c>
      <c r="AX67" s="32">
        <f t="shared" si="9"/>
        <v>0</v>
      </c>
      <c r="AY67" s="32">
        <f t="shared" si="9"/>
        <v>120660</v>
      </c>
      <c r="AZ67" s="32">
        <f t="shared" si="9"/>
        <v>0</v>
      </c>
      <c r="BA67" s="32">
        <f t="shared" si="9"/>
        <v>0</v>
      </c>
      <c r="BB67" s="32">
        <f t="shared" si="9"/>
        <v>0</v>
      </c>
      <c r="BC67" s="32">
        <f t="shared" si="9"/>
        <v>20809</v>
      </c>
      <c r="BD67" s="32">
        <f t="shared" si="9"/>
        <v>19251</v>
      </c>
      <c r="BE67" s="32">
        <f t="shared" si="9"/>
        <v>835398</v>
      </c>
      <c r="BF67" s="32">
        <f t="shared" si="9"/>
        <v>41023</v>
      </c>
      <c r="BG67" s="32">
        <f t="shared" si="9"/>
        <v>0</v>
      </c>
      <c r="BH67" s="32">
        <f t="shared" si="9"/>
        <v>0</v>
      </c>
      <c r="BI67" s="32">
        <f t="shared" si="9"/>
        <v>0</v>
      </c>
      <c r="BJ67" s="32">
        <f t="shared" si="9"/>
        <v>0</v>
      </c>
      <c r="BK67" s="32">
        <f t="shared" si="9"/>
        <v>0</v>
      </c>
      <c r="BL67" s="32">
        <f t="shared" si="9"/>
        <v>1359</v>
      </c>
      <c r="BM67" s="32">
        <f t="shared" si="9"/>
        <v>0</v>
      </c>
      <c r="BN67" s="32">
        <f t="shared" si="9"/>
        <v>266221</v>
      </c>
      <c r="BO67" s="32">
        <f t="shared" ref="BO67:CB67" si="10">ROUND(BO51+BO52,0)</f>
        <v>0</v>
      </c>
      <c r="BP67" s="32">
        <f t="shared" si="10"/>
        <v>0</v>
      </c>
      <c r="BQ67" s="32">
        <f t="shared" si="10"/>
        <v>0</v>
      </c>
      <c r="BR67" s="32">
        <f t="shared" si="10"/>
        <v>0</v>
      </c>
      <c r="BS67" s="32">
        <f t="shared" si="10"/>
        <v>0</v>
      </c>
      <c r="BT67" s="32">
        <f t="shared" si="10"/>
        <v>0</v>
      </c>
      <c r="BU67" s="32">
        <f t="shared" si="10"/>
        <v>0</v>
      </c>
      <c r="BV67" s="32">
        <f t="shared" si="10"/>
        <v>0</v>
      </c>
      <c r="BW67" s="32">
        <f t="shared" si="10"/>
        <v>0</v>
      </c>
      <c r="BX67" s="32">
        <f t="shared" si="10"/>
        <v>2807</v>
      </c>
      <c r="BY67" s="32">
        <f t="shared" si="10"/>
        <v>45964</v>
      </c>
      <c r="BZ67" s="32">
        <f t="shared" si="10"/>
        <v>2034</v>
      </c>
      <c r="CA67" s="32">
        <f t="shared" si="10"/>
        <v>0</v>
      </c>
      <c r="CB67" s="32">
        <f t="shared" si="10"/>
        <v>0</v>
      </c>
      <c r="CC67" s="334">
        <f>ROUND(CC51+CC52,0)+1.61</f>
        <v>117418.61</v>
      </c>
      <c r="CD67" s="29" t="s">
        <v>233</v>
      </c>
      <c r="CE67" s="32">
        <f t="shared" si="4"/>
        <v>5867130.6100000003</v>
      </c>
      <c r="CF67" s="12">
        <f>C395</f>
        <v>5867130.6100000003</v>
      </c>
      <c r="CG67" s="333">
        <f t="shared" si="8"/>
        <v>0</v>
      </c>
    </row>
    <row r="68" spans="1:85" x14ac:dyDescent="0.35">
      <c r="A68" s="39" t="s">
        <v>253</v>
      </c>
      <c r="B68" s="32"/>
      <c r="C68" s="24">
        <v>101262.32999999999</v>
      </c>
      <c r="D68" s="24">
        <v>172247.73</v>
      </c>
      <c r="E68" s="24">
        <v>259350.64999999997</v>
      </c>
      <c r="F68" s="24">
        <v>0</v>
      </c>
      <c r="G68" s="24">
        <v>0</v>
      </c>
      <c r="H68" s="24">
        <v>176.16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40226.86</v>
      </c>
      <c r="P68" s="24">
        <v>417357.37999999995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-67.16</v>
      </c>
      <c r="Y68" s="24">
        <v>0</v>
      </c>
      <c r="Z68" s="24">
        <v>0</v>
      </c>
      <c r="AA68" s="24">
        <v>0</v>
      </c>
      <c r="AB68" s="24">
        <v>0</v>
      </c>
      <c r="AC68" s="24">
        <v>2708.7300000000005</v>
      </c>
      <c r="AD68" s="24">
        <v>0</v>
      </c>
      <c r="AE68" s="24">
        <v>0</v>
      </c>
      <c r="AF68" s="24">
        <v>0</v>
      </c>
      <c r="AG68" s="24">
        <v>35021.459999999992</v>
      </c>
      <c r="AH68" s="24">
        <v>0</v>
      </c>
      <c r="AI68" s="24">
        <v>0</v>
      </c>
      <c r="AJ68" s="24">
        <v>127274.29</v>
      </c>
      <c r="AK68" s="24">
        <v>0</v>
      </c>
      <c r="AL68" s="24">
        <v>0</v>
      </c>
      <c r="AM68" s="24">
        <v>0</v>
      </c>
      <c r="AN68" s="24">
        <v>0</v>
      </c>
      <c r="AO68" s="24">
        <v>-5348.6699999999983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257363.91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688.69</v>
      </c>
      <c r="BE68" s="24">
        <v>-11293.86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0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7112.26</v>
      </c>
      <c r="CD68" s="29" t="s">
        <v>233</v>
      </c>
      <c r="CE68" s="32">
        <f t="shared" si="4"/>
        <v>1404080.7599999995</v>
      </c>
      <c r="CF68" s="12">
        <f>C396</f>
        <v>1404080.7599999995</v>
      </c>
      <c r="CG68" s="333">
        <f t="shared" si="8"/>
        <v>0</v>
      </c>
    </row>
    <row r="69" spans="1:85" x14ac:dyDescent="0.35">
      <c r="A69" s="39" t="s">
        <v>254</v>
      </c>
      <c r="B69" s="20"/>
      <c r="C69" s="32">
        <f t="shared" ref="C69:BN69" si="11">SUM(C70:C83)</f>
        <v>62936.119999999995</v>
      </c>
      <c r="D69" s="32">
        <f t="shared" si="11"/>
        <v>138630.81000000003</v>
      </c>
      <c r="E69" s="32">
        <f t="shared" si="11"/>
        <v>141987.50000000006</v>
      </c>
      <c r="F69" s="32">
        <f t="shared" si="11"/>
        <v>0</v>
      </c>
      <c r="G69" s="32">
        <f t="shared" si="11"/>
        <v>0</v>
      </c>
      <c r="H69" s="32">
        <f t="shared" si="11"/>
        <v>70633.510000000038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1"/>
        <v>0</v>
      </c>
      <c r="O69" s="32">
        <f t="shared" si="11"/>
        <v>125999.82</v>
      </c>
      <c r="P69" s="32">
        <f t="shared" si="11"/>
        <v>108156.53000000004</v>
      </c>
      <c r="Q69" s="32">
        <f t="shared" si="11"/>
        <v>0</v>
      </c>
      <c r="R69" s="32">
        <f t="shared" si="11"/>
        <v>-141.37999999999374</v>
      </c>
      <c r="S69" s="32">
        <f t="shared" si="11"/>
        <v>11964.510000000006</v>
      </c>
      <c r="T69" s="32">
        <f t="shared" si="11"/>
        <v>0</v>
      </c>
      <c r="U69" s="32">
        <f t="shared" si="11"/>
        <v>69577.419999999984</v>
      </c>
      <c r="V69" s="32">
        <f t="shared" si="11"/>
        <v>0</v>
      </c>
      <c r="W69" s="32">
        <f t="shared" si="11"/>
        <v>444.01000000000022</v>
      </c>
      <c r="X69" s="32">
        <f t="shared" si="11"/>
        <v>6051.0300000000007</v>
      </c>
      <c r="Y69" s="32">
        <f t="shared" si="11"/>
        <v>10262.610000000015</v>
      </c>
      <c r="Z69" s="32">
        <f t="shared" si="11"/>
        <v>0</v>
      </c>
      <c r="AA69" s="32">
        <f t="shared" si="11"/>
        <v>1182.0199999999986</v>
      </c>
      <c r="AB69" s="32">
        <f t="shared" si="11"/>
        <v>29842.160000000003</v>
      </c>
      <c r="AC69" s="32">
        <f t="shared" si="11"/>
        <v>20351.739999999994</v>
      </c>
      <c r="AD69" s="32">
        <f t="shared" si="11"/>
        <v>90.919999999998481</v>
      </c>
      <c r="AE69" s="32">
        <f t="shared" si="11"/>
        <v>0</v>
      </c>
      <c r="AF69" s="32">
        <f t="shared" si="11"/>
        <v>0</v>
      </c>
      <c r="AG69" s="32">
        <f t="shared" si="11"/>
        <v>37651.600000000049</v>
      </c>
      <c r="AH69" s="32">
        <f t="shared" si="11"/>
        <v>0</v>
      </c>
      <c r="AI69" s="32">
        <f t="shared" si="11"/>
        <v>456.89000000000169</v>
      </c>
      <c r="AJ69" s="32">
        <f t="shared" si="11"/>
        <v>2132.5499999999988</v>
      </c>
      <c r="AK69" s="32">
        <f t="shared" si="11"/>
        <v>0</v>
      </c>
      <c r="AL69" s="32">
        <f t="shared" si="11"/>
        <v>0</v>
      </c>
      <c r="AM69" s="32">
        <f t="shared" si="11"/>
        <v>0</v>
      </c>
      <c r="AN69" s="32">
        <f t="shared" si="11"/>
        <v>0</v>
      </c>
      <c r="AO69" s="32">
        <f t="shared" si="11"/>
        <v>0</v>
      </c>
      <c r="AP69" s="32">
        <f t="shared" si="11"/>
        <v>0</v>
      </c>
      <c r="AQ69" s="32">
        <f t="shared" si="11"/>
        <v>0</v>
      </c>
      <c r="AR69" s="32">
        <f t="shared" si="11"/>
        <v>0</v>
      </c>
      <c r="AS69" s="32">
        <f t="shared" si="11"/>
        <v>0</v>
      </c>
      <c r="AT69" s="32">
        <f t="shared" si="11"/>
        <v>0</v>
      </c>
      <c r="AU69" s="32">
        <f t="shared" si="11"/>
        <v>0</v>
      </c>
      <c r="AV69" s="32">
        <f t="shared" si="11"/>
        <v>56742.109999999986</v>
      </c>
      <c r="AW69" s="32">
        <f t="shared" si="11"/>
        <v>2500</v>
      </c>
      <c r="AX69" s="32">
        <f t="shared" si="11"/>
        <v>0</v>
      </c>
      <c r="AY69" s="32">
        <f t="shared" si="11"/>
        <v>19071.130000000005</v>
      </c>
      <c r="AZ69" s="32">
        <f t="shared" si="11"/>
        <v>0</v>
      </c>
      <c r="BA69" s="32">
        <f t="shared" si="11"/>
        <v>0</v>
      </c>
      <c r="BB69" s="32">
        <f t="shared" si="11"/>
        <v>-1.4779288903810084E-12</v>
      </c>
      <c r="BC69" s="32">
        <f t="shared" si="11"/>
        <v>336.07999999999993</v>
      </c>
      <c r="BD69" s="32">
        <f t="shared" si="11"/>
        <v>506.86999999999716</v>
      </c>
      <c r="BE69" s="32">
        <f t="shared" si="11"/>
        <v>35483.829999999958</v>
      </c>
      <c r="BF69" s="32">
        <f t="shared" si="11"/>
        <v>194954.98</v>
      </c>
      <c r="BG69" s="32">
        <f t="shared" si="11"/>
        <v>0</v>
      </c>
      <c r="BH69" s="32">
        <f t="shared" si="11"/>
        <v>0</v>
      </c>
      <c r="BI69" s="32">
        <f t="shared" si="11"/>
        <v>0</v>
      </c>
      <c r="BJ69" s="32">
        <f t="shared" si="11"/>
        <v>0</v>
      </c>
      <c r="BK69" s="32">
        <f t="shared" si="11"/>
        <v>0</v>
      </c>
      <c r="BL69" s="32">
        <f t="shared" si="11"/>
        <v>0</v>
      </c>
      <c r="BM69" s="32">
        <f t="shared" si="11"/>
        <v>0</v>
      </c>
      <c r="BN69" s="32">
        <f t="shared" si="11"/>
        <v>178846.66999999998</v>
      </c>
      <c r="BO69" s="32">
        <f t="shared" ref="BO69:CD69" si="12">SUM(BO70:BO83)</f>
        <v>0</v>
      </c>
      <c r="BP69" s="32">
        <f t="shared" si="12"/>
        <v>0</v>
      </c>
      <c r="BQ69" s="32">
        <f t="shared" si="12"/>
        <v>0</v>
      </c>
      <c r="BR69" s="32">
        <f t="shared" si="12"/>
        <v>0</v>
      </c>
      <c r="BS69" s="32">
        <f t="shared" si="12"/>
        <v>0</v>
      </c>
      <c r="BT69" s="32">
        <f t="shared" si="12"/>
        <v>0</v>
      </c>
      <c r="BU69" s="32">
        <f t="shared" si="12"/>
        <v>0</v>
      </c>
      <c r="BV69" s="32">
        <f t="shared" si="12"/>
        <v>0</v>
      </c>
      <c r="BW69" s="32">
        <f t="shared" si="12"/>
        <v>0</v>
      </c>
      <c r="BX69" s="32">
        <f t="shared" si="12"/>
        <v>16896.099999999995</v>
      </c>
      <c r="BY69" s="32">
        <f t="shared" si="12"/>
        <v>79941.55</v>
      </c>
      <c r="BZ69" s="32">
        <f t="shared" si="12"/>
        <v>19637.28</v>
      </c>
      <c r="CA69" s="32">
        <f t="shared" si="12"/>
        <v>0</v>
      </c>
      <c r="CB69" s="32">
        <f t="shared" si="12"/>
        <v>0</v>
      </c>
      <c r="CC69" s="32">
        <f t="shared" si="12"/>
        <v>7826113.2600000007</v>
      </c>
      <c r="CD69" s="32">
        <f t="shared" si="12"/>
        <v>6755069.7200000007</v>
      </c>
      <c r="CE69" s="32">
        <f>SUM(CE70:CE84)</f>
        <v>25988434.850000001</v>
      </c>
    </row>
    <row r="70" spans="1:85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5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3">SUM(C71:CD71)</f>
        <v>0</v>
      </c>
    </row>
    <row r="72" spans="1:85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3"/>
        <v>0</v>
      </c>
    </row>
    <row r="73" spans="1:85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3"/>
        <v>0</v>
      </c>
    </row>
    <row r="74" spans="1:85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3"/>
        <v>0</v>
      </c>
    </row>
    <row r="75" spans="1:85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3"/>
        <v>0</v>
      </c>
    </row>
    <row r="76" spans="1:85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3"/>
        <v>0</v>
      </c>
    </row>
    <row r="77" spans="1:85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3"/>
        <v>0</v>
      </c>
    </row>
    <row r="78" spans="1:85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3"/>
        <v>0</v>
      </c>
    </row>
    <row r="79" spans="1:85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3"/>
        <v>0</v>
      </c>
    </row>
    <row r="80" spans="1:85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3"/>
        <v>0</v>
      </c>
    </row>
    <row r="81" spans="1:85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3"/>
        <v>0</v>
      </c>
    </row>
    <row r="82" spans="1:85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3"/>
        <v>0</v>
      </c>
    </row>
    <row r="83" spans="1:85" x14ac:dyDescent="0.35">
      <c r="A83" s="33" t="s">
        <v>268</v>
      </c>
      <c r="B83" s="20"/>
      <c r="C83" s="24">
        <v>62936.119999999995</v>
      </c>
      <c r="D83" s="24">
        <v>138630.81000000003</v>
      </c>
      <c r="E83" s="24">
        <v>141987.50000000006</v>
      </c>
      <c r="F83" s="24">
        <v>0</v>
      </c>
      <c r="G83" s="24">
        <v>0</v>
      </c>
      <c r="H83" s="24">
        <v>70633.510000000038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125999.82</v>
      </c>
      <c r="P83" s="24">
        <v>108156.53000000004</v>
      </c>
      <c r="Q83" s="24">
        <v>0</v>
      </c>
      <c r="R83" s="24">
        <v>-141.37999999999374</v>
      </c>
      <c r="S83" s="24">
        <v>11964.510000000006</v>
      </c>
      <c r="T83" s="24">
        <v>0</v>
      </c>
      <c r="U83" s="24">
        <v>69577.419999999984</v>
      </c>
      <c r="V83" s="24">
        <v>0</v>
      </c>
      <c r="W83" s="24">
        <v>444.01000000000022</v>
      </c>
      <c r="X83" s="24">
        <v>6051.0300000000007</v>
      </c>
      <c r="Y83" s="24">
        <v>10262.610000000015</v>
      </c>
      <c r="Z83" s="24">
        <v>0</v>
      </c>
      <c r="AA83" s="24">
        <v>1182.0199999999986</v>
      </c>
      <c r="AB83" s="24">
        <v>29842.160000000003</v>
      </c>
      <c r="AC83" s="24">
        <v>20351.739999999994</v>
      </c>
      <c r="AD83" s="24">
        <v>90.919999999998481</v>
      </c>
      <c r="AE83" s="24">
        <v>0</v>
      </c>
      <c r="AF83" s="24">
        <v>0</v>
      </c>
      <c r="AG83" s="24">
        <v>37651.600000000049</v>
      </c>
      <c r="AH83" s="24">
        <v>0</v>
      </c>
      <c r="AI83" s="24">
        <v>456.89000000000169</v>
      </c>
      <c r="AJ83" s="24">
        <v>2132.5499999999988</v>
      </c>
      <c r="AK83" s="24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56742.109999999986</v>
      </c>
      <c r="AW83" s="24">
        <v>2500</v>
      </c>
      <c r="AX83" s="24">
        <v>0</v>
      </c>
      <c r="AY83" s="24">
        <v>19071.130000000005</v>
      </c>
      <c r="AZ83" s="24">
        <v>0</v>
      </c>
      <c r="BA83" s="24">
        <v>0</v>
      </c>
      <c r="BB83" s="24">
        <v>-1.4779288903810084E-12</v>
      </c>
      <c r="BC83" s="24">
        <v>336.07999999999993</v>
      </c>
      <c r="BD83" s="24">
        <v>506.86999999999716</v>
      </c>
      <c r="BE83" s="24">
        <v>35483.829999999958</v>
      </c>
      <c r="BF83" s="24">
        <v>194954.98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0</v>
      </c>
      <c r="BM83" s="24">
        <v>0</v>
      </c>
      <c r="BN83" s="24">
        <v>178846.66999999998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16896.099999999995</v>
      </c>
      <c r="BY83" s="24">
        <v>79941.55</v>
      </c>
      <c r="BZ83" s="24">
        <v>19637.28</v>
      </c>
      <c r="CA83" s="24">
        <v>0</v>
      </c>
      <c r="CB83" s="24">
        <v>0</v>
      </c>
      <c r="CC83" s="24">
        <v>7826113.2600000007</v>
      </c>
      <c r="CD83" s="35">
        <v>6755069.7200000007</v>
      </c>
      <c r="CE83" s="32">
        <f t="shared" si="13"/>
        <v>16024309.950000001</v>
      </c>
    </row>
    <row r="84" spans="1:85" x14ac:dyDescent="0.35">
      <c r="A84" s="39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914.54000000000008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4530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7242672.7400000002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3110.94</v>
      </c>
      <c r="AC84" s="24">
        <v>0</v>
      </c>
      <c r="AD84" s="24">
        <v>0</v>
      </c>
      <c r="AE84" s="24">
        <v>0</v>
      </c>
      <c r="AF84" s="24">
        <v>0</v>
      </c>
      <c r="AG84" s="24">
        <v>28447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12939.46</v>
      </c>
      <c r="AW84" s="24">
        <v>0</v>
      </c>
      <c r="AX84" s="24">
        <v>0</v>
      </c>
      <c r="AY84" s="24">
        <v>722708.41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360861.67999999993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26692.44</v>
      </c>
      <c r="BY84" s="24">
        <v>0</v>
      </c>
      <c r="BZ84" s="24">
        <v>0</v>
      </c>
      <c r="CA84" s="24">
        <v>0</v>
      </c>
      <c r="CB84" s="24">
        <v>0</v>
      </c>
      <c r="CC84" s="24">
        <v>1561247.69</v>
      </c>
      <c r="CD84" s="24">
        <v>0</v>
      </c>
      <c r="CE84" s="32">
        <f t="shared" si="13"/>
        <v>9964124.9000000004</v>
      </c>
    </row>
    <row r="85" spans="1:85" x14ac:dyDescent="0.35">
      <c r="A85" s="39" t="s">
        <v>270</v>
      </c>
      <c r="B85" s="32"/>
      <c r="C85" s="32">
        <f>SUM(C61:C69)-C84</f>
        <v>14096945.500000002</v>
      </c>
      <c r="D85" s="32">
        <f t="shared" ref="D85:BO85" si="14">SUM(D61:D69)-D84</f>
        <v>14994426.660000002</v>
      </c>
      <c r="E85" s="32">
        <f t="shared" si="14"/>
        <v>10950778.98</v>
      </c>
      <c r="F85" s="32">
        <f t="shared" si="14"/>
        <v>0</v>
      </c>
      <c r="G85" s="32">
        <f t="shared" si="14"/>
        <v>0</v>
      </c>
      <c r="H85" s="32">
        <f t="shared" si="14"/>
        <v>14985294.15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4"/>
        <v>0</v>
      </c>
      <c r="O85" s="32">
        <f t="shared" si="14"/>
        <v>10440099.49</v>
      </c>
      <c r="P85" s="32">
        <f t="shared" si="14"/>
        <v>16997388.27</v>
      </c>
      <c r="Q85" s="32">
        <f t="shared" si="14"/>
        <v>0</v>
      </c>
      <c r="R85" s="32">
        <f t="shared" si="14"/>
        <v>2806148.9099999997</v>
      </c>
      <c r="S85" s="32">
        <f t="shared" si="14"/>
        <v>79786.459999999963</v>
      </c>
      <c r="T85" s="32">
        <f t="shared" si="14"/>
        <v>0</v>
      </c>
      <c r="U85" s="32">
        <f t="shared" si="14"/>
        <v>5459220.75</v>
      </c>
      <c r="V85" s="32">
        <f t="shared" si="14"/>
        <v>58841.13</v>
      </c>
      <c r="W85" s="32">
        <f t="shared" si="14"/>
        <v>694062.05</v>
      </c>
      <c r="X85" s="32">
        <f t="shared" si="14"/>
        <v>2224843.7299999995</v>
      </c>
      <c r="Y85" s="32">
        <f t="shared" si="14"/>
        <v>8298762.0999999996</v>
      </c>
      <c r="Z85" s="32">
        <f t="shared" si="14"/>
        <v>883.92</v>
      </c>
      <c r="AA85" s="32">
        <f t="shared" si="14"/>
        <v>688903.3600000001</v>
      </c>
      <c r="AB85" s="32">
        <f t="shared" si="14"/>
        <v>10739658.91</v>
      </c>
      <c r="AC85" s="32">
        <f t="shared" si="14"/>
        <v>3046433.8699999996</v>
      </c>
      <c r="AD85" s="32">
        <f t="shared" si="14"/>
        <v>1182612.95</v>
      </c>
      <c r="AE85" s="32">
        <f t="shared" si="14"/>
        <v>0</v>
      </c>
      <c r="AF85" s="32">
        <f t="shared" si="14"/>
        <v>0</v>
      </c>
      <c r="AG85" s="32">
        <f t="shared" si="14"/>
        <v>26769002.90000001</v>
      </c>
      <c r="AH85" s="32">
        <f t="shared" si="14"/>
        <v>0</v>
      </c>
      <c r="AI85" s="32">
        <f t="shared" si="14"/>
        <v>2059589.82</v>
      </c>
      <c r="AJ85" s="32">
        <f t="shared" si="14"/>
        <v>886668.76000000024</v>
      </c>
      <c r="AK85" s="32">
        <f t="shared" si="14"/>
        <v>9124.67</v>
      </c>
      <c r="AL85" s="32">
        <f t="shared" si="14"/>
        <v>0</v>
      </c>
      <c r="AM85" s="32">
        <f t="shared" si="14"/>
        <v>0</v>
      </c>
      <c r="AN85" s="32">
        <f t="shared" si="14"/>
        <v>0</v>
      </c>
      <c r="AO85" s="32">
        <f t="shared" si="14"/>
        <v>-5233.329999999999</v>
      </c>
      <c r="AP85" s="32">
        <f t="shared" si="14"/>
        <v>0</v>
      </c>
      <c r="AQ85" s="32">
        <f t="shared" si="14"/>
        <v>0</v>
      </c>
      <c r="AR85" s="32">
        <f t="shared" si="14"/>
        <v>0</v>
      </c>
      <c r="AS85" s="32">
        <f t="shared" si="14"/>
        <v>0</v>
      </c>
      <c r="AT85" s="32">
        <f t="shared" si="14"/>
        <v>0</v>
      </c>
      <c r="AU85" s="32">
        <f t="shared" si="14"/>
        <v>0</v>
      </c>
      <c r="AV85" s="32">
        <f t="shared" si="14"/>
        <v>9334776.2299999986</v>
      </c>
      <c r="AW85" s="32">
        <f t="shared" si="14"/>
        <v>3995319.3999999994</v>
      </c>
      <c r="AX85" s="32">
        <f t="shared" si="14"/>
        <v>0</v>
      </c>
      <c r="AY85" s="32">
        <f t="shared" si="14"/>
        <v>2630143.44</v>
      </c>
      <c r="AZ85" s="32">
        <f t="shared" si="14"/>
        <v>0</v>
      </c>
      <c r="BA85" s="32">
        <f t="shared" si="14"/>
        <v>14443.439999999995</v>
      </c>
      <c r="BB85" s="32">
        <f t="shared" si="14"/>
        <v>1315095.3599999999</v>
      </c>
      <c r="BC85" s="32">
        <f t="shared" si="14"/>
        <v>449844.90000000008</v>
      </c>
      <c r="BD85" s="32">
        <f t="shared" si="14"/>
        <v>799513.46999999986</v>
      </c>
      <c r="BE85" s="32">
        <f t="shared" si="14"/>
        <v>3208973.3000000003</v>
      </c>
      <c r="BF85" s="32">
        <f t="shared" si="14"/>
        <v>3219211.8099999996</v>
      </c>
      <c r="BG85" s="32">
        <f t="shared" si="14"/>
        <v>0</v>
      </c>
      <c r="BH85" s="32">
        <f t="shared" si="14"/>
        <v>0</v>
      </c>
      <c r="BI85" s="32">
        <f t="shared" si="14"/>
        <v>0</v>
      </c>
      <c r="BJ85" s="32">
        <f t="shared" si="14"/>
        <v>0</v>
      </c>
      <c r="BK85" s="32">
        <f t="shared" si="14"/>
        <v>0</v>
      </c>
      <c r="BL85" s="32">
        <f t="shared" si="14"/>
        <v>1229062.3</v>
      </c>
      <c r="BM85" s="32">
        <f t="shared" si="14"/>
        <v>0</v>
      </c>
      <c r="BN85" s="32">
        <f t="shared" si="14"/>
        <v>4161779.55</v>
      </c>
      <c r="BO85" s="32">
        <f t="shared" si="14"/>
        <v>0</v>
      </c>
      <c r="BP85" s="32">
        <f t="shared" ref="BP85:CD85" si="15">SUM(BP61:BP69)-BP84</f>
        <v>0</v>
      </c>
      <c r="BQ85" s="32">
        <f t="shared" si="15"/>
        <v>0</v>
      </c>
      <c r="BR85" s="32">
        <f t="shared" si="15"/>
        <v>0</v>
      </c>
      <c r="BS85" s="32">
        <f t="shared" si="15"/>
        <v>0</v>
      </c>
      <c r="BT85" s="32">
        <f t="shared" si="15"/>
        <v>0</v>
      </c>
      <c r="BU85" s="32">
        <f t="shared" si="15"/>
        <v>0</v>
      </c>
      <c r="BV85" s="32">
        <f t="shared" si="15"/>
        <v>0</v>
      </c>
      <c r="BW85" s="32">
        <f t="shared" si="15"/>
        <v>0</v>
      </c>
      <c r="BX85" s="32">
        <f t="shared" si="15"/>
        <v>1909143.39</v>
      </c>
      <c r="BY85" s="32">
        <f t="shared" si="15"/>
        <v>1389069.26</v>
      </c>
      <c r="BZ85" s="32">
        <f t="shared" si="15"/>
        <v>129016.68999999992</v>
      </c>
      <c r="CA85" s="32">
        <f t="shared" si="15"/>
        <v>0</v>
      </c>
      <c r="CB85" s="32">
        <f t="shared" si="15"/>
        <v>0</v>
      </c>
      <c r="CC85" s="32">
        <f t="shared" si="15"/>
        <v>69365983.019999996</v>
      </c>
      <c r="CD85" s="32">
        <f t="shared" si="15"/>
        <v>6755069.7200000007</v>
      </c>
      <c r="CE85" s="32">
        <f t="shared" si="13"/>
        <v>257370689.28999999</v>
      </c>
    </row>
    <row r="86" spans="1:85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5" x14ac:dyDescent="0.35">
      <c r="A87" s="26" t="s">
        <v>272</v>
      </c>
      <c r="B87" s="20"/>
      <c r="C87" s="24">
        <v>31353432.469999999</v>
      </c>
      <c r="D87" s="24">
        <v>45565779</v>
      </c>
      <c r="E87" s="24">
        <v>28326442.960000001</v>
      </c>
      <c r="F87" s="24">
        <v>0</v>
      </c>
      <c r="G87" s="24">
        <v>0</v>
      </c>
      <c r="H87" s="335">
        <v>83311764.420000002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25565698</v>
      </c>
      <c r="P87" s="24">
        <v>37917714.009999998</v>
      </c>
      <c r="Q87" s="24">
        <v>0</v>
      </c>
      <c r="R87" s="24">
        <v>4855561</v>
      </c>
      <c r="S87" s="24">
        <v>0</v>
      </c>
      <c r="T87" s="24">
        <v>0</v>
      </c>
      <c r="U87" s="24">
        <v>18439488</v>
      </c>
      <c r="V87" s="24">
        <v>1740458</v>
      </c>
      <c r="W87" s="24">
        <v>4127565.96</v>
      </c>
      <c r="X87" s="24">
        <v>21260624.989999998</v>
      </c>
      <c r="Y87" s="24">
        <v>27946622.489999998</v>
      </c>
      <c r="Z87" s="24">
        <v>0</v>
      </c>
      <c r="AA87" s="24">
        <v>1355161.92</v>
      </c>
      <c r="AB87" s="24">
        <v>34545302.410000004</v>
      </c>
      <c r="AC87" s="24">
        <v>27406176</v>
      </c>
      <c r="AD87" s="24">
        <v>2130730</v>
      </c>
      <c r="AE87" s="24">
        <v>0</v>
      </c>
      <c r="AF87" s="24">
        <v>0</v>
      </c>
      <c r="AG87" s="24">
        <v>53306499.700000003</v>
      </c>
      <c r="AH87" s="24">
        <v>0</v>
      </c>
      <c r="AI87" s="24">
        <v>1857321</v>
      </c>
      <c r="AJ87" s="24">
        <v>-3176</v>
      </c>
      <c r="AK87" s="24">
        <v>0</v>
      </c>
      <c r="AL87" s="24">
        <v>0</v>
      </c>
      <c r="AM87" s="24">
        <v>0</v>
      </c>
      <c r="AN87" s="24">
        <v>0</v>
      </c>
      <c r="AO87" s="24">
        <v>2263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15700995.9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6">SUM(C87:CD87)</f>
        <v>466712425.23000002</v>
      </c>
      <c r="CF87" s="12">
        <f>C358</f>
        <v>466712425.23000002</v>
      </c>
      <c r="CG87" s="333">
        <f>CF87-CE87</f>
        <v>0</v>
      </c>
    </row>
    <row r="88" spans="1:85" x14ac:dyDescent="0.35">
      <c r="A88" s="26" t="s">
        <v>273</v>
      </c>
      <c r="B88" s="20"/>
      <c r="C88" s="24">
        <v>143888</v>
      </c>
      <c r="D88" s="24">
        <v>792641</v>
      </c>
      <c r="E88" s="24">
        <v>855019</v>
      </c>
      <c r="F88" s="24">
        <v>0</v>
      </c>
      <c r="G88" s="24">
        <v>0</v>
      </c>
      <c r="H88" s="335">
        <v>1280171.06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918830.00000000012</v>
      </c>
      <c r="P88" s="24">
        <v>99905443.999999985</v>
      </c>
      <c r="Q88" s="24">
        <v>0</v>
      </c>
      <c r="R88" s="24">
        <v>13031333.000000002</v>
      </c>
      <c r="S88" s="24">
        <v>0</v>
      </c>
      <c r="T88" s="24">
        <v>0</v>
      </c>
      <c r="U88" s="24">
        <v>15706807</v>
      </c>
      <c r="V88" s="24">
        <v>3516501</v>
      </c>
      <c r="W88" s="24">
        <v>9170186.3899999987</v>
      </c>
      <c r="X88" s="24">
        <v>55185979.469999999</v>
      </c>
      <c r="Y88" s="24">
        <v>48652829.460000001</v>
      </c>
      <c r="Z88" s="24">
        <v>91.2</v>
      </c>
      <c r="AA88" s="24">
        <v>4319217.4000000004</v>
      </c>
      <c r="AB88" s="24">
        <v>13468515.289999997</v>
      </c>
      <c r="AC88" s="24">
        <v>2283180</v>
      </c>
      <c r="AD88" s="24">
        <v>48434</v>
      </c>
      <c r="AE88" s="24">
        <v>0</v>
      </c>
      <c r="AF88" s="24">
        <v>0</v>
      </c>
      <c r="AG88" s="24">
        <v>139271478.20000002</v>
      </c>
      <c r="AH88" s="24">
        <v>0</v>
      </c>
      <c r="AI88" s="24">
        <v>3814783</v>
      </c>
      <c r="AJ88" s="24">
        <v>4620786</v>
      </c>
      <c r="AK88" s="24">
        <v>66070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20272658.849999998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6"/>
        <v>437324843.32000005</v>
      </c>
      <c r="CF88" s="12">
        <f>C359</f>
        <v>437324843.32000005</v>
      </c>
      <c r="CG88" s="333">
        <f>CF88-CE88</f>
        <v>0</v>
      </c>
    </row>
    <row r="89" spans="1:85" x14ac:dyDescent="0.35">
      <c r="A89" s="26" t="s">
        <v>274</v>
      </c>
      <c r="B89" s="20"/>
      <c r="C89" s="32">
        <f>C87+C88</f>
        <v>31497320.469999999</v>
      </c>
      <c r="D89" s="32">
        <f t="shared" ref="D89:AV89" si="17">D87+D88</f>
        <v>46358420</v>
      </c>
      <c r="E89" s="32">
        <f t="shared" si="17"/>
        <v>29181461.960000001</v>
      </c>
      <c r="F89" s="32">
        <f t="shared" si="17"/>
        <v>0</v>
      </c>
      <c r="G89" s="32">
        <f t="shared" si="17"/>
        <v>0</v>
      </c>
      <c r="H89" s="32">
        <f t="shared" si="17"/>
        <v>84591935.480000004</v>
      </c>
      <c r="I89" s="32">
        <f t="shared" si="17"/>
        <v>0</v>
      </c>
      <c r="J89" s="32">
        <f t="shared" si="17"/>
        <v>0</v>
      </c>
      <c r="K89" s="32">
        <f t="shared" si="17"/>
        <v>0</v>
      </c>
      <c r="L89" s="32">
        <f t="shared" si="17"/>
        <v>0</v>
      </c>
      <c r="M89" s="32">
        <f t="shared" si="17"/>
        <v>0</v>
      </c>
      <c r="N89" s="32">
        <f t="shared" si="17"/>
        <v>0</v>
      </c>
      <c r="O89" s="32">
        <f t="shared" si="17"/>
        <v>26484528</v>
      </c>
      <c r="P89" s="32">
        <f t="shared" si="17"/>
        <v>137823158.00999999</v>
      </c>
      <c r="Q89" s="32">
        <f t="shared" si="17"/>
        <v>0</v>
      </c>
      <c r="R89" s="32">
        <f t="shared" si="17"/>
        <v>17886894</v>
      </c>
      <c r="S89" s="32">
        <f t="shared" si="17"/>
        <v>0</v>
      </c>
      <c r="T89" s="32">
        <f t="shared" si="17"/>
        <v>0</v>
      </c>
      <c r="U89" s="32">
        <f t="shared" si="17"/>
        <v>34146295</v>
      </c>
      <c r="V89" s="32">
        <f t="shared" si="17"/>
        <v>5256959</v>
      </c>
      <c r="W89" s="32">
        <f t="shared" si="17"/>
        <v>13297752.349999998</v>
      </c>
      <c r="X89" s="32">
        <f t="shared" si="17"/>
        <v>76446604.459999993</v>
      </c>
      <c r="Y89" s="32">
        <f t="shared" si="17"/>
        <v>76599451.950000003</v>
      </c>
      <c r="Z89" s="32">
        <f t="shared" si="17"/>
        <v>91.2</v>
      </c>
      <c r="AA89" s="32">
        <f t="shared" si="17"/>
        <v>5674379.3200000003</v>
      </c>
      <c r="AB89" s="32">
        <f t="shared" si="17"/>
        <v>48013817.700000003</v>
      </c>
      <c r="AC89" s="32">
        <f t="shared" si="17"/>
        <v>29689356</v>
      </c>
      <c r="AD89" s="32">
        <f t="shared" si="17"/>
        <v>2179164</v>
      </c>
      <c r="AE89" s="32">
        <f t="shared" si="17"/>
        <v>0</v>
      </c>
      <c r="AF89" s="32">
        <f t="shared" si="17"/>
        <v>0</v>
      </c>
      <c r="AG89" s="32">
        <f t="shared" si="17"/>
        <v>192577977.90000004</v>
      </c>
      <c r="AH89" s="32">
        <f t="shared" si="17"/>
        <v>0</v>
      </c>
      <c r="AI89" s="32">
        <f t="shared" si="17"/>
        <v>5672104</v>
      </c>
      <c r="AJ89" s="32">
        <f t="shared" si="17"/>
        <v>4617610</v>
      </c>
      <c r="AK89" s="32">
        <f t="shared" si="17"/>
        <v>66070</v>
      </c>
      <c r="AL89" s="32">
        <f t="shared" si="17"/>
        <v>0</v>
      </c>
      <c r="AM89" s="32">
        <f t="shared" si="17"/>
        <v>0</v>
      </c>
      <c r="AN89" s="32">
        <f t="shared" si="17"/>
        <v>0</v>
      </c>
      <c r="AO89" s="32">
        <f t="shared" si="17"/>
        <v>2263</v>
      </c>
      <c r="AP89" s="32">
        <f t="shared" si="17"/>
        <v>0</v>
      </c>
      <c r="AQ89" s="32">
        <f t="shared" si="17"/>
        <v>0</v>
      </c>
      <c r="AR89" s="32">
        <f t="shared" si="17"/>
        <v>0</v>
      </c>
      <c r="AS89" s="32">
        <f t="shared" si="17"/>
        <v>0</v>
      </c>
      <c r="AT89" s="32">
        <f t="shared" si="17"/>
        <v>0</v>
      </c>
      <c r="AU89" s="32">
        <f t="shared" si="17"/>
        <v>0</v>
      </c>
      <c r="AV89" s="32">
        <f t="shared" si="17"/>
        <v>35973654.75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6"/>
        <v>904037268.55000019</v>
      </c>
      <c r="CF89" s="12">
        <f>D360</f>
        <v>904037268.55000007</v>
      </c>
    </row>
    <row r="90" spans="1:85" x14ac:dyDescent="0.35">
      <c r="A90" s="39" t="s">
        <v>275</v>
      </c>
      <c r="B90" s="32"/>
      <c r="C90" s="24">
        <v>9576.7099999999991</v>
      </c>
      <c r="D90" s="24">
        <v>11940.609999999995</v>
      </c>
      <c r="E90" s="24">
        <v>21064.249999999996</v>
      </c>
      <c r="F90" s="24">
        <v>0</v>
      </c>
      <c r="G90" s="24">
        <v>0</v>
      </c>
      <c r="H90" s="24">
        <v>15891.180000000006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13892.000000000005</v>
      </c>
      <c r="P90" s="24">
        <v>12953.94</v>
      </c>
      <c r="Q90" s="24">
        <v>0</v>
      </c>
      <c r="R90" s="24">
        <v>5419.78</v>
      </c>
      <c r="S90" s="24">
        <v>3421.9599999999996</v>
      </c>
      <c r="T90" s="24">
        <v>0</v>
      </c>
      <c r="U90" s="24">
        <v>4878.0400000000009</v>
      </c>
      <c r="V90" s="24">
        <v>0</v>
      </c>
      <c r="W90" s="24">
        <v>1028.69</v>
      </c>
      <c r="X90" s="24">
        <v>1928.63</v>
      </c>
      <c r="Y90" s="24">
        <v>12750.400000000001</v>
      </c>
      <c r="Z90" s="24">
        <v>0</v>
      </c>
      <c r="AA90" s="24">
        <v>2737.0699999999997</v>
      </c>
      <c r="AB90" s="24">
        <v>1109.9799999999998</v>
      </c>
      <c r="AC90" s="24">
        <v>1292.21</v>
      </c>
      <c r="AD90" s="24">
        <v>210.79</v>
      </c>
      <c r="AE90" s="24">
        <v>0</v>
      </c>
      <c r="AF90" s="24">
        <v>0</v>
      </c>
      <c r="AG90" s="24">
        <v>20649.850000000002</v>
      </c>
      <c r="AH90" s="24">
        <v>0</v>
      </c>
      <c r="AI90" s="24">
        <v>108.58</v>
      </c>
      <c r="AJ90" s="24">
        <v>83.32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4090.2700000000004</v>
      </c>
      <c r="AW90" s="24">
        <v>0</v>
      </c>
      <c r="AX90" s="24">
        <v>0</v>
      </c>
      <c r="AY90" s="24">
        <v>5980.5300000000007</v>
      </c>
      <c r="AZ90" s="24">
        <v>0</v>
      </c>
      <c r="BA90" s="24">
        <v>0</v>
      </c>
      <c r="BB90" s="24">
        <v>0</v>
      </c>
      <c r="BC90" s="24">
        <v>778.36</v>
      </c>
      <c r="BD90" s="24">
        <v>1173.78</v>
      </c>
      <c r="BE90" s="24">
        <v>50281.900000000023</v>
      </c>
      <c r="BF90" s="24">
        <v>2235.3500000000004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5969.3700000000008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0</v>
      </c>
      <c r="BU90" s="24">
        <v>0</v>
      </c>
      <c r="BV90" s="24">
        <v>0</v>
      </c>
      <c r="BW90" s="24">
        <v>0</v>
      </c>
      <c r="BX90" s="24">
        <v>171.12</v>
      </c>
      <c r="BY90" s="24">
        <v>548.57000000000005</v>
      </c>
      <c r="BZ90" s="24">
        <v>124</v>
      </c>
      <c r="CA90" s="24">
        <v>0</v>
      </c>
      <c r="CB90" s="24">
        <v>0</v>
      </c>
      <c r="CC90" s="24">
        <v>6627.5199999999995</v>
      </c>
      <c r="CD90" s="264" t="s">
        <v>233</v>
      </c>
      <c r="CE90" s="32">
        <f t="shared" si="16"/>
        <v>218918.75999999998</v>
      </c>
      <c r="CF90" s="32">
        <f>BE59-CE90</f>
        <v>0</v>
      </c>
    </row>
    <row r="91" spans="1:85" x14ac:dyDescent="0.35">
      <c r="A91" s="26" t="s">
        <v>276</v>
      </c>
      <c r="B91" s="20"/>
      <c r="C91" s="24">
        <v>9983</v>
      </c>
      <c r="D91" s="24">
        <v>19381</v>
      </c>
      <c r="E91" s="24">
        <v>33988</v>
      </c>
      <c r="F91" s="24">
        <v>166</v>
      </c>
      <c r="G91" s="24">
        <v>0</v>
      </c>
      <c r="H91" s="24">
        <v>48909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13067</v>
      </c>
      <c r="P91" s="24">
        <v>0</v>
      </c>
      <c r="Q91" s="24">
        <v>0</v>
      </c>
      <c r="R91" s="24">
        <v>2950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16293</v>
      </c>
      <c r="AH91" s="24">
        <v>0</v>
      </c>
      <c r="AI91" s="24">
        <v>653</v>
      </c>
      <c r="AJ91" s="24">
        <v>0</v>
      </c>
      <c r="AK91" s="24">
        <v>0</v>
      </c>
      <c r="AL91" s="24">
        <v>31</v>
      </c>
      <c r="AM91" s="24">
        <v>0</v>
      </c>
      <c r="AN91" s="24">
        <v>0</v>
      </c>
      <c r="AO91" s="24">
        <v>14620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15" t="s">
        <v>233</v>
      </c>
      <c r="AY91" s="315" t="s">
        <v>233</v>
      </c>
      <c r="AZ91" s="24">
        <v>0</v>
      </c>
      <c r="BA91" s="24">
        <v>0</v>
      </c>
      <c r="BB91" s="24">
        <v>0</v>
      </c>
      <c r="BC91" s="24">
        <v>0</v>
      </c>
      <c r="BD91" s="29" t="s">
        <v>233</v>
      </c>
      <c r="BE91" s="29" t="s">
        <v>233</v>
      </c>
      <c r="BF91" s="24">
        <v>0</v>
      </c>
      <c r="BG91" s="29" t="s">
        <v>233</v>
      </c>
      <c r="BH91" s="24">
        <v>0</v>
      </c>
      <c r="BI91" s="24">
        <v>0</v>
      </c>
      <c r="BJ91" s="29" t="s">
        <v>233</v>
      </c>
      <c r="BK91" s="24">
        <v>0</v>
      </c>
      <c r="BL91" s="24">
        <v>0</v>
      </c>
      <c r="BM91" s="24">
        <v>0</v>
      </c>
      <c r="BN91" s="29" t="s">
        <v>233</v>
      </c>
      <c r="BO91" s="29" t="s">
        <v>233</v>
      </c>
      <c r="BP91" s="29" t="s">
        <v>233</v>
      </c>
      <c r="BQ91" s="29" t="s">
        <v>233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233</v>
      </c>
      <c r="CD91" s="29" t="s">
        <v>233</v>
      </c>
      <c r="CE91" s="32">
        <f t="shared" si="16"/>
        <v>160041</v>
      </c>
      <c r="CF91" s="32">
        <f>AY59-CE91</f>
        <v>0</v>
      </c>
    </row>
    <row r="92" spans="1:85" x14ac:dyDescent="0.35">
      <c r="A92" s="26" t="s">
        <v>277</v>
      </c>
      <c r="B92" s="20"/>
      <c r="C92" s="24">
        <v>9741.5191734960063</v>
      </c>
      <c r="D92" s="24">
        <v>6682.2226877811327</v>
      </c>
      <c r="E92" s="24">
        <v>8993.817980158974</v>
      </c>
      <c r="F92" s="24">
        <v>0</v>
      </c>
      <c r="G92" s="24">
        <v>0</v>
      </c>
      <c r="H92" s="24">
        <v>6271.2724135806275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6647.9768315977581</v>
      </c>
      <c r="P92" s="24">
        <v>7849.4356193645135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3070.711771109331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24">
        <v>2972.2549345821267</v>
      </c>
      <c r="AH92" s="24">
        <v>0</v>
      </c>
      <c r="AI92" s="24">
        <v>0</v>
      </c>
      <c r="AJ92" s="24">
        <v>17242.788588329531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15" t="s">
        <v>233</v>
      </c>
      <c r="AY92" s="315" t="s">
        <v>233</v>
      </c>
      <c r="AZ92" s="29" t="s">
        <v>233</v>
      </c>
      <c r="BA92" s="24">
        <v>0</v>
      </c>
      <c r="BB92" s="24">
        <v>0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0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0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16"/>
        <v>69472</v>
      </c>
      <c r="CF92" s="20"/>
    </row>
    <row r="93" spans="1:85" x14ac:dyDescent="0.35">
      <c r="A93" s="26" t="s">
        <v>278</v>
      </c>
      <c r="B93" s="20"/>
      <c r="C93" s="24">
        <v>70262.84</v>
      </c>
      <c r="D93" s="24">
        <v>121575.3</v>
      </c>
      <c r="E93" s="24">
        <v>112082.87</v>
      </c>
      <c r="F93" s="24">
        <v>0</v>
      </c>
      <c r="G93" s="24">
        <v>0</v>
      </c>
      <c r="H93" s="24">
        <v>76176.14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99209.36</v>
      </c>
      <c r="P93" s="24">
        <v>52603.12</v>
      </c>
      <c r="Q93" s="24">
        <v>0</v>
      </c>
      <c r="R93" s="24">
        <v>7396.6</v>
      </c>
      <c r="S93" s="24">
        <v>6855.32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81838.080000000002</v>
      </c>
      <c r="Z93" s="24">
        <v>0</v>
      </c>
      <c r="AA93" s="24">
        <v>5494.94</v>
      </c>
      <c r="AB93" s="24">
        <v>2295.4</v>
      </c>
      <c r="AC93" s="24">
        <v>3988.44</v>
      </c>
      <c r="AD93" s="24">
        <v>0</v>
      </c>
      <c r="AE93" s="24">
        <v>0</v>
      </c>
      <c r="AF93" s="24">
        <v>0</v>
      </c>
      <c r="AG93" s="24">
        <v>177534.57</v>
      </c>
      <c r="AH93" s="24">
        <v>0</v>
      </c>
      <c r="AI93" s="24">
        <v>37387.78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6792.75</v>
      </c>
      <c r="AW93" s="24">
        <v>0</v>
      </c>
      <c r="AX93" s="315" t="s">
        <v>233</v>
      </c>
      <c r="AY93" s="315" t="s">
        <v>233</v>
      </c>
      <c r="AZ93" s="29" t="s">
        <v>233</v>
      </c>
      <c r="BA93" s="29" t="s">
        <v>233</v>
      </c>
      <c r="BB93" s="24">
        <v>0</v>
      </c>
      <c r="BC93" s="24">
        <v>0</v>
      </c>
      <c r="BD93" s="24">
        <v>4491.8999999999996</v>
      </c>
      <c r="BE93" s="29" t="s">
        <v>233</v>
      </c>
      <c r="BF93" s="24">
        <v>48929.3</v>
      </c>
      <c r="BG93" s="29" t="s">
        <v>233</v>
      </c>
      <c r="BH93" s="24">
        <v>0</v>
      </c>
      <c r="BI93" s="24">
        <v>0</v>
      </c>
      <c r="BJ93" s="29" t="s">
        <v>233</v>
      </c>
      <c r="BK93" s="24">
        <v>0</v>
      </c>
      <c r="BL93" s="24">
        <v>0</v>
      </c>
      <c r="BM93" s="24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791.3</v>
      </c>
      <c r="CD93" s="29" t="s">
        <v>233</v>
      </c>
      <c r="CE93" s="32">
        <f t="shared" si="16"/>
        <v>915706.00999999989</v>
      </c>
      <c r="CF93" s="32">
        <f>BA59</f>
        <v>0</v>
      </c>
    </row>
    <row r="94" spans="1:85" x14ac:dyDescent="0.35">
      <c r="A94" s="26" t="s">
        <v>279</v>
      </c>
      <c r="B94" s="20"/>
      <c r="C94" s="24">
        <v>41.561445199786107</v>
      </c>
      <c r="D94" s="24">
        <v>44.137656158337307</v>
      </c>
      <c r="E94" s="24">
        <v>31.360254105293119</v>
      </c>
      <c r="F94" s="24">
        <v>0</v>
      </c>
      <c r="G94" s="24">
        <v>0</v>
      </c>
      <c r="H94" s="24">
        <v>34.266352050100508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31.661527392923077</v>
      </c>
      <c r="P94" s="24">
        <v>8.8856417796047076</v>
      </c>
      <c r="Q94" s="24">
        <v>0</v>
      </c>
      <c r="R94" s="24">
        <v>8.5887171221111345</v>
      </c>
      <c r="S94" s="24">
        <v>0</v>
      </c>
      <c r="T94" s="24">
        <v>0</v>
      </c>
      <c r="U94" s="24">
        <v>3.983287670687221E-2</v>
      </c>
      <c r="V94" s="24">
        <v>0</v>
      </c>
      <c r="W94" s="24">
        <v>0</v>
      </c>
      <c r="X94" s="24">
        <v>0</v>
      </c>
      <c r="Y94" s="24">
        <v>4.1309349309409686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v>66.323993141599459</v>
      </c>
      <c r="AH94" s="24">
        <v>0</v>
      </c>
      <c r="AI94" s="24">
        <v>7.6926787660694975</v>
      </c>
      <c r="AJ94" s="24">
        <v>2.9050095886431495</v>
      </c>
      <c r="AK94" s="24">
        <v>0</v>
      </c>
      <c r="AL94" s="24">
        <v>0</v>
      </c>
      <c r="AM94" s="24">
        <v>0</v>
      </c>
      <c r="AN94" s="24">
        <v>0</v>
      </c>
      <c r="AO94" s="24">
        <v>3.5958904104663165E-4</v>
      </c>
      <c r="AP94" s="24">
        <v>0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10.249759587637019</v>
      </c>
      <c r="AW94" s="24">
        <v>8.3668219166620794</v>
      </c>
      <c r="AX94" s="315" t="s">
        <v>233</v>
      </c>
      <c r="AY94" s="315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4">
        <v>2.9965753420552639E-3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29" t="s">
        <v>233</v>
      </c>
      <c r="BV94" s="29" t="s">
        <v>233</v>
      </c>
      <c r="BW94" s="29" t="s">
        <v>233</v>
      </c>
      <c r="BX94" s="24">
        <v>1.8186335613947078</v>
      </c>
      <c r="BY94" s="24">
        <v>1.1827219176462027</v>
      </c>
      <c r="BZ94" s="335">
        <f>2.37034862981228+3.59945273923295</f>
        <v>5.9698013690452303</v>
      </c>
      <c r="CA94" s="29" t="s">
        <v>233</v>
      </c>
      <c r="CB94" s="29" t="s">
        <v>233</v>
      </c>
      <c r="CC94" s="29" t="s">
        <v>233</v>
      </c>
      <c r="CD94" s="29" t="s">
        <v>233</v>
      </c>
      <c r="CE94" s="267">
        <f t="shared" si="16"/>
        <v>309.1451376288843</v>
      </c>
      <c r="CF94" s="37"/>
    </row>
    <row r="95" spans="1:85" x14ac:dyDescent="0.35">
      <c r="A95" s="38" t="s">
        <v>280</v>
      </c>
      <c r="B95" s="38"/>
      <c r="C95" s="38"/>
      <c r="D95" s="38"/>
      <c r="E95" s="38"/>
    </row>
    <row r="96" spans="1:85" x14ac:dyDescent="0.35">
      <c r="A96" s="39" t="s">
        <v>281</v>
      </c>
      <c r="B96" s="40"/>
      <c r="C96" s="217" t="s">
        <v>1363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218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219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248">
        <v>98001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39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7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7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1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1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37" t="s">
        <v>1376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7564</v>
      </c>
      <c r="D127" s="50">
        <v>52142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1249</v>
      </c>
      <c r="D130" s="50">
        <v>1895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22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19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32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0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35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0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58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0</v>
      </c>
      <c r="D139" s="20"/>
      <c r="E139" s="20"/>
    </row>
    <row r="140" spans="1:5" x14ac:dyDescent="0.35">
      <c r="A140" s="20" t="s">
        <v>322</v>
      </c>
      <c r="B140" s="46"/>
      <c r="C140" s="47">
        <v>0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0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0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166</v>
      </c>
    </row>
    <row r="144" spans="1:5" x14ac:dyDescent="0.35">
      <c r="A144" s="20" t="s">
        <v>325</v>
      </c>
      <c r="B144" s="46" t="s">
        <v>284</v>
      </c>
      <c r="C144" s="47">
        <v>195</v>
      </c>
      <c r="D144" s="20"/>
      <c r="E144" s="20"/>
    </row>
    <row r="145" spans="1:13" x14ac:dyDescent="0.35">
      <c r="A145" s="20" t="s">
        <v>326</v>
      </c>
      <c r="B145" s="46" t="s">
        <v>284</v>
      </c>
      <c r="C145" s="47"/>
      <c r="D145" s="20"/>
      <c r="E145" s="20"/>
    </row>
    <row r="146" spans="1:13" x14ac:dyDescent="0.35">
      <c r="A146" s="20"/>
      <c r="B146" s="20"/>
      <c r="C146" s="27"/>
      <c r="D146" s="20"/>
      <c r="E146" s="20"/>
    </row>
    <row r="147" spans="1:13" x14ac:dyDescent="0.35">
      <c r="A147" s="20" t="s">
        <v>327</v>
      </c>
      <c r="B147" s="46" t="s">
        <v>284</v>
      </c>
      <c r="C147" s="47"/>
      <c r="D147" s="20"/>
      <c r="E147" s="20"/>
    </row>
    <row r="148" spans="1:13" x14ac:dyDescent="0.35">
      <c r="A148" s="20"/>
      <c r="B148" s="20"/>
      <c r="C148" s="27"/>
      <c r="D148" s="20"/>
      <c r="E148" s="20"/>
    </row>
    <row r="149" spans="1:13" x14ac:dyDescent="0.35">
      <c r="A149" s="20"/>
      <c r="B149" s="20"/>
      <c r="C149" s="27"/>
      <c r="D149" s="20"/>
      <c r="E149" s="20"/>
    </row>
    <row r="150" spans="1:13" x14ac:dyDescent="0.35">
      <c r="A150" s="20"/>
      <c r="B150" s="20"/>
      <c r="C150" s="27"/>
      <c r="D150" s="20"/>
      <c r="E150" s="20"/>
    </row>
    <row r="151" spans="1:13" x14ac:dyDescent="0.35">
      <c r="A151" s="20"/>
      <c r="B151" s="20"/>
      <c r="C151" s="27"/>
      <c r="D151" s="20"/>
      <c r="E151" s="20"/>
    </row>
    <row r="152" spans="1:13" x14ac:dyDescent="0.35">
      <c r="A152" s="38" t="s">
        <v>328</v>
      </c>
      <c r="B152" s="49"/>
      <c r="C152" s="49"/>
      <c r="D152" s="49"/>
      <c r="E152" s="49"/>
    </row>
    <row r="153" spans="1:13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13" x14ac:dyDescent="0.35">
      <c r="A154" s="20" t="s">
        <v>309</v>
      </c>
      <c r="B154" s="50">
        <v>3119.0011790365984</v>
      </c>
      <c r="C154" s="50">
        <v>2248.1727728020132</v>
      </c>
      <c r="D154" s="50">
        <v>2196.826048161387</v>
      </c>
      <c r="E154" s="32">
        <f>SUM(B154:D154)</f>
        <v>7563.9999999999982</v>
      </c>
    </row>
    <row r="155" spans="1:13" x14ac:dyDescent="0.35">
      <c r="A155" s="20" t="s">
        <v>227</v>
      </c>
      <c r="B155" s="50">
        <v>21501.480364844578</v>
      </c>
      <c r="C155" s="50">
        <v>15498.244455974112</v>
      </c>
      <c r="D155" s="50">
        <v>15144.275179181303</v>
      </c>
      <c r="E155" s="32">
        <f>SUM(B155:D155)</f>
        <v>52144</v>
      </c>
    </row>
    <row r="156" spans="1:13" x14ac:dyDescent="0.35">
      <c r="A156" s="20" t="s">
        <v>332</v>
      </c>
      <c r="B156" s="50">
        <v>20101</v>
      </c>
      <c r="C156" s="50">
        <v>26211</v>
      </c>
      <c r="D156" s="50">
        <v>26578</v>
      </c>
      <c r="E156" s="32">
        <f>SUM(B156:D156)</f>
        <v>72890</v>
      </c>
      <c r="G156" s="20" t="s">
        <v>332</v>
      </c>
      <c r="H156" s="50">
        <v>15735.616604073988</v>
      </c>
      <c r="I156" s="50">
        <v>11342.215915242947</v>
      </c>
      <c r="J156" s="50">
        <v>11083.167480683065</v>
      </c>
      <c r="K156" s="32">
        <v>38161</v>
      </c>
      <c r="L156" s="12">
        <f>E156-K156</f>
        <v>34729</v>
      </c>
      <c r="M156" s="12" t="s">
        <v>1375</v>
      </c>
    </row>
    <row r="157" spans="1:13" x14ac:dyDescent="0.35">
      <c r="A157" s="20" t="s">
        <v>272</v>
      </c>
      <c r="B157" s="50">
        <v>192447991.08453208</v>
      </c>
      <c r="C157" s="50">
        <v>138716309.77399284</v>
      </c>
      <c r="D157" s="50">
        <v>135548124.37147516</v>
      </c>
      <c r="E157" s="32">
        <f>SUM(B157:D157)</f>
        <v>466712425.23000008</v>
      </c>
      <c r="F157" s="18"/>
    </row>
    <row r="158" spans="1:13" x14ac:dyDescent="0.35">
      <c r="A158" s="20" t="s">
        <v>273</v>
      </c>
      <c r="B158" s="50">
        <v>180330076.93509725</v>
      </c>
      <c r="C158" s="50">
        <v>129981729.98703469</v>
      </c>
      <c r="D158" s="50">
        <v>127013036.39786798</v>
      </c>
      <c r="E158" s="32">
        <f>SUM(B158:D158)</f>
        <v>437324843.31999993</v>
      </c>
      <c r="F158" s="18"/>
    </row>
    <row r="159" spans="1:13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13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6063791.5099999998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0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9227834.4100000001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0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4247201.7300000004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43995.86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19582823.509999998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312565.15000000002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1091515.6099999999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1404080.7599999998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1803176.35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1803176.35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110885.75999999999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1404581.8899999997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1515467.6499999997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0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3436425.72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3436425.72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10662099.630000001</v>
      </c>
      <c r="C211" s="47">
        <v>102538.5</v>
      </c>
      <c r="D211" s="50">
        <v>0</v>
      </c>
      <c r="E211" s="32">
        <f t="shared" ref="E211:E219" si="18">SUM(B211:C211)-D211</f>
        <v>10764638.130000001</v>
      </c>
    </row>
    <row r="212" spans="1:5" x14ac:dyDescent="0.35">
      <c r="A212" s="20" t="s">
        <v>367</v>
      </c>
      <c r="B212" s="50">
        <v>25229.74</v>
      </c>
      <c r="C212" s="47">
        <v>0</v>
      </c>
      <c r="D212" s="50">
        <v>0</v>
      </c>
      <c r="E212" s="32">
        <f t="shared" si="18"/>
        <v>25229.74</v>
      </c>
    </row>
    <row r="213" spans="1:5" x14ac:dyDescent="0.35">
      <c r="A213" s="20" t="s">
        <v>368</v>
      </c>
      <c r="B213" s="50">
        <v>144312755.22</v>
      </c>
      <c r="C213" s="47">
        <v>1847634.9500000002</v>
      </c>
      <c r="D213" s="50">
        <v>0</v>
      </c>
      <c r="E213" s="32">
        <f t="shared" si="18"/>
        <v>146160390.16999999</v>
      </c>
    </row>
    <row r="214" spans="1:5" x14ac:dyDescent="0.35">
      <c r="A214" s="20" t="s">
        <v>369</v>
      </c>
      <c r="B214" s="50">
        <v>0</v>
      </c>
      <c r="C214" s="47">
        <v>0</v>
      </c>
      <c r="D214" s="50">
        <v>0</v>
      </c>
      <c r="E214" s="32">
        <f t="shared" si="18"/>
        <v>0</v>
      </c>
    </row>
    <row r="215" spans="1:5" x14ac:dyDescent="0.35">
      <c r="A215" s="20" t="s">
        <v>370</v>
      </c>
      <c r="B215" s="50">
        <v>5923782.7600000007</v>
      </c>
      <c r="C215" s="47">
        <v>336344.74</v>
      </c>
      <c r="D215" s="50">
        <v>0</v>
      </c>
      <c r="E215" s="32">
        <f t="shared" si="18"/>
        <v>6260127.5000000009</v>
      </c>
    </row>
    <row r="216" spans="1:5" x14ac:dyDescent="0.35">
      <c r="A216" s="20" t="s">
        <v>371</v>
      </c>
      <c r="B216" s="50">
        <v>44368499.480000004</v>
      </c>
      <c r="C216" s="47">
        <v>2425883.7799999998</v>
      </c>
      <c r="D216" s="50">
        <v>7154660.8000000007</v>
      </c>
      <c r="E216" s="32">
        <f t="shared" si="18"/>
        <v>39639722.460000008</v>
      </c>
    </row>
    <row r="217" spans="1:5" x14ac:dyDescent="0.35">
      <c r="A217" s="20" t="s">
        <v>372</v>
      </c>
      <c r="B217" s="50">
        <v>0</v>
      </c>
      <c r="C217" s="47">
        <v>0</v>
      </c>
      <c r="D217" s="50">
        <v>0</v>
      </c>
      <c r="E217" s="32">
        <f t="shared" si="18"/>
        <v>0</v>
      </c>
    </row>
    <row r="218" spans="1:5" x14ac:dyDescent="0.35">
      <c r="A218" s="20" t="s">
        <v>373</v>
      </c>
      <c r="B218" s="50">
        <v>2243865.39</v>
      </c>
      <c r="C218" s="47">
        <v>29772.25</v>
      </c>
      <c r="D218" s="50">
        <v>0</v>
      </c>
      <c r="E218" s="32">
        <f t="shared" si="18"/>
        <v>2273637.64</v>
      </c>
    </row>
    <row r="219" spans="1:5" x14ac:dyDescent="0.35">
      <c r="A219" s="20" t="s">
        <v>374</v>
      </c>
      <c r="B219" s="50">
        <v>0</v>
      </c>
      <c r="C219" s="47">
        <v>0</v>
      </c>
      <c r="D219" s="50">
        <v>0</v>
      </c>
      <c r="E219" s="32">
        <f t="shared" si="18"/>
        <v>0</v>
      </c>
    </row>
    <row r="220" spans="1:5" x14ac:dyDescent="0.35">
      <c r="A220" s="20" t="s">
        <v>215</v>
      </c>
      <c r="B220" s="32">
        <f>SUM(B211:B219)</f>
        <v>207536232.21999997</v>
      </c>
      <c r="C220" s="266">
        <f>SUM(C211:C219)</f>
        <v>4742174.2200000007</v>
      </c>
      <c r="D220" s="32">
        <f>SUM(D211:D219)</f>
        <v>7154660.8000000007</v>
      </c>
      <c r="E220" s="32">
        <f>SUM(E211:E219)</f>
        <v>205123745.63999999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17144.330000000002</v>
      </c>
      <c r="C225" s="47">
        <v>2769.7899999999995</v>
      </c>
      <c r="D225" s="50">
        <v>0</v>
      </c>
      <c r="E225" s="32">
        <f t="shared" ref="E225:E232" si="19">SUM(B225:C225)-D225</f>
        <v>19914.120000000003</v>
      </c>
    </row>
    <row r="226" spans="1:5" x14ac:dyDescent="0.35">
      <c r="A226" s="20" t="s">
        <v>368</v>
      </c>
      <c r="B226" s="50">
        <v>48067213.289999999</v>
      </c>
      <c r="C226" s="47">
        <v>184554.45000000019</v>
      </c>
      <c r="D226" s="50">
        <v>0</v>
      </c>
      <c r="E226" s="32">
        <f t="shared" si="19"/>
        <v>48251767.740000002</v>
      </c>
    </row>
    <row r="227" spans="1:5" x14ac:dyDescent="0.35">
      <c r="A227" s="20" t="s">
        <v>369</v>
      </c>
      <c r="B227" s="50">
        <v>0</v>
      </c>
      <c r="C227" s="47">
        <v>0</v>
      </c>
      <c r="D227" s="50">
        <v>0</v>
      </c>
      <c r="E227" s="32">
        <f t="shared" si="19"/>
        <v>0</v>
      </c>
    </row>
    <row r="228" spans="1:5" x14ac:dyDescent="0.35">
      <c r="A228" s="20" t="s">
        <v>370</v>
      </c>
      <c r="B228" s="50">
        <v>1884536.02</v>
      </c>
      <c r="C228" s="47">
        <v>468019.20000000071</v>
      </c>
      <c r="D228" s="50">
        <v>0</v>
      </c>
      <c r="E228" s="32">
        <f t="shared" si="19"/>
        <v>2352555.2200000007</v>
      </c>
    </row>
    <row r="229" spans="1:5" x14ac:dyDescent="0.35">
      <c r="A229" s="20" t="s">
        <v>371</v>
      </c>
      <c r="B229" s="50">
        <v>33406179.890000004</v>
      </c>
      <c r="C229" s="47">
        <v>1451380.9999999939</v>
      </c>
      <c r="D229" s="50">
        <v>6976136.6100000003</v>
      </c>
      <c r="E229" s="32">
        <f t="shared" si="19"/>
        <v>27881424.280000001</v>
      </c>
    </row>
    <row r="230" spans="1:5" x14ac:dyDescent="0.35">
      <c r="A230" s="20" t="s">
        <v>372</v>
      </c>
      <c r="B230" s="50">
        <v>0</v>
      </c>
      <c r="C230" s="47">
        <v>0</v>
      </c>
      <c r="D230" s="50">
        <v>0</v>
      </c>
      <c r="E230" s="32">
        <f t="shared" si="19"/>
        <v>0</v>
      </c>
    </row>
    <row r="231" spans="1:5" x14ac:dyDescent="0.35">
      <c r="A231" s="20" t="s">
        <v>373</v>
      </c>
      <c r="B231" s="50">
        <v>1232321.48</v>
      </c>
      <c r="C231" s="47">
        <v>-48438.750000000015</v>
      </c>
      <c r="D231" s="50">
        <v>0</v>
      </c>
      <c r="E231" s="32">
        <f t="shared" si="19"/>
        <v>1183882.73</v>
      </c>
    </row>
    <row r="232" spans="1:5" x14ac:dyDescent="0.35">
      <c r="A232" s="20" t="s">
        <v>374</v>
      </c>
      <c r="B232" s="50">
        <v>0</v>
      </c>
      <c r="C232" s="47">
        <v>0</v>
      </c>
      <c r="D232" s="50">
        <v>0</v>
      </c>
      <c r="E232" s="32">
        <f t="shared" si="19"/>
        <v>0</v>
      </c>
    </row>
    <row r="233" spans="1:5" x14ac:dyDescent="0.35">
      <c r="A233" s="20" t="s">
        <v>215</v>
      </c>
      <c r="B233" s="32">
        <f>SUM(B224:B232)</f>
        <v>84607395.010000005</v>
      </c>
      <c r="C233" s="266">
        <f>SUM(C224:C232)</f>
        <v>2058285.6899999948</v>
      </c>
      <c r="D233" s="32">
        <f>SUM(D224:D232)</f>
        <v>6976136.6100000003</v>
      </c>
      <c r="E233" s="32">
        <f>SUM(E224:E232)</f>
        <v>79689544.090000004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36" t="s">
        <v>377</v>
      </c>
      <c r="C236" s="336"/>
      <c r="D236" s="38"/>
      <c r="E236" s="38"/>
    </row>
    <row r="237" spans="1:5" x14ac:dyDescent="0.35">
      <c r="A237" s="56" t="s">
        <v>377</v>
      </c>
      <c r="B237" s="38"/>
      <c r="C237" s="47">
        <v>8591050.290000001</v>
      </c>
      <c r="D237" s="40">
        <f>C237</f>
        <v>8591050.290000001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269274686.72172701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194092911.26961607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13979458.24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75893324.437281027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99787179.581375703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653027560.24999988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4315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8980773.6091208067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8415279.3008791916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17396052.909999996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10288687.08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10288687.08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689303350.52999985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/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40107992.699999988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9070297.569999991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2.9999999940627999E-2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3918145.68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892060.17999999993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35847901.019999996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10764638.130000001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25229.74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146160390.16999999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6260127.5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39639722.460000001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2273637.64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205123745.63999999</v>
      </c>
      <c r="E291" s="20"/>
    </row>
    <row r="292" spans="1:5" x14ac:dyDescent="0.35">
      <c r="A292" s="20" t="s">
        <v>416</v>
      </c>
      <c r="B292" s="46" t="s">
        <v>284</v>
      </c>
      <c r="C292" s="47">
        <v>79689544.090000004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125434201.54999998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8232040.1900000004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8232040.1900000004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169514142.75999999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3419607.2799999989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20493.599999999999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500000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1006942.02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4947042.8999999985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0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>
        <v>308458746.06</v>
      </c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0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308458746.06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308458746.06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16">
        <v>-143891646.20000002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169514142.75999996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169514142.75999999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466712425.23000002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437324843.32000005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904037268.55000007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8591050.2899999991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663316247.33000004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17396052.91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0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689303350.52999997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214733918.0200001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9964124.8999999985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9964124.8999999985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9964124.8999999985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224698042.92000011</v>
      </c>
      <c r="E384" s="20"/>
    </row>
    <row r="385" spans="1:7" x14ac:dyDescent="0.35">
      <c r="A385" s="20"/>
      <c r="B385" s="20"/>
      <c r="C385" s="27"/>
      <c r="D385" s="20"/>
      <c r="E385" s="20"/>
    </row>
    <row r="386" spans="1:7" x14ac:dyDescent="0.35">
      <c r="A386" s="20"/>
      <c r="B386" s="20"/>
      <c r="C386" s="27"/>
      <c r="D386" s="20"/>
      <c r="E386" s="20"/>
    </row>
    <row r="387" spans="1:7" x14ac:dyDescent="0.35">
      <c r="A387" s="20"/>
      <c r="B387" s="20"/>
      <c r="C387" s="27"/>
      <c r="D387" s="20"/>
      <c r="E387" s="20"/>
    </row>
    <row r="388" spans="1:7" x14ac:dyDescent="0.35">
      <c r="A388" s="45" t="s">
        <v>494</v>
      </c>
      <c r="B388" s="45"/>
      <c r="C388" s="45"/>
      <c r="D388" s="45"/>
      <c r="E388" s="45"/>
    </row>
    <row r="389" spans="1:7" x14ac:dyDescent="0.35">
      <c r="A389" s="20" t="s">
        <v>495</v>
      </c>
      <c r="B389" s="46" t="s">
        <v>284</v>
      </c>
      <c r="C389" s="47">
        <v>120044133.39000003</v>
      </c>
      <c r="D389" s="20"/>
      <c r="E389" s="20"/>
      <c r="F389" s="12">
        <f>CE61</f>
        <v>120044133.39000003</v>
      </c>
      <c r="G389" s="333">
        <f>F389-C389</f>
        <v>0</v>
      </c>
    </row>
    <row r="390" spans="1:7" x14ac:dyDescent="0.35">
      <c r="A390" s="20" t="s">
        <v>9</v>
      </c>
      <c r="B390" s="46" t="s">
        <v>284</v>
      </c>
      <c r="C390" s="47">
        <v>19582823.510000002</v>
      </c>
      <c r="D390" s="20"/>
      <c r="E390" s="20"/>
      <c r="F390" s="12">
        <f t="shared" ref="F390:F396" si="20">CE62</f>
        <v>19582823.510000002</v>
      </c>
      <c r="G390" s="333">
        <f t="shared" ref="G390:G396" si="21">F390-C390</f>
        <v>0</v>
      </c>
    </row>
    <row r="391" spans="1:7" x14ac:dyDescent="0.35">
      <c r="A391" s="20" t="s">
        <v>249</v>
      </c>
      <c r="B391" s="46" t="s">
        <v>284</v>
      </c>
      <c r="C391" s="47">
        <v>12708328.359999999</v>
      </c>
      <c r="D391" s="20"/>
      <c r="E391" s="20"/>
      <c r="F391" s="12">
        <f t="shared" si="20"/>
        <v>12708328.359999999</v>
      </c>
      <c r="G391" s="333">
        <f t="shared" si="21"/>
        <v>0</v>
      </c>
    </row>
    <row r="392" spans="1:7" x14ac:dyDescent="0.35">
      <c r="A392" s="20" t="s">
        <v>496</v>
      </c>
      <c r="B392" s="46" t="s">
        <v>284</v>
      </c>
      <c r="C392" s="47">
        <v>28156086.82</v>
      </c>
      <c r="D392" s="20"/>
      <c r="E392" s="20"/>
      <c r="F392" s="12">
        <f t="shared" si="20"/>
        <v>28156086.82</v>
      </c>
      <c r="G392" s="333">
        <f t="shared" si="21"/>
        <v>0</v>
      </c>
    </row>
    <row r="393" spans="1:7" x14ac:dyDescent="0.35">
      <c r="A393" s="20" t="s">
        <v>497</v>
      </c>
      <c r="B393" s="46" t="s">
        <v>284</v>
      </c>
      <c r="C393" s="47">
        <v>1211673.03</v>
      </c>
      <c r="D393" s="20"/>
      <c r="E393" s="20"/>
      <c r="F393" s="12">
        <f t="shared" si="20"/>
        <v>1211673.03</v>
      </c>
      <c r="G393" s="333">
        <f t="shared" si="21"/>
        <v>0</v>
      </c>
    </row>
    <row r="394" spans="1:7" x14ac:dyDescent="0.35">
      <c r="A394" s="20" t="s">
        <v>498</v>
      </c>
      <c r="B394" s="46" t="s">
        <v>284</v>
      </c>
      <c r="C394" s="47">
        <v>62336247.759999976</v>
      </c>
      <c r="D394" s="20"/>
      <c r="E394" s="20"/>
      <c r="F394" s="12">
        <f t="shared" si="20"/>
        <v>62336247.759999998</v>
      </c>
      <c r="G394" s="333">
        <f t="shared" si="21"/>
        <v>0</v>
      </c>
    </row>
    <row r="395" spans="1:7" x14ac:dyDescent="0.35">
      <c r="A395" s="20" t="s">
        <v>11</v>
      </c>
      <c r="B395" s="46" t="s">
        <v>284</v>
      </c>
      <c r="C395" s="47">
        <v>5867130.6100000003</v>
      </c>
      <c r="D395" s="20"/>
      <c r="E395" s="20"/>
      <c r="F395" s="12">
        <f t="shared" si="20"/>
        <v>5867130.6100000003</v>
      </c>
      <c r="G395" s="333">
        <f t="shared" si="21"/>
        <v>0</v>
      </c>
    </row>
    <row r="396" spans="1:7" x14ac:dyDescent="0.35">
      <c r="A396" s="20" t="s">
        <v>499</v>
      </c>
      <c r="B396" s="46" t="s">
        <v>284</v>
      </c>
      <c r="C396" s="47">
        <v>1404080.7599999995</v>
      </c>
      <c r="D396" s="20"/>
      <c r="E396" s="20"/>
      <c r="F396" s="12">
        <f t="shared" si="20"/>
        <v>1404080.7599999995</v>
      </c>
      <c r="G396" s="333">
        <f t="shared" si="21"/>
        <v>0</v>
      </c>
    </row>
    <row r="397" spans="1:7" x14ac:dyDescent="0.35">
      <c r="A397" s="20" t="s">
        <v>500</v>
      </c>
      <c r="B397" s="46" t="s">
        <v>284</v>
      </c>
      <c r="C397" s="47">
        <v>1803176.3500000006</v>
      </c>
      <c r="D397" s="20"/>
      <c r="E397" s="20"/>
      <c r="G397" s="333"/>
    </row>
    <row r="398" spans="1:7" x14ac:dyDescent="0.35">
      <c r="A398" s="20" t="s">
        <v>501</v>
      </c>
      <c r="B398" s="46" t="s">
        <v>284</v>
      </c>
      <c r="C398" s="47">
        <v>1515467.65</v>
      </c>
      <c r="D398" s="20"/>
      <c r="E398" s="20"/>
      <c r="G398" s="333"/>
    </row>
    <row r="399" spans="1:7" x14ac:dyDescent="0.35">
      <c r="A399" s="20" t="s">
        <v>502</v>
      </c>
      <c r="B399" s="46" t="s">
        <v>284</v>
      </c>
      <c r="C399" s="47">
        <v>3436425.72</v>
      </c>
      <c r="D399" s="20"/>
      <c r="E399" s="20"/>
      <c r="F399" s="12">
        <f>CD85</f>
        <v>6755069.7200000007</v>
      </c>
      <c r="G399" s="333">
        <f>SUM(C397:C399)-F399</f>
        <v>0</v>
      </c>
    </row>
    <row r="400" spans="1:7" x14ac:dyDescent="0.35">
      <c r="A400" s="32" t="s">
        <v>503</v>
      </c>
      <c r="B400" s="20"/>
      <c r="C400" s="20"/>
      <c r="D400" s="20"/>
      <c r="E400" s="20"/>
      <c r="G400" s="333"/>
    </row>
    <row r="401" spans="1:9" x14ac:dyDescent="0.35">
      <c r="A401" s="33" t="s">
        <v>255</v>
      </c>
      <c r="B401" s="40" t="s">
        <v>284</v>
      </c>
      <c r="C401" s="273"/>
      <c r="D401" s="32"/>
      <c r="E401" s="32"/>
      <c r="G401" s="333"/>
    </row>
    <row r="402" spans="1:9" x14ac:dyDescent="0.35">
      <c r="A402" s="33" t="s">
        <v>256</v>
      </c>
      <c r="B402" s="40" t="s">
        <v>284</v>
      </c>
      <c r="C402" s="273"/>
      <c r="D402" s="32"/>
      <c r="E402" s="32"/>
      <c r="G402" s="333"/>
    </row>
    <row r="403" spans="1:9" x14ac:dyDescent="0.35">
      <c r="A403" s="33" t="s">
        <v>504</v>
      </c>
      <c r="B403" s="40" t="s">
        <v>284</v>
      </c>
      <c r="C403" s="273"/>
      <c r="D403" s="32"/>
      <c r="E403" s="32"/>
      <c r="G403" s="333"/>
    </row>
    <row r="404" spans="1:9" x14ac:dyDescent="0.35">
      <c r="A404" s="33" t="s">
        <v>258</v>
      </c>
      <c r="B404" s="40" t="s">
        <v>284</v>
      </c>
      <c r="C404" s="273"/>
      <c r="D404" s="32"/>
      <c r="E404" s="32"/>
      <c r="G404" s="333"/>
    </row>
    <row r="405" spans="1:9" x14ac:dyDescent="0.35">
      <c r="A405" s="33" t="s">
        <v>259</v>
      </c>
      <c r="B405" s="40" t="s">
        <v>284</v>
      </c>
      <c r="C405" s="273"/>
      <c r="D405" s="32"/>
      <c r="E405" s="32"/>
      <c r="G405" s="333"/>
    </row>
    <row r="406" spans="1:9" x14ac:dyDescent="0.35">
      <c r="A406" s="33" t="s">
        <v>260</v>
      </c>
      <c r="B406" s="40" t="s">
        <v>284</v>
      </c>
      <c r="C406" s="273"/>
      <c r="D406" s="32"/>
      <c r="E406" s="32"/>
      <c r="G406" s="333"/>
    </row>
    <row r="407" spans="1:9" x14ac:dyDescent="0.35">
      <c r="A407" s="33" t="s">
        <v>261</v>
      </c>
      <c r="B407" s="40" t="s">
        <v>284</v>
      </c>
      <c r="C407" s="273"/>
      <c r="D407" s="32"/>
      <c r="E407" s="32"/>
      <c r="G407" s="333"/>
    </row>
    <row r="408" spans="1:9" x14ac:dyDescent="0.35">
      <c r="A408" s="33" t="s">
        <v>262</v>
      </c>
      <c r="B408" s="40" t="s">
        <v>284</v>
      </c>
      <c r="C408" s="273"/>
      <c r="D408" s="32"/>
      <c r="E408" s="32"/>
      <c r="G408" s="333"/>
    </row>
    <row r="409" spans="1:9" x14ac:dyDescent="0.35">
      <c r="A409" s="33" t="s">
        <v>263</v>
      </c>
      <c r="B409" s="40" t="s">
        <v>284</v>
      </c>
      <c r="C409" s="273"/>
      <c r="D409" s="32"/>
      <c r="E409" s="32"/>
      <c r="G409" s="333"/>
    </row>
    <row r="410" spans="1:9" x14ac:dyDescent="0.35">
      <c r="A410" s="33" t="s">
        <v>264</v>
      </c>
      <c r="B410" s="40" t="s">
        <v>284</v>
      </c>
      <c r="C410" s="273"/>
      <c r="D410" s="32"/>
      <c r="E410" s="32"/>
      <c r="G410" s="333"/>
    </row>
    <row r="411" spans="1:9" x14ac:dyDescent="0.35">
      <c r="A411" s="33" t="s">
        <v>265</v>
      </c>
      <c r="B411" s="40" t="s">
        <v>284</v>
      </c>
      <c r="C411" s="273"/>
      <c r="D411" s="32"/>
      <c r="E411" s="32"/>
      <c r="G411" s="333"/>
    </row>
    <row r="412" spans="1:9" x14ac:dyDescent="0.35">
      <c r="A412" s="33" t="s">
        <v>266</v>
      </c>
      <c r="B412" s="40" t="s">
        <v>284</v>
      </c>
      <c r="C412" s="273"/>
      <c r="D412" s="32"/>
      <c r="E412" s="32"/>
      <c r="G412" s="333"/>
    </row>
    <row r="413" spans="1:9" x14ac:dyDescent="0.35">
      <c r="A413" s="33" t="s">
        <v>267</v>
      </c>
      <c r="B413" s="40" t="s">
        <v>284</v>
      </c>
      <c r="C413" s="273"/>
      <c r="D413" s="32"/>
      <c r="E413" s="32"/>
      <c r="G413" s="333"/>
    </row>
    <row r="414" spans="1:9" x14ac:dyDescent="0.35">
      <c r="A414" s="33" t="s">
        <v>268</v>
      </c>
      <c r="B414" s="40" t="s">
        <v>284</v>
      </c>
      <c r="C414" s="236">
        <v>9269240.2300000004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333">
        <f>CE83-CD83</f>
        <v>9269240.2300000004</v>
      </c>
      <c r="G414" s="333">
        <f>F414-C414</f>
        <v>0</v>
      </c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9269240.2300000004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267334814.19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-42636771.269999892</v>
      </c>
      <c r="E417" s="32"/>
    </row>
    <row r="418" spans="1:13" x14ac:dyDescent="0.35">
      <c r="A418" s="32" t="s">
        <v>508</v>
      </c>
      <c r="B418" s="20"/>
      <c r="C418" s="236">
        <v>0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-42636771.269999892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>
        <v>0</v>
      </c>
      <c r="D422" s="32"/>
      <c r="E422" s="20"/>
    </row>
    <row r="423" spans="1:13" x14ac:dyDescent="0.35">
      <c r="A423" s="20" t="s">
        <v>513</v>
      </c>
      <c r="B423" s="46" t="s">
        <v>284</v>
      </c>
      <c r="C423" s="47">
        <v>0</v>
      </c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-42636771.269999892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85" s="231" customFormat="1" ht="12.65" customHeight="1" x14ac:dyDescent="0.3">
      <c r="A612" s="251"/>
      <c r="C612" s="249" t="s">
        <v>515</v>
      </c>
      <c r="D612" s="256">
        <f>CE90-(BE90+CD90)</f>
        <v>168636.85999999996</v>
      </c>
      <c r="E612" s="258">
        <f>SUM(C624:D647)+SUM(C668:D713)</f>
        <v>183098629.45380202</v>
      </c>
      <c r="F612" s="258">
        <f>CE64-(AX64+BD64+BE64+BG64+BJ64+BN64+BP64+BQ64+CB64+CC64+CD64)</f>
        <v>27289880.330000002</v>
      </c>
      <c r="G612" s="256">
        <f>CE91-(AX91+AY91+BD91+BE91+BG91+BJ91+BN91+BP91+BQ91+CB91+CC91+CD91)</f>
        <v>160041</v>
      </c>
      <c r="H612" s="261">
        <f>CE60-(AX60+AY60+AZ60+BD60+BE60+BG60+BJ60+BN60+BO60+BP60+BQ60+BR60+CB60+CC60+CD60)</f>
        <v>803.32075262968226</v>
      </c>
      <c r="I612" s="256">
        <f>CE92-(AX92+AY92+AZ92+BD92+BE92+BF92+BG92+BJ92+BN92+BO92+BP92+BQ92+BR92+CB92+CC92+CD92)</f>
        <v>69472</v>
      </c>
      <c r="J612" s="256">
        <f>CE93-(AX93+AY93+AZ93+BA93+BD93+BE93+BF93+BG93+BJ93+BN93+BO93+BP93+BQ93+BR93+CB93+CC93+CD93)</f>
        <v>861493.50999999989</v>
      </c>
      <c r="K612" s="256">
        <f>CE89-(AW89+AX89+AY89+AZ89+BA89+BB89+BC89+BD89+BE89+BF89+BG89+BH89+BI89+BJ89+BK89+BL89+BM89+BN89+BO89+BP89+BQ89+BR89+BS89+BT89+BU89+BV89+BW89+BX89+CB89+CC89+CD89)</f>
        <v>904037268.55000019</v>
      </c>
      <c r="L612" s="262">
        <f>CE94-(AW94+AX94+AY94+AZ94+BA94+BB94+BC94+BD94+BE94+BF94+BG94+BH94+BI94+BJ94+BK94+BL94+BM94+BN94+BO94+BP94+BQ94+BR94+BS94+BT94+BU94+BV94+BW94+BX94+BY94+BZ94+CA94+CB94+CC94+CD94)</f>
        <v>291.80416228879403</v>
      </c>
      <c r="CG612" s="333"/>
    </row>
    <row r="613" spans="1:85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  <c r="CG613" s="333"/>
    </row>
    <row r="614" spans="1:85" s="231" customFormat="1" ht="12.65" customHeight="1" x14ac:dyDescent="0.3">
      <c r="A614" s="251">
        <v>8430</v>
      </c>
      <c r="B614" s="250" t="s">
        <v>152</v>
      </c>
      <c r="C614" s="256">
        <f>BE85</f>
        <v>3208973.3000000003</v>
      </c>
      <c r="D614" s="256"/>
      <c r="E614" s="258"/>
      <c r="F614" s="258"/>
      <c r="G614" s="256"/>
      <c r="H614" s="258"/>
      <c r="I614" s="256"/>
      <c r="J614" s="256"/>
      <c r="N614" s="252" t="s">
        <v>526</v>
      </c>
      <c r="CG614" s="333"/>
    </row>
    <row r="615" spans="1:85" s="231" customFormat="1" ht="12.65" customHeight="1" x14ac:dyDescent="0.3">
      <c r="A615" s="251"/>
      <c r="B615" s="250" t="s">
        <v>527</v>
      </c>
      <c r="C615" s="256">
        <f>CD69-CD84</f>
        <v>6755069.7200000007</v>
      </c>
      <c r="D615" s="256">
        <f>SUM(C614:C615)</f>
        <v>9964043.0200000014</v>
      </c>
      <c r="E615" s="258"/>
      <c r="F615" s="258"/>
      <c r="G615" s="256"/>
      <c r="H615" s="258"/>
      <c r="I615" s="256"/>
      <c r="J615" s="256"/>
      <c r="N615" s="252" t="s">
        <v>528</v>
      </c>
      <c r="CG615" s="333"/>
    </row>
    <row r="616" spans="1:85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  <c r="CG616" s="333"/>
    </row>
    <row r="617" spans="1:85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  <c r="CG617" s="333"/>
    </row>
    <row r="618" spans="1:85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  <c r="CG618" s="333"/>
    </row>
    <row r="619" spans="1:85" s="231" customFormat="1" ht="12.65" customHeight="1" x14ac:dyDescent="0.3">
      <c r="A619" s="251">
        <v>8610</v>
      </c>
      <c r="B619" s="255" t="s">
        <v>534</v>
      </c>
      <c r="C619" s="256">
        <f>BN85</f>
        <v>4161779.55</v>
      </c>
      <c r="D619" s="256">
        <f>(D615/D612)*BN90</f>
        <v>352704.97495208005</v>
      </c>
      <c r="E619" s="258"/>
      <c r="F619" s="258"/>
      <c r="G619" s="256"/>
      <c r="H619" s="258"/>
      <c r="I619" s="256"/>
      <c r="J619" s="256"/>
      <c r="N619" s="252" t="s">
        <v>535</v>
      </c>
      <c r="CG619" s="333"/>
    </row>
    <row r="620" spans="1:85" s="231" customFormat="1" ht="12.65" customHeight="1" x14ac:dyDescent="0.3">
      <c r="A620" s="251">
        <v>8790</v>
      </c>
      <c r="B620" s="255" t="s">
        <v>536</v>
      </c>
      <c r="C620" s="256">
        <f>CC85</f>
        <v>69365983.019999996</v>
      </c>
      <c r="D620" s="256">
        <f>(D615/D612)*CC90</f>
        <v>391592.29124587838</v>
      </c>
      <c r="E620" s="258"/>
      <c r="F620" s="258"/>
      <c r="G620" s="256"/>
      <c r="H620" s="258"/>
      <c r="I620" s="256"/>
      <c r="J620" s="256"/>
      <c r="N620" s="252" t="s">
        <v>537</v>
      </c>
      <c r="CG620" s="333"/>
    </row>
    <row r="621" spans="1:85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  <c r="CG621" s="333"/>
    </row>
    <row r="622" spans="1:85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  <c r="CG622" s="333"/>
    </row>
    <row r="623" spans="1:85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74272059.836197957</v>
      </c>
      <c r="F623" s="258"/>
      <c r="G623" s="256"/>
      <c r="H623" s="258"/>
      <c r="I623" s="256"/>
      <c r="J623" s="256"/>
      <c r="N623" s="252" t="s">
        <v>543</v>
      </c>
      <c r="CG623" s="333"/>
    </row>
    <row r="624" spans="1:85" s="231" customFormat="1" ht="12.65" customHeight="1" x14ac:dyDescent="0.3">
      <c r="A624" s="251">
        <v>8420</v>
      </c>
      <c r="B624" s="255" t="s">
        <v>151</v>
      </c>
      <c r="C624" s="256">
        <f>BD85</f>
        <v>799513.46999999986</v>
      </c>
      <c r="D624" s="256">
        <f>(D615/D612)*BD90</f>
        <v>69353.725016082506</v>
      </c>
      <c r="E624" s="258">
        <f>(E623/E612)*SUM(C624:D624)</f>
        <v>352446.96528013219</v>
      </c>
      <c r="F624" s="258">
        <f>SUM(C624:E624)</f>
        <v>1221314.1602962145</v>
      </c>
      <c r="G624" s="256"/>
      <c r="H624" s="258"/>
      <c r="I624" s="256"/>
      <c r="J624" s="256"/>
      <c r="N624" s="252" t="s">
        <v>544</v>
      </c>
      <c r="CG624" s="333"/>
    </row>
    <row r="625" spans="1:85" s="231" customFormat="1" ht="12.65" customHeight="1" x14ac:dyDescent="0.3">
      <c r="A625" s="251">
        <v>8320</v>
      </c>
      <c r="B625" s="255" t="s">
        <v>147</v>
      </c>
      <c r="C625" s="256">
        <f>AY85</f>
        <v>2630143.44</v>
      </c>
      <c r="D625" s="256">
        <f>(D615/D612)*AY90</f>
        <v>353364.37242961372</v>
      </c>
      <c r="E625" s="258">
        <f>(E623/E612)*SUM(C625:D625)</f>
        <v>1210228.9974947434</v>
      </c>
      <c r="F625" s="258">
        <f>(F624/F612)*AY64</f>
        <v>28663.060450338187</v>
      </c>
      <c r="G625" s="256">
        <f>SUM(C625:F625)</f>
        <v>4222399.8703746945</v>
      </c>
      <c r="H625" s="258"/>
      <c r="I625" s="256"/>
      <c r="J625" s="256"/>
      <c r="N625" s="252" t="s">
        <v>545</v>
      </c>
      <c r="CG625" s="333"/>
    </row>
    <row r="626" spans="1:85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  <c r="CG626" s="333"/>
    </row>
    <row r="627" spans="1:85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  <c r="CG627" s="333"/>
    </row>
    <row r="628" spans="1:85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0</v>
      </c>
      <c r="I628" s="256"/>
      <c r="J628" s="256"/>
      <c r="N628" s="252" t="s">
        <v>549</v>
      </c>
      <c r="CG628" s="333"/>
    </row>
    <row r="629" spans="1:85" s="231" customFormat="1" ht="12.65" customHeight="1" x14ac:dyDescent="0.3">
      <c r="A629" s="251">
        <v>8460</v>
      </c>
      <c r="B629" s="255" t="s">
        <v>153</v>
      </c>
      <c r="C629" s="256">
        <f>BF85</f>
        <v>3219211.8099999996</v>
      </c>
      <c r="D629" s="256">
        <f>(D615/D612)*BF90</f>
        <v>132077.43292158673</v>
      </c>
      <c r="E629" s="258">
        <f>(E623/E612)*SUM(C629:D629)</f>
        <v>1359415.7199384219</v>
      </c>
      <c r="F629" s="258">
        <f>(F624/F612)*BF64</f>
        <v>6755.8584633903592</v>
      </c>
      <c r="G629" s="256">
        <f>(G625/G612)*BF91</f>
        <v>0</v>
      </c>
      <c r="H629" s="258">
        <f>(H628/H612)*BF60</f>
        <v>0</v>
      </c>
      <c r="I629" s="256">
        <f>SUM(C629:H629)</f>
        <v>4717460.8213233985</v>
      </c>
      <c r="J629" s="256"/>
      <c r="N629" s="252" t="s">
        <v>550</v>
      </c>
      <c r="CG629" s="333"/>
    </row>
    <row r="630" spans="1:85" s="231" customFormat="1" ht="12.65" customHeight="1" x14ac:dyDescent="0.3">
      <c r="A630" s="251">
        <v>8350</v>
      </c>
      <c r="B630" s="255" t="s">
        <v>551</v>
      </c>
      <c r="C630" s="256">
        <f>BA85</f>
        <v>14443.439999999995</v>
      </c>
      <c r="D630" s="256">
        <f>(D615/D612)*BA90</f>
        <v>0</v>
      </c>
      <c r="E630" s="258">
        <f>(E623/E612)*SUM(C630:D630)</f>
        <v>5858.8316205348819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20302.271620534877</v>
      </c>
      <c r="N630" s="252" t="s">
        <v>552</v>
      </c>
      <c r="CG630" s="333"/>
    </row>
    <row r="631" spans="1:85" s="231" customFormat="1" ht="12.65" customHeight="1" x14ac:dyDescent="0.3">
      <c r="A631" s="251">
        <v>8200</v>
      </c>
      <c r="B631" s="255" t="s">
        <v>553</v>
      </c>
      <c r="C631" s="256">
        <f>AW85</f>
        <v>3995319.3999999994</v>
      </c>
      <c r="D631" s="256">
        <f>(D615/D612)*AW90</f>
        <v>0</v>
      </c>
      <c r="E631" s="258">
        <f>(E623/E612)*SUM(C631:D631)</f>
        <v>1620659.8729150712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  <c r="CG631" s="333"/>
    </row>
    <row r="632" spans="1:85" s="231" customFormat="1" ht="12.65" customHeight="1" x14ac:dyDescent="0.3">
      <c r="A632" s="251">
        <v>8360</v>
      </c>
      <c r="B632" s="255" t="s">
        <v>555</v>
      </c>
      <c r="C632" s="256">
        <f>BB85</f>
        <v>1315095.3599999999</v>
      </c>
      <c r="D632" s="256">
        <f>(D615/D612)*BB90</f>
        <v>0</v>
      </c>
      <c r="E632" s="258">
        <f>(E623/E612)*SUM(C632:D632)</f>
        <v>533454.79187691468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  <c r="CG632" s="333"/>
    </row>
    <row r="633" spans="1:85" s="231" customFormat="1" ht="12.65" customHeight="1" x14ac:dyDescent="0.3">
      <c r="A633" s="251">
        <v>8370</v>
      </c>
      <c r="B633" s="255" t="s">
        <v>557</v>
      </c>
      <c r="C633" s="256">
        <f>BC85</f>
        <v>449844.90000000008</v>
      </c>
      <c r="D633" s="256">
        <f>(D615/D612)*BC90</f>
        <v>45990.01976820016</v>
      </c>
      <c r="E633" s="258">
        <f>(E623/E612)*SUM(C633:D633)</f>
        <v>201130.29212592766</v>
      </c>
      <c r="F633" s="258">
        <f>(F624/F612)*BC64</f>
        <v>180.56956186507236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  <c r="CG633" s="333"/>
    </row>
    <row r="634" spans="1:85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  <c r="CG634" s="333"/>
    </row>
    <row r="635" spans="1:85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562</v>
      </c>
      <c r="CG635" s="333"/>
    </row>
    <row r="636" spans="1:85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564</v>
      </c>
      <c r="CG636" s="333"/>
    </row>
    <row r="637" spans="1:85" s="231" customFormat="1" ht="12.65" customHeight="1" x14ac:dyDescent="0.3">
      <c r="A637" s="251">
        <v>8560</v>
      </c>
      <c r="B637" s="255" t="s">
        <v>159</v>
      </c>
      <c r="C637" s="256">
        <f>BL85</f>
        <v>1229062.3</v>
      </c>
      <c r="D637" s="256">
        <f>(D615/D612)*BL90</f>
        <v>0</v>
      </c>
      <c r="E637" s="258">
        <f>(E623/E612)*SUM(C637:D637)</f>
        <v>498556.37347109354</v>
      </c>
      <c r="F637" s="258">
        <f>(F624/F612)*BL64</f>
        <v>1453.8056742667759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565</v>
      </c>
      <c r="CG637" s="333"/>
    </row>
    <row r="638" spans="1:85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  <c r="CG638" s="333"/>
    </row>
    <row r="639" spans="1:85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  <c r="CG639" s="333"/>
    </row>
    <row r="640" spans="1:85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  <c r="CG640" s="333"/>
    </row>
    <row r="641" spans="1:85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  <c r="CG641" s="333"/>
    </row>
    <row r="642" spans="1:85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0</v>
      </c>
      <c r="J642" s="256">
        <f>(J630/J612)*BV93</f>
        <v>0</v>
      </c>
      <c r="N642" s="252" t="s">
        <v>575</v>
      </c>
      <c r="CG642" s="333"/>
    </row>
    <row r="643" spans="1:85" s="231" customFormat="1" ht="12.65" customHeight="1" x14ac:dyDescent="0.3">
      <c r="A643" s="251">
        <v>8700</v>
      </c>
      <c r="B643" s="255" t="s">
        <v>576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  <c r="CG643" s="333"/>
    </row>
    <row r="644" spans="1:85" s="231" customFormat="1" ht="12.65" customHeight="1" x14ac:dyDescent="0.3">
      <c r="A644" s="251">
        <v>8710</v>
      </c>
      <c r="B644" s="255" t="s">
        <v>578</v>
      </c>
      <c r="C644" s="256">
        <f>BX85</f>
        <v>1909143.39</v>
      </c>
      <c r="D644" s="256">
        <f>(D615/D612)*BX90</f>
        <v>10110.761322183067</v>
      </c>
      <c r="E644" s="258">
        <f>(E623/E612)*SUM(C644:D644)</f>
        <v>778525.5389027301</v>
      </c>
      <c r="F644" s="258">
        <f>(F624/F612)*BX64</f>
        <v>233.81622854392293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12588761.191846797</v>
      </c>
      <c r="L644" s="258"/>
      <c r="N644" s="252" t="s">
        <v>579</v>
      </c>
      <c r="CG644" s="333"/>
    </row>
    <row r="645" spans="1:85" s="231" customFormat="1" ht="12.65" customHeight="1" x14ac:dyDescent="0.3">
      <c r="A645" s="251">
        <v>8720</v>
      </c>
      <c r="B645" s="255" t="s">
        <v>580</v>
      </c>
      <c r="C645" s="256">
        <f>BY85</f>
        <v>1389069.26</v>
      </c>
      <c r="D645" s="256">
        <f>(D615/D612)*BY90</f>
        <v>32412.694825327053</v>
      </c>
      <c r="E645" s="258">
        <f>(E623/E612)*SUM(C645:D645)</f>
        <v>576609.41056634462</v>
      </c>
      <c r="F645" s="258">
        <f>(F624/F612)*BY64</f>
        <v>128.636406648025</v>
      </c>
      <c r="G645" s="256">
        <f>(G625/G612)*BY91</f>
        <v>0</v>
      </c>
      <c r="H645" s="258">
        <f>(H628/H612)*BY60</f>
        <v>0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  <c r="CG645" s="333"/>
    </row>
    <row r="646" spans="1:85" s="231" customFormat="1" ht="12.65" customHeight="1" x14ac:dyDescent="0.3">
      <c r="A646" s="251">
        <v>8730</v>
      </c>
      <c r="B646" s="255" t="s">
        <v>582</v>
      </c>
      <c r="C646" s="256">
        <f>BZ85</f>
        <v>129016.68999999992</v>
      </c>
      <c r="D646" s="256">
        <f>(D615/D612)*BZ90</f>
        <v>7326.638639263092</v>
      </c>
      <c r="E646" s="258">
        <f>(E623/E612)*SUM(C646:D646)</f>
        <v>55306.257032998605</v>
      </c>
      <c r="F646" s="258">
        <f>(F624/F612)*BZ64</f>
        <v>11.613499977442649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  <c r="CG646" s="333"/>
    </row>
    <row r="647" spans="1:85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2189881.2009705584</v>
      </c>
      <c r="N647" s="252" t="s">
        <v>585</v>
      </c>
      <c r="CG647" s="333"/>
    </row>
    <row r="648" spans="1:85" s="231" customFormat="1" ht="12.65" customHeight="1" x14ac:dyDescent="0.3">
      <c r="A648" s="251"/>
      <c r="B648" s="251"/>
      <c r="C648" s="231">
        <f>SUM(C614:C647)</f>
        <v>100571669.05000001</v>
      </c>
      <c r="L648" s="254"/>
      <c r="CG648" s="333"/>
    </row>
    <row r="666" spans="1:85" s="231" customFormat="1" ht="12.65" customHeight="1" x14ac:dyDescent="0.3">
      <c r="C666" s="249" t="s">
        <v>586</v>
      </c>
      <c r="M666" s="249" t="s">
        <v>587</v>
      </c>
      <c r="CG666" s="333"/>
    </row>
    <row r="667" spans="1:85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  <c r="CG667" s="333"/>
    </row>
    <row r="668" spans="1:85" s="231" customFormat="1" ht="12.65" customHeight="1" x14ac:dyDescent="0.3">
      <c r="A668" s="251">
        <v>6010</v>
      </c>
      <c r="B668" s="250" t="s">
        <v>315</v>
      </c>
      <c r="C668" s="256">
        <f>C85</f>
        <v>14096945.500000002</v>
      </c>
      <c r="D668" s="256">
        <f>(D615/D612)*C90</f>
        <v>565847.52841142938</v>
      </c>
      <c r="E668" s="258">
        <f>(E623/E612)*SUM(C668:D668)</f>
        <v>5947809.9012572728</v>
      </c>
      <c r="F668" s="258">
        <f>(F624/F612)*C64</f>
        <v>46465.671589131365</v>
      </c>
      <c r="G668" s="256">
        <f>(G625/G612)*C91</f>
        <v>263383.86979555601</v>
      </c>
      <c r="H668" s="258">
        <f>(H628/H612)*C60</f>
        <v>0</v>
      </c>
      <c r="I668" s="256">
        <f>(I629/I612)*C92</f>
        <v>661492.90420799889</v>
      </c>
      <c r="J668" s="256">
        <f>(J630/J612)*C93</f>
        <v>1655.8398246205975</v>
      </c>
      <c r="K668" s="256">
        <f>(K644/K612)*C89</f>
        <v>438601.65877438884</v>
      </c>
      <c r="L668" s="256">
        <f>(L647/L612)*C94</f>
        <v>311903.11616632767</v>
      </c>
      <c r="M668" s="231">
        <f t="shared" ref="M668:M713" si="22">ROUND(SUM(D668:L668),0)</f>
        <v>8237160</v>
      </c>
      <c r="N668" s="250" t="s">
        <v>589</v>
      </c>
      <c r="CG668" s="333"/>
    </row>
    <row r="669" spans="1:85" s="231" customFormat="1" ht="12.65" customHeight="1" x14ac:dyDescent="0.3">
      <c r="A669" s="251">
        <v>6030</v>
      </c>
      <c r="B669" s="250" t="s">
        <v>316</v>
      </c>
      <c r="C669" s="256">
        <f>D85</f>
        <v>14994426.660000002</v>
      </c>
      <c r="D669" s="256">
        <f>(D615/D612)*D90</f>
        <v>705520.44034170348</v>
      </c>
      <c r="E669" s="258">
        <f>(E623/E612)*SUM(C669:D669)</f>
        <v>6368520.6925917193</v>
      </c>
      <c r="F669" s="258">
        <f>(F624/F612)*D64</f>
        <v>40792.245922752234</v>
      </c>
      <c r="G669" s="256">
        <f>(G625/G612)*D91</f>
        <v>511333.54507739865</v>
      </c>
      <c r="H669" s="258">
        <f>(H628/H612)*D60</f>
        <v>0</v>
      </c>
      <c r="I669" s="256">
        <f>(I629/I612)*D92</f>
        <v>453752.9325334786</v>
      </c>
      <c r="J669" s="256">
        <f>(J630/J612)*D93</f>
        <v>2865.08805266335</v>
      </c>
      <c r="K669" s="256">
        <f>(K644/K612)*D89</f>
        <v>645543.16388678516</v>
      </c>
      <c r="L669" s="256">
        <f>(L647/L612)*D94</f>
        <v>331236.61677034653</v>
      </c>
      <c r="M669" s="231">
        <f t="shared" si="22"/>
        <v>9059565</v>
      </c>
      <c r="N669" s="250" t="s">
        <v>590</v>
      </c>
      <c r="CG669" s="333"/>
    </row>
    <row r="670" spans="1:85" s="231" customFormat="1" ht="12.65" customHeight="1" x14ac:dyDescent="0.3">
      <c r="A670" s="251">
        <v>6070</v>
      </c>
      <c r="B670" s="250" t="s">
        <v>591</v>
      </c>
      <c r="C670" s="256">
        <f>E85</f>
        <v>10950778.98</v>
      </c>
      <c r="D670" s="256">
        <f>(D615/D612)*E90</f>
        <v>1244597.967395948</v>
      </c>
      <c r="E670" s="258">
        <f>(E623/E612)*SUM(C670:D670)</f>
        <v>4946928.16141761</v>
      </c>
      <c r="F670" s="258">
        <f>(F624/F612)*E64</f>
        <v>37749.792217505645</v>
      </c>
      <c r="G670" s="256">
        <f>(G625/G612)*E91</f>
        <v>896713.50962750241</v>
      </c>
      <c r="H670" s="258">
        <f>(H628/H612)*E60</f>
        <v>0</v>
      </c>
      <c r="I670" s="256">
        <f>(I629/I612)*E92</f>
        <v>610720.63501142757</v>
      </c>
      <c r="J670" s="256">
        <f>(J630/J612)*E93</f>
        <v>2641.3859702194395</v>
      </c>
      <c r="K670" s="256">
        <f>(K644/K612)*E89</f>
        <v>406353.22084963782</v>
      </c>
      <c r="L670" s="256">
        <f>(L647/L612)*E94</f>
        <v>235346.98883038681</v>
      </c>
      <c r="M670" s="231">
        <f t="shared" si="22"/>
        <v>8381052</v>
      </c>
      <c r="N670" s="250" t="s">
        <v>592</v>
      </c>
      <c r="CG670" s="333"/>
    </row>
    <row r="671" spans="1:85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4379.6175885066905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22"/>
        <v>4380</v>
      </c>
      <c r="N671" s="250" t="s">
        <v>594</v>
      </c>
      <c r="CG671" s="333"/>
    </row>
    <row r="672" spans="1:85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22"/>
        <v>0</v>
      </c>
      <c r="N672" s="250" t="s">
        <v>596</v>
      </c>
      <c r="CG672" s="333"/>
    </row>
    <row r="673" spans="1:85" s="231" customFormat="1" ht="12.65" customHeight="1" x14ac:dyDescent="0.3">
      <c r="A673" s="251">
        <v>6140</v>
      </c>
      <c r="B673" s="250" t="s">
        <v>597</v>
      </c>
      <c r="C673" s="256">
        <f>H85</f>
        <v>14985294.15</v>
      </c>
      <c r="D673" s="256">
        <f>(D615/D612)*H90</f>
        <v>938943.01138294279</v>
      </c>
      <c r="E673" s="258">
        <f>(E623/E612)*SUM(C673:D673)</f>
        <v>6459501.6293907156</v>
      </c>
      <c r="F673" s="258">
        <f>(F624/F612)*H64</f>
        <v>11411.327515484663</v>
      </c>
      <c r="G673" s="256">
        <f>(G625/G612)*H91</f>
        <v>1290377.8110618901</v>
      </c>
      <c r="H673" s="258">
        <f>(H628/H612)*H60</f>
        <v>0</v>
      </c>
      <c r="I673" s="256">
        <f>(I629/I612)*H92</f>
        <v>425847.56320406543</v>
      </c>
      <c r="J673" s="256">
        <f>(J630/J612)*H93</f>
        <v>1795.1948184541657</v>
      </c>
      <c r="K673" s="256">
        <f>(K644/K612)*H89</f>
        <v>1177946.6528209115</v>
      </c>
      <c r="L673" s="256">
        <f>(L647/L612)*H94</f>
        <v>257156.16799903251</v>
      </c>
      <c r="M673" s="231">
        <f t="shared" si="22"/>
        <v>10562979</v>
      </c>
      <c r="N673" s="250" t="s">
        <v>598</v>
      </c>
      <c r="CG673" s="333"/>
    </row>
    <row r="674" spans="1:85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22"/>
        <v>0</v>
      </c>
      <c r="N674" s="250" t="s">
        <v>600</v>
      </c>
      <c r="CG674" s="333"/>
    </row>
    <row r="675" spans="1:85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22"/>
        <v>0</v>
      </c>
      <c r="N675" s="250" t="s">
        <v>601</v>
      </c>
      <c r="CG675" s="333"/>
    </row>
    <row r="676" spans="1:85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22"/>
        <v>0</v>
      </c>
      <c r="N676" s="250" t="s">
        <v>602</v>
      </c>
      <c r="CG676" s="333"/>
    </row>
    <row r="677" spans="1:85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22"/>
        <v>0</v>
      </c>
      <c r="N677" s="250" t="s">
        <v>603</v>
      </c>
      <c r="CG677" s="333"/>
    </row>
    <row r="678" spans="1:85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22"/>
        <v>0</v>
      </c>
      <c r="N678" s="250" t="s">
        <v>605</v>
      </c>
      <c r="CG678" s="333"/>
    </row>
    <row r="679" spans="1:85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22"/>
        <v>0</v>
      </c>
      <c r="N679" s="250" t="s">
        <v>607</v>
      </c>
      <c r="CG679" s="333"/>
    </row>
    <row r="680" spans="1:85" s="231" customFormat="1" ht="12.65" customHeight="1" x14ac:dyDescent="0.3">
      <c r="A680" s="251">
        <v>7010</v>
      </c>
      <c r="B680" s="250" t="s">
        <v>608</v>
      </c>
      <c r="C680" s="256">
        <f>O85</f>
        <v>10440099.49</v>
      </c>
      <c r="D680" s="256">
        <f>(D615/D612)*O90</f>
        <v>820819.87077937834</v>
      </c>
      <c r="E680" s="258">
        <f>(E623/E612)*SUM(C680:D680)</f>
        <v>4567875.1341250902</v>
      </c>
      <c r="F680" s="258">
        <f>(F624/F612)*O64</f>
        <v>34875.410695053972</v>
      </c>
      <c r="G680" s="256">
        <f>(G625/G612)*O91</f>
        <v>344749.77728323452</v>
      </c>
      <c r="H680" s="258">
        <f>(H628/H612)*O60</f>
        <v>0</v>
      </c>
      <c r="I680" s="256">
        <f>(I629/I612)*O92</f>
        <v>451427.48508936091</v>
      </c>
      <c r="J680" s="256">
        <f>(J630/J612)*O93</f>
        <v>2338.0041180106259</v>
      </c>
      <c r="K680" s="256">
        <f>(K644/K612)*O89</f>
        <v>368798.28948372597</v>
      </c>
      <c r="L680" s="256">
        <f>(L647/L612)*O94</f>
        <v>237607.9322787619</v>
      </c>
      <c r="M680" s="231">
        <f t="shared" si="22"/>
        <v>6828492</v>
      </c>
      <c r="N680" s="250" t="s">
        <v>609</v>
      </c>
      <c r="CG680" s="333"/>
    </row>
    <row r="681" spans="1:85" s="231" customFormat="1" ht="12.65" customHeight="1" x14ac:dyDescent="0.3">
      <c r="A681" s="251">
        <v>7020</v>
      </c>
      <c r="B681" s="250" t="s">
        <v>610</v>
      </c>
      <c r="C681" s="256">
        <f>P85</f>
        <v>16997388.27</v>
      </c>
      <c r="D681" s="256">
        <f>(D615/D612)*P90</f>
        <v>765393.84947335278</v>
      </c>
      <c r="E681" s="258">
        <f>(E623/E612)*SUM(C681:D681)</f>
        <v>7205288.3212200226</v>
      </c>
      <c r="F681" s="258">
        <f>(F624/F612)*P64</f>
        <v>385424.50870524789</v>
      </c>
      <c r="G681" s="256">
        <f>(G625/G612)*P91</f>
        <v>0</v>
      </c>
      <c r="H681" s="258">
        <f>(H628/H612)*P60</f>
        <v>0</v>
      </c>
      <c r="I681" s="256">
        <f>(I629/I612)*P92</f>
        <v>533011.93292049249</v>
      </c>
      <c r="J681" s="256">
        <f>(J630/J612)*P93</f>
        <v>1239.6643943697161</v>
      </c>
      <c r="K681" s="256">
        <f>(K644/K612)*P89</f>
        <v>1919193.9129643268</v>
      </c>
      <c r="L681" s="256">
        <f>(L647/L612)*P94</f>
        <v>66683.421302459537</v>
      </c>
      <c r="M681" s="231">
        <f t="shared" si="22"/>
        <v>10876236</v>
      </c>
      <c r="N681" s="250" t="s">
        <v>611</v>
      </c>
      <c r="CG681" s="333"/>
    </row>
    <row r="682" spans="1:85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>
        <f>(G625/G612)*Q91</f>
        <v>0</v>
      </c>
      <c r="H682" s="258">
        <f>(H628/H612)*Q60</f>
        <v>0</v>
      </c>
      <c r="I682" s="256">
        <f>(I629/I612)*Q92</f>
        <v>0</v>
      </c>
      <c r="J682" s="256">
        <f>(J630/J612)*Q93</f>
        <v>0</v>
      </c>
      <c r="K682" s="256">
        <f>(K644/K612)*Q89</f>
        <v>0</v>
      </c>
      <c r="L682" s="256">
        <f>(L647/L612)*Q94</f>
        <v>0</v>
      </c>
      <c r="M682" s="231">
        <f t="shared" si="22"/>
        <v>0</v>
      </c>
      <c r="N682" s="250" t="s">
        <v>613</v>
      </c>
      <c r="CG682" s="333"/>
    </row>
    <row r="683" spans="1:85" s="231" customFormat="1" ht="12.65" customHeight="1" x14ac:dyDescent="0.3">
      <c r="A683" s="251">
        <v>7040</v>
      </c>
      <c r="B683" s="250" t="s">
        <v>118</v>
      </c>
      <c r="C683" s="256">
        <f>R85</f>
        <v>2806148.9099999997</v>
      </c>
      <c r="D683" s="256">
        <f>(D615/D612)*R90</f>
        <v>320232.01261536544</v>
      </c>
      <c r="E683" s="258">
        <f>(E623/E612)*SUM(C683:D683)</f>
        <v>1268183.9926815166</v>
      </c>
      <c r="F683" s="258">
        <f>(F624/F612)*R64</f>
        <v>1857.0295262196094</v>
      </c>
      <c r="G683" s="256">
        <f>(G625/G612)*R91</f>
        <v>77830.553530691192</v>
      </c>
      <c r="H683" s="258">
        <f>(H628/H612)*R60</f>
        <v>0</v>
      </c>
      <c r="I683" s="256">
        <f>(I629/I612)*R92</f>
        <v>0</v>
      </c>
      <c r="J683" s="256">
        <f>(J630/J612)*R93</f>
        <v>174.31098496429567</v>
      </c>
      <c r="K683" s="256">
        <f>(K644/K612)*R89</f>
        <v>249075.83444102612</v>
      </c>
      <c r="L683" s="256">
        <f>(L647/L612)*R94</f>
        <v>64455.11269832703</v>
      </c>
      <c r="M683" s="231">
        <f t="shared" si="22"/>
        <v>1981809</v>
      </c>
      <c r="N683" s="250" t="s">
        <v>614</v>
      </c>
      <c r="CG683" s="333"/>
    </row>
    <row r="684" spans="1:85" s="231" customFormat="1" ht="12.65" customHeight="1" x14ac:dyDescent="0.3">
      <c r="A684" s="251">
        <v>7050</v>
      </c>
      <c r="B684" s="250" t="s">
        <v>615</v>
      </c>
      <c r="C684" s="256">
        <f>S85</f>
        <v>79786.459999999963</v>
      </c>
      <c r="D684" s="256">
        <f>(D615/D612)*S90</f>
        <v>202189.22869365101</v>
      </c>
      <c r="E684" s="258">
        <f>(E623/E612)*SUM(C684:D684)</f>
        <v>114380.51330849598</v>
      </c>
      <c r="F684" s="258">
        <f>(F624/F612)*S64</f>
        <v>9060.7049962738747</v>
      </c>
      <c r="G684" s="256">
        <f>(G625/G612)*S91</f>
        <v>0</v>
      </c>
      <c r="H684" s="258">
        <f>(H628/H612)*S60</f>
        <v>0</v>
      </c>
      <c r="I684" s="256">
        <f>(I629/I612)*S92</f>
        <v>0</v>
      </c>
      <c r="J684" s="256">
        <f>(J630/J612)*S93</f>
        <v>161.55498221418426</v>
      </c>
      <c r="K684" s="256">
        <f>(K644/K612)*S89</f>
        <v>0</v>
      </c>
      <c r="L684" s="256">
        <f>(L647/L612)*S94</f>
        <v>0</v>
      </c>
      <c r="M684" s="231">
        <f t="shared" si="22"/>
        <v>325792</v>
      </c>
      <c r="N684" s="250" t="s">
        <v>616</v>
      </c>
      <c r="CG684" s="333"/>
    </row>
    <row r="685" spans="1:85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22"/>
        <v>0</v>
      </c>
      <c r="N685" s="250" t="s">
        <v>618</v>
      </c>
      <c r="CG685" s="333"/>
    </row>
    <row r="686" spans="1:85" s="231" customFormat="1" ht="12.65" customHeight="1" x14ac:dyDescent="0.3">
      <c r="A686" s="251">
        <v>7070</v>
      </c>
      <c r="B686" s="250" t="s">
        <v>121</v>
      </c>
      <c r="C686" s="256">
        <f>U85</f>
        <v>5459220.75</v>
      </c>
      <c r="D686" s="256">
        <f>(D615/D612)*U90</f>
        <v>288222.87377315271</v>
      </c>
      <c r="E686" s="258">
        <f>(E623/E612)*SUM(C686:D686)</f>
        <v>2331390.8902729368</v>
      </c>
      <c r="F686" s="258">
        <f>(F624/F612)*U64</f>
        <v>65420.01433100539</v>
      </c>
      <c r="G686" s="256">
        <f>(G625/G612)*U91</f>
        <v>0</v>
      </c>
      <c r="H686" s="258">
        <f>(H628/H612)*U60</f>
        <v>0</v>
      </c>
      <c r="I686" s="256">
        <f>(I629/I612)*U92</f>
        <v>0</v>
      </c>
      <c r="J686" s="256">
        <f>(J630/J612)*U93</f>
        <v>0</v>
      </c>
      <c r="K686" s="256">
        <f>(K644/K612)*U89</f>
        <v>475488.75283738127</v>
      </c>
      <c r="L686" s="256">
        <f>(L647/L612)*U94</f>
        <v>298.93085553258163</v>
      </c>
      <c r="M686" s="231">
        <f t="shared" si="22"/>
        <v>3160821</v>
      </c>
      <c r="N686" s="250" t="s">
        <v>619</v>
      </c>
      <c r="CG686" s="333"/>
    </row>
    <row r="687" spans="1:85" s="231" customFormat="1" ht="12.65" customHeight="1" x14ac:dyDescent="0.3">
      <c r="A687" s="251">
        <v>7110</v>
      </c>
      <c r="B687" s="250" t="s">
        <v>620</v>
      </c>
      <c r="C687" s="256">
        <f>V85</f>
        <v>58841.13</v>
      </c>
      <c r="D687" s="256">
        <f>(D615/D612)*V90</f>
        <v>0</v>
      </c>
      <c r="E687" s="258">
        <f>(E623/E612)*SUM(C687:D687)</f>
        <v>23868.294051278903</v>
      </c>
      <c r="F687" s="258">
        <f>(F624/F612)*V64</f>
        <v>890.36654146906517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73203.399625852442</v>
      </c>
      <c r="L687" s="256">
        <f>(L647/L612)*V94</f>
        <v>0</v>
      </c>
      <c r="M687" s="231">
        <f t="shared" si="22"/>
        <v>97962</v>
      </c>
      <c r="N687" s="250" t="s">
        <v>621</v>
      </c>
      <c r="CG687" s="333"/>
    </row>
    <row r="688" spans="1:85" s="231" customFormat="1" ht="12.65" customHeight="1" x14ac:dyDescent="0.3">
      <c r="A688" s="251">
        <v>7120</v>
      </c>
      <c r="B688" s="250" t="s">
        <v>622</v>
      </c>
      <c r="C688" s="256">
        <f>W85</f>
        <v>694062.05</v>
      </c>
      <c r="D688" s="256">
        <f>(D615/D612)*W90</f>
        <v>60780.966950189919</v>
      </c>
      <c r="E688" s="258">
        <f>(E623/E612)*SUM(C688:D688)</f>
        <v>306194.24017046642</v>
      </c>
      <c r="F688" s="258">
        <f>(F624/F612)*W64</f>
        <v>2093.5408028122479</v>
      </c>
      <c r="G688" s="256">
        <f>(G625/G612)*W91</f>
        <v>0</v>
      </c>
      <c r="H688" s="258">
        <f>(H628/H612)*W60</f>
        <v>0</v>
      </c>
      <c r="I688" s="256">
        <f>(I629/I612)*W92</f>
        <v>0</v>
      </c>
      <c r="J688" s="256">
        <f>(J630/J612)*W93</f>
        <v>0</v>
      </c>
      <c r="K688" s="256">
        <f>(K644/K612)*W89</f>
        <v>185171.8226074558</v>
      </c>
      <c r="L688" s="256">
        <f>(L647/L612)*W94</f>
        <v>0</v>
      </c>
      <c r="M688" s="231">
        <f t="shared" si="22"/>
        <v>554241</v>
      </c>
      <c r="N688" s="250" t="s">
        <v>623</v>
      </c>
      <c r="CG688" s="333"/>
    </row>
    <row r="689" spans="1:85" s="231" customFormat="1" ht="12.65" customHeight="1" x14ac:dyDescent="0.3">
      <c r="A689" s="251">
        <v>7130</v>
      </c>
      <c r="B689" s="250" t="s">
        <v>624</v>
      </c>
      <c r="C689" s="256">
        <f>X85</f>
        <v>2224843.7299999995</v>
      </c>
      <c r="D689" s="256">
        <f>(D615/D612)*X90</f>
        <v>113954.63773259659</v>
      </c>
      <c r="E689" s="258">
        <f>(E623/E612)*SUM(C689:D689)</f>
        <v>948709.29854155984</v>
      </c>
      <c r="F689" s="258">
        <f>(F624/F612)*X64</f>
        <v>11435.213285072181</v>
      </c>
      <c r="G689" s="256">
        <f>(G625/G612)*X91</f>
        <v>0</v>
      </c>
      <c r="H689" s="258">
        <f>(H628/H612)*X60</f>
        <v>0</v>
      </c>
      <c r="I689" s="256">
        <f>(I629/I612)*X92</f>
        <v>0</v>
      </c>
      <c r="J689" s="256">
        <f>(J630/J612)*X93</f>
        <v>0</v>
      </c>
      <c r="K689" s="256">
        <f>(K644/K612)*X89</f>
        <v>1064522.5379016371</v>
      </c>
      <c r="L689" s="256">
        <f>(L647/L612)*X94</f>
        <v>0</v>
      </c>
      <c r="M689" s="231">
        <f t="shared" si="22"/>
        <v>2138622</v>
      </c>
      <c r="N689" s="250" t="s">
        <v>625</v>
      </c>
      <c r="CG689" s="333"/>
    </row>
    <row r="690" spans="1:85" s="231" customFormat="1" ht="12.65" customHeight="1" x14ac:dyDescent="0.3">
      <c r="A690" s="251">
        <v>7140</v>
      </c>
      <c r="B690" s="250" t="s">
        <v>626</v>
      </c>
      <c r="C690" s="256">
        <f>Y85</f>
        <v>8298762.0999999996</v>
      </c>
      <c r="D690" s="256">
        <f>(D615/D612)*Y90</f>
        <v>753367.52666177531</v>
      </c>
      <c r="E690" s="258">
        <f>(E623/E612)*SUM(C690:D690)</f>
        <v>3671902.4892869457</v>
      </c>
      <c r="F690" s="258">
        <f>(F624/F612)*Y64</f>
        <v>147258.08012362811</v>
      </c>
      <c r="G690" s="256">
        <f>(G625/G612)*Y91</f>
        <v>0</v>
      </c>
      <c r="H690" s="258">
        <f>(H628/H612)*Y60</f>
        <v>0</v>
      </c>
      <c r="I690" s="256">
        <f>(I629/I612)*Y92</f>
        <v>208515.12082255946</v>
      </c>
      <c r="J690" s="256">
        <f>(J630/J612)*Y93</f>
        <v>1928.6261704549154</v>
      </c>
      <c r="K690" s="256">
        <f>(K644/K612)*Y89</f>
        <v>1066650.9463393441</v>
      </c>
      <c r="L690" s="256">
        <f>(L647/L612)*Y94</f>
        <v>31001.123070846741</v>
      </c>
      <c r="M690" s="231">
        <f t="shared" si="22"/>
        <v>5880624</v>
      </c>
      <c r="N690" s="250" t="s">
        <v>627</v>
      </c>
      <c r="CG690" s="333"/>
    </row>
    <row r="691" spans="1:85" s="231" customFormat="1" ht="12.65" customHeight="1" x14ac:dyDescent="0.3">
      <c r="A691" s="251">
        <v>7150</v>
      </c>
      <c r="B691" s="250" t="s">
        <v>628</v>
      </c>
      <c r="C691" s="256">
        <f>Z85</f>
        <v>883.92</v>
      </c>
      <c r="D691" s="256">
        <f>(D615/D612)*Z90</f>
        <v>0</v>
      </c>
      <c r="E691" s="258">
        <f>(E623/E612)*SUM(C691:D691)</f>
        <v>358.55297948571769</v>
      </c>
      <c r="F691" s="258">
        <f>(F624/F612)*Z64</f>
        <v>39.558400385591938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1.2699642599224652</v>
      </c>
      <c r="L691" s="256">
        <f>(L647/L612)*Z94</f>
        <v>0</v>
      </c>
      <c r="M691" s="231">
        <f t="shared" si="22"/>
        <v>399</v>
      </c>
      <c r="N691" s="250" t="s">
        <v>629</v>
      </c>
      <c r="CG691" s="333"/>
    </row>
    <row r="692" spans="1:85" s="231" customFormat="1" ht="12.65" customHeight="1" x14ac:dyDescent="0.3">
      <c r="A692" s="251">
        <v>7160</v>
      </c>
      <c r="B692" s="250" t="s">
        <v>630</v>
      </c>
      <c r="C692" s="256">
        <f>AA85</f>
        <v>688903.3600000001</v>
      </c>
      <c r="D692" s="256">
        <f>(D615/D612)*AA90</f>
        <v>161721.9582287728</v>
      </c>
      <c r="E692" s="258">
        <f>(E623/E612)*SUM(C692:D692)</f>
        <v>345047.33717634319</v>
      </c>
      <c r="F692" s="258">
        <f>(F624/F612)*AA64</f>
        <v>8994.0761763647552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129.49576882888175</v>
      </c>
      <c r="K692" s="256">
        <f>(K644/K612)*AA89</f>
        <v>79015.997079420413</v>
      </c>
      <c r="L692" s="256">
        <f>(L647/L612)*AA94</f>
        <v>0</v>
      </c>
      <c r="M692" s="231">
        <f t="shared" si="22"/>
        <v>594909</v>
      </c>
      <c r="N692" s="250" t="s">
        <v>631</v>
      </c>
      <c r="CG692" s="333"/>
    </row>
    <row r="693" spans="1:85" s="231" customFormat="1" ht="12.65" customHeight="1" x14ac:dyDescent="0.3">
      <c r="A693" s="251">
        <v>7170</v>
      </c>
      <c r="B693" s="250" t="s">
        <v>127</v>
      </c>
      <c r="C693" s="256">
        <f>AB85</f>
        <v>10739658.91</v>
      </c>
      <c r="D693" s="256">
        <f>(D615/D612)*AB90</f>
        <v>65584.051264590686</v>
      </c>
      <c r="E693" s="258">
        <f>(E623/E612)*SUM(C693:D693)</f>
        <v>4383034.7291932516</v>
      </c>
      <c r="F693" s="258">
        <f>(F624/F612)*AB64</f>
        <v>239034.8744740563</v>
      </c>
      <c r="G693" s="256">
        <f>(G625/G612)*AB91</f>
        <v>0</v>
      </c>
      <c r="H693" s="258">
        <f>(H628/H612)*AB60</f>
        <v>0</v>
      </c>
      <c r="I693" s="256">
        <f>(I629/I612)*AB92</f>
        <v>0</v>
      </c>
      <c r="J693" s="256">
        <f>(J630/J612)*AB93</f>
        <v>54.094237201828449</v>
      </c>
      <c r="K693" s="256">
        <f>(K644/K612)*AB89</f>
        <v>668594.65418237564</v>
      </c>
      <c r="L693" s="256">
        <f>(L647/L612)*AB94</f>
        <v>0</v>
      </c>
      <c r="M693" s="231">
        <f t="shared" si="22"/>
        <v>5356302</v>
      </c>
      <c r="N693" s="250" t="s">
        <v>632</v>
      </c>
      <c r="CG693" s="333"/>
    </row>
    <row r="694" spans="1:85" s="231" customFormat="1" ht="12.65" customHeight="1" x14ac:dyDescent="0.3">
      <c r="A694" s="251">
        <v>7180</v>
      </c>
      <c r="B694" s="250" t="s">
        <v>633</v>
      </c>
      <c r="C694" s="256">
        <f>AC85</f>
        <v>3046433.8699999996</v>
      </c>
      <c r="D694" s="256">
        <f>(D615/D612)*AC90</f>
        <v>76351.255774533551</v>
      </c>
      <c r="E694" s="258">
        <f>(E623/E612)*SUM(C694:D694)</f>
        <v>1266725.3949906558</v>
      </c>
      <c r="F694" s="258">
        <f>(F624/F612)*AC64</f>
        <v>9960.9074337932016</v>
      </c>
      <c r="G694" s="256">
        <f>(G625/G612)*AC91</f>
        <v>0</v>
      </c>
      <c r="H694" s="258">
        <f>(H628/H612)*AC60</f>
        <v>0</v>
      </c>
      <c r="I694" s="256">
        <f>(I629/I612)*AC92</f>
        <v>0</v>
      </c>
      <c r="J694" s="256">
        <f>(J630/J612)*AC93</f>
        <v>93.993038000026417</v>
      </c>
      <c r="K694" s="256">
        <f>(K644/K612)*AC89</f>
        <v>413425.66908020392</v>
      </c>
      <c r="L694" s="256">
        <f>(L647/L612)*AC94</f>
        <v>0</v>
      </c>
      <c r="M694" s="231">
        <f t="shared" si="22"/>
        <v>1766557</v>
      </c>
      <c r="N694" s="250" t="s">
        <v>634</v>
      </c>
      <c r="CG694" s="333"/>
    </row>
    <row r="695" spans="1:85" s="231" customFormat="1" ht="12.65" customHeight="1" x14ac:dyDescent="0.3">
      <c r="A695" s="251">
        <v>7190</v>
      </c>
      <c r="B695" s="250" t="s">
        <v>129</v>
      </c>
      <c r="C695" s="256">
        <f>AD85</f>
        <v>1182612.95</v>
      </c>
      <c r="D695" s="256">
        <f>(D615/D612)*AD90</f>
        <v>12454.694828792475</v>
      </c>
      <c r="E695" s="258">
        <f>(E623/E612)*SUM(C695:D695)</f>
        <v>484766.79421253392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30344.960488044722</v>
      </c>
      <c r="L695" s="256">
        <f>(L647/L612)*AD94</f>
        <v>0</v>
      </c>
      <c r="M695" s="231">
        <f t="shared" si="22"/>
        <v>527566</v>
      </c>
      <c r="N695" s="250" t="s">
        <v>635</v>
      </c>
      <c r="CG695" s="333"/>
    </row>
    <row r="696" spans="1:85" s="231" customFormat="1" ht="12.65" customHeight="1" x14ac:dyDescent="0.3">
      <c r="A696" s="251">
        <v>7200</v>
      </c>
      <c r="B696" s="250" t="s">
        <v>636</v>
      </c>
      <c r="C696" s="256">
        <f>AE85</f>
        <v>0</v>
      </c>
      <c r="D696" s="256">
        <f>(D615/D612)*AE90</f>
        <v>0</v>
      </c>
      <c r="E696" s="258">
        <f>(E623/E612)*SUM(C696:D696)</f>
        <v>0</v>
      </c>
      <c r="F696" s="258">
        <f>(F624/F612)*AE64</f>
        <v>0</v>
      </c>
      <c r="G696" s="256">
        <f>(G625/G612)*AE91</f>
        <v>0</v>
      </c>
      <c r="H696" s="258">
        <f>(H628/H612)*AE60</f>
        <v>0</v>
      </c>
      <c r="I696" s="256">
        <f>(I629/I612)*AE92</f>
        <v>0</v>
      </c>
      <c r="J696" s="256">
        <f>(J630/J612)*AE93</f>
        <v>0</v>
      </c>
      <c r="K696" s="256">
        <f>(K644/K612)*AE89</f>
        <v>0</v>
      </c>
      <c r="L696" s="256">
        <f>(L647/L612)*AE94</f>
        <v>0</v>
      </c>
      <c r="M696" s="231">
        <f t="shared" si="22"/>
        <v>0</v>
      </c>
      <c r="N696" s="250" t="s">
        <v>637</v>
      </c>
      <c r="CG696" s="333"/>
    </row>
    <row r="697" spans="1:85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22"/>
        <v>0</v>
      </c>
      <c r="N697" s="250" t="s">
        <v>639</v>
      </c>
      <c r="CG697" s="333"/>
    </row>
    <row r="698" spans="1:85" s="231" customFormat="1" ht="12.65" customHeight="1" x14ac:dyDescent="0.3">
      <c r="A698" s="251">
        <v>7230</v>
      </c>
      <c r="B698" s="250" t="s">
        <v>640</v>
      </c>
      <c r="C698" s="256">
        <f>AG85</f>
        <v>26769002.90000001</v>
      </c>
      <c r="D698" s="256">
        <f>(D615/D612)*AG90</f>
        <v>1220112.813749895</v>
      </c>
      <c r="E698" s="258">
        <f>(E623/E612)*SUM(C698:D698)</f>
        <v>11353494.470467404</v>
      </c>
      <c r="F698" s="258">
        <f>(F624/F612)*AG64</f>
        <v>85746.742490329401</v>
      </c>
      <c r="G698" s="256">
        <f>(G625/G612)*AG91</f>
        <v>429862.10463578021</v>
      </c>
      <c r="H698" s="258">
        <f>(H628/H612)*AG60</f>
        <v>0</v>
      </c>
      <c r="I698" s="256">
        <f>(I629/I612)*AG92</f>
        <v>201829.4594207209</v>
      </c>
      <c r="J698" s="256">
        <f>(J630/J612)*AG93</f>
        <v>4183.8447072861445</v>
      </c>
      <c r="K698" s="256">
        <f>(K644/K612)*AG89</f>
        <v>2681657.3375124824</v>
      </c>
      <c r="L698" s="256">
        <f>(L647/L612)*AG94</f>
        <v>497736.78557177499</v>
      </c>
      <c r="M698" s="231">
        <f t="shared" si="22"/>
        <v>16474624</v>
      </c>
      <c r="N698" s="250" t="s">
        <v>641</v>
      </c>
      <c r="CG698" s="333"/>
    </row>
    <row r="699" spans="1:85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22"/>
        <v>0</v>
      </c>
      <c r="N699" s="250" t="s">
        <v>642</v>
      </c>
      <c r="CG699" s="333"/>
    </row>
    <row r="700" spans="1:85" s="231" customFormat="1" ht="12.65" customHeight="1" x14ac:dyDescent="0.3">
      <c r="A700" s="251">
        <v>7250</v>
      </c>
      <c r="B700" s="250" t="s">
        <v>643</v>
      </c>
      <c r="C700" s="256">
        <f>AI85</f>
        <v>2059589.82</v>
      </c>
      <c r="D700" s="256">
        <f>(D615/D612)*AI90</f>
        <v>6415.5356729934392</v>
      </c>
      <c r="E700" s="258">
        <f>(E623/E612)*SUM(C700:D700)</f>
        <v>838053.64276179031</v>
      </c>
      <c r="F700" s="258">
        <f>(F624/F612)*AI64</f>
        <v>10596.819729321051</v>
      </c>
      <c r="G700" s="256">
        <f>(G625/G612)*AI91</f>
        <v>17228.254730691984</v>
      </c>
      <c r="H700" s="258">
        <f>(H628/H612)*AI60</f>
        <v>0</v>
      </c>
      <c r="I700" s="256">
        <f>(I629/I612)*AI92</f>
        <v>0</v>
      </c>
      <c r="J700" s="256">
        <f>(J630/J612)*AI93</f>
        <v>881.09411857182954</v>
      </c>
      <c r="K700" s="256">
        <f>(K644/K612)*AI89</f>
        <v>78984.313142140949</v>
      </c>
      <c r="L700" s="256">
        <f>(L647/L612)*AI94</f>
        <v>57730.679654420797</v>
      </c>
      <c r="M700" s="231">
        <f t="shared" si="22"/>
        <v>1009890</v>
      </c>
      <c r="N700" s="250" t="s">
        <v>644</v>
      </c>
      <c r="CG700" s="333"/>
    </row>
    <row r="701" spans="1:85" s="231" customFormat="1" ht="12.65" customHeight="1" x14ac:dyDescent="0.3">
      <c r="A701" s="251">
        <v>7260</v>
      </c>
      <c r="B701" s="250" t="s">
        <v>133</v>
      </c>
      <c r="C701" s="256">
        <f>AJ85</f>
        <v>886668.76000000024</v>
      </c>
      <c r="D701" s="256">
        <f>(D615/D612)*AJ90</f>
        <v>4923.0284792209741</v>
      </c>
      <c r="E701" s="258">
        <f>(E623/E612)*SUM(C701:D701)</f>
        <v>361664.96090621833</v>
      </c>
      <c r="F701" s="258">
        <f>(F624/F612)*AJ64</f>
        <v>6061.1948364544669</v>
      </c>
      <c r="G701" s="256">
        <f>(G625/G612)*AJ91</f>
        <v>0</v>
      </c>
      <c r="H701" s="258">
        <f>(H628/H612)*AJ60</f>
        <v>0</v>
      </c>
      <c r="I701" s="256">
        <f>(I629/I612)*AJ92</f>
        <v>1170862.7881132937</v>
      </c>
      <c r="J701" s="256">
        <f>(J630/J612)*AJ93</f>
        <v>0</v>
      </c>
      <c r="K701" s="256">
        <f>(K644/K612)*AJ89</f>
        <v>64300.434937067701</v>
      </c>
      <c r="L701" s="256">
        <f>(L647/L612)*AJ94</f>
        <v>21801.011462313709</v>
      </c>
      <c r="M701" s="231">
        <f t="shared" si="22"/>
        <v>1629613</v>
      </c>
      <c r="N701" s="250" t="s">
        <v>645</v>
      </c>
      <c r="CG701" s="333"/>
    </row>
    <row r="702" spans="1:85" s="231" customFormat="1" ht="12.65" customHeight="1" x14ac:dyDescent="0.3">
      <c r="A702" s="251">
        <v>7310</v>
      </c>
      <c r="B702" s="250" t="s">
        <v>646</v>
      </c>
      <c r="C702" s="256">
        <f>AK85</f>
        <v>9124.67</v>
      </c>
      <c r="D702" s="256">
        <f>(D615/D612)*AK90</f>
        <v>0</v>
      </c>
      <c r="E702" s="258">
        <f>(E623/E612)*SUM(C702:D702)</f>
        <v>3701.3277393021353</v>
      </c>
      <c r="F702" s="258">
        <f>(F624/F612)*AK64</f>
        <v>8.9851344526827024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920.0278361083034</v>
      </c>
      <c r="L702" s="256">
        <f>(L647/L612)*AK94</f>
        <v>0</v>
      </c>
      <c r="M702" s="231">
        <f t="shared" si="22"/>
        <v>4630</v>
      </c>
      <c r="N702" s="250" t="s">
        <v>647</v>
      </c>
      <c r="CG702" s="333"/>
    </row>
    <row r="703" spans="1:85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817.880393034382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22"/>
        <v>818</v>
      </c>
      <c r="N703" s="250" t="s">
        <v>649</v>
      </c>
      <c r="CG703" s="333"/>
    </row>
    <row r="704" spans="1:85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22"/>
        <v>0</v>
      </c>
      <c r="N704" s="250" t="s">
        <v>651</v>
      </c>
      <c r="CG704" s="333"/>
    </row>
    <row r="705" spans="1:85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22"/>
        <v>0</v>
      </c>
      <c r="N705" s="250" t="s">
        <v>653</v>
      </c>
      <c r="CG705" s="333"/>
    </row>
    <row r="706" spans="1:85" s="231" customFormat="1" ht="12.65" customHeight="1" x14ac:dyDescent="0.3">
      <c r="A706" s="251">
        <v>7350</v>
      </c>
      <c r="B706" s="250" t="s">
        <v>654</v>
      </c>
      <c r="C706" s="256">
        <f>AO85</f>
        <v>-5233.329999999999</v>
      </c>
      <c r="D706" s="256">
        <f>(D615/D612)*AO90</f>
        <v>0</v>
      </c>
      <c r="E706" s="258">
        <f>(E623/E612)*SUM(C706:D706)</f>
        <v>-2122.8460314643753</v>
      </c>
      <c r="F706" s="258">
        <f>(F624/F612)*AO64</f>
        <v>-2.0362784160833935E-14</v>
      </c>
      <c r="G706" s="256">
        <f>(G625/G612)*AO91</f>
        <v>385722.94665040856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31.512380703997135</v>
      </c>
      <c r="L706" s="256">
        <f>(L647/L612)*AO94</f>
        <v>2.6985813872103543</v>
      </c>
      <c r="M706" s="231">
        <f t="shared" si="22"/>
        <v>383634</v>
      </c>
      <c r="N706" s="250" t="s">
        <v>655</v>
      </c>
      <c r="CG706" s="333"/>
    </row>
    <row r="707" spans="1:85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22"/>
        <v>0</v>
      </c>
      <c r="N707" s="250" t="s">
        <v>657</v>
      </c>
      <c r="CG707" s="333"/>
    </row>
    <row r="708" spans="1:85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22"/>
        <v>0</v>
      </c>
      <c r="N708" s="250" t="s">
        <v>659</v>
      </c>
      <c r="CG708" s="333"/>
    </row>
    <row r="709" spans="1:85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22"/>
        <v>0</v>
      </c>
      <c r="N709" s="250" t="s">
        <v>661</v>
      </c>
      <c r="CG709" s="333"/>
    </row>
    <row r="710" spans="1:85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22"/>
        <v>0</v>
      </c>
      <c r="N710" s="250" t="s">
        <v>662</v>
      </c>
      <c r="CG710" s="333"/>
    </row>
    <row r="711" spans="1:85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22"/>
        <v>0</v>
      </c>
      <c r="N711" s="250" t="s">
        <v>664</v>
      </c>
      <c r="CG711" s="333"/>
    </row>
    <row r="712" spans="1:85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22"/>
        <v>0</v>
      </c>
      <c r="N712" s="250" t="s">
        <v>666</v>
      </c>
      <c r="CG712" s="333"/>
    </row>
    <row r="713" spans="1:85" s="231" customFormat="1" ht="12.65" customHeight="1" x14ac:dyDescent="0.3">
      <c r="A713" s="251">
        <v>7490</v>
      </c>
      <c r="B713" s="250" t="s">
        <v>667</v>
      </c>
      <c r="C713" s="256">
        <f>AV85</f>
        <v>9334776.2299999986</v>
      </c>
      <c r="D713" s="256">
        <f>(D615/D612)*AV90</f>
        <v>241676.85666950524</v>
      </c>
      <c r="E713" s="258">
        <f>(E623/E612)*SUM(C713:D713)</f>
        <v>3884588.8622619114</v>
      </c>
      <c r="F713" s="258">
        <f>(F624/F612)*AV64</f>
        <v>28709.735084370848</v>
      </c>
      <c r="G713" s="256">
        <f>(G625/G612)*AV91</f>
        <v>0</v>
      </c>
      <c r="H713" s="258">
        <f>(H628/H612)*AV60</f>
        <v>0</v>
      </c>
      <c r="I713" s="256">
        <f>(I629/I612)*AV92</f>
        <v>0</v>
      </c>
      <c r="J713" s="256">
        <f>(J630/J612)*AV93</f>
        <v>160.08043467488028</v>
      </c>
      <c r="K713" s="256">
        <f>(K644/K612)*AV89</f>
        <v>500934.82271151344</v>
      </c>
      <c r="L713" s="256">
        <f>(L647/L612)*AV94</f>
        <v>76920.61572864007</v>
      </c>
      <c r="M713" s="231">
        <f t="shared" si="22"/>
        <v>4732991</v>
      </c>
      <c r="N713" s="252" t="s">
        <v>668</v>
      </c>
      <c r="CG713" s="333"/>
    </row>
    <row r="714" spans="1:85" s="231" customFormat="1" ht="12.65" customHeight="1" x14ac:dyDescent="0.3">
      <c r="CG714" s="333"/>
    </row>
    <row r="715" spans="1:85" s="231" customFormat="1" ht="12.65" customHeight="1" x14ac:dyDescent="0.3">
      <c r="C715" s="253">
        <f>SUM(C614:C647)+SUM(C668:C713)</f>
        <v>257370689.28999996</v>
      </c>
      <c r="D715" s="231">
        <f>SUM(D616:D647)+SUM(D668:D713)</f>
        <v>9964043.0200000051</v>
      </c>
      <c r="E715" s="231">
        <f>SUM(E624:E647)+SUM(E668:E713)</f>
        <v>74272059.836197972</v>
      </c>
      <c r="F715" s="231">
        <f>SUM(F625:F648)+SUM(F668:F713)</f>
        <v>1221314.160296214</v>
      </c>
      <c r="G715" s="231">
        <f>SUM(G626:G647)+SUM(G668:G713)</f>
        <v>4222399.8703746945</v>
      </c>
      <c r="H715" s="231">
        <f>SUM(H629:H647)+SUM(H668:H713)</f>
        <v>0</v>
      </c>
      <c r="I715" s="231">
        <f>SUM(I630:I647)+SUM(I668:I713)</f>
        <v>4717460.8213233976</v>
      </c>
      <c r="J715" s="231">
        <f>SUM(J631:J647)+SUM(J668:J713)</f>
        <v>20302.271620534881</v>
      </c>
      <c r="K715" s="231">
        <f>SUM(K668:K713)</f>
        <v>12588761.191846795</v>
      </c>
      <c r="L715" s="231">
        <f>SUM(L668:L713)</f>
        <v>2189881.200970558</v>
      </c>
      <c r="M715" s="231">
        <f>SUM(M668:M713)</f>
        <v>100571668</v>
      </c>
      <c r="N715" s="250" t="s">
        <v>669</v>
      </c>
      <c r="CG715" s="333"/>
    </row>
    <row r="716" spans="1:85" s="231" customFormat="1" ht="12.65" customHeight="1" x14ac:dyDescent="0.3">
      <c r="C716" s="253">
        <f>CE85</f>
        <v>257370689.28999999</v>
      </c>
      <c r="D716" s="231">
        <f>D615</f>
        <v>9964043.0200000014</v>
      </c>
      <c r="E716" s="231">
        <f>E623</f>
        <v>74272059.836197957</v>
      </c>
      <c r="F716" s="231">
        <f>F624</f>
        <v>1221314.1602962145</v>
      </c>
      <c r="G716" s="231">
        <f>G625</f>
        <v>4222399.8703746945</v>
      </c>
      <c r="H716" s="231">
        <f>H628</f>
        <v>0</v>
      </c>
      <c r="I716" s="231">
        <f>I629</f>
        <v>4717460.8213233985</v>
      </c>
      <c r="J716" s="231">
        <f>J630</f>
        <v>20302.271620534877</v>
      </c>
      <c r="K716" s="231">
        <f>K644</f>
        <v>12588761.191846797</v>
      </c>
      <c r="L716" s="231">
        <f>L647</f>
        <v>2189881.2009705584</v>
      </c>
      <c r="M716" s="231">
        <f>C648</f>
        <v>100571669.05000001</v>
      </c>
      <c r="N716" s="250" t="s">
        <v>670</v>
      </c>
      <c r="CG716" s="333"/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D12D1613-1E0D-4214-A716-C8936E8D93A1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Auburn Medical Center</v>
      </c>
      <c r="B3" s="184"/>
      <c r="C3" s="156" t="str">
        <f>"FYE: "&amp;data!C96</f>
        <v>FYE: 12/31/2021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0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40107992.699999988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9070297.569999991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2.9999999940627999E-2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3918145.68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892060.17999999993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35847901.019999996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10764638.130000001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25229.74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146160390.16999999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6260127.5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39639722.460000001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2273637.64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79689544.090000004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125434201.54999998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8232040.1900000004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8232040.1900000004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169514142.75999999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Auburn Medical Center</v>
      </c>
      <c r="B55" s="184"/>
      <c r="C55" s="156" t="str">
        <f>"FYE: "&amp;data!C96</f>
        <v>FYE: 12/31/2021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3419607.2799999989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20493.599999999999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500000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1006942.02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4947042.8999999985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308458746.06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308458746.06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308458746.06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-143891646.20000002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-143891646.20000002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169514142.75999999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Auburn Medical Center</v>
      </c>
      <c r="B108" s="184"/>
      <c r="C108" s="156" t="str">
        <f>"FYE: "&amp;data!C96</f>
        <v>FYE: 12/31/2021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466712425.23000002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437324843.32000005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904037268.55000007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8591050.2899999991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663316247.33000004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17396052.91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689303350.52999997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214733918.0200001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9964124.8999999985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9964124.8999999985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224698042.92000011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120044133.39000003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19582823.510000002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12708328.359999999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28156086.82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1211673.03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62336247.759999976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5867130.6100000003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1404080.7599999995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1803176.3500000006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1515467.65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3436425.72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9269240.2300000004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267334814.19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-42636771.269999892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-42636771.269999892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-42636771.269999892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Auburn Medical Center</v>
      </c>
      <c r="G4" s="286"/>
      <c r="H4" s="285" t="str">
        <f>"FYE: "&amp;data!C96</f>
        <v>FYE: 12/31/2021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6075</v>
      </c>
      <c r="D9" s="287">
        <f>data!D59</f>
        <v>11162</v>
      </c>
      <c r="E9" s="287">
        <f>data!E59</f>
        <v>10696</v>
      </c>
      <c r="F9" s="287">
        <f>data!F59</f>
        <v>0</v>
      </c>
      <c r="G9" s="287">
        <f>data!G59</f>
        <v>0</v>
      </c>
      <c r="H9" s="287">
        <f>data!H59</f>
        <v>15872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58.588782183754965</v>
      </c>
      <c r="D10" s="294">
        <f>data!D60</f>
        <v>70.160021908197265</v>
      </c>
      <c r="E10" s="294">
        <f>data!E60</f>
        <v>60.687099306755201</v>
      </c>
      <c r="F10" s="294">
        <f>data!F60</f>
        <v>0</v>
      </c>
      <c r="G10" s="294">
        <f>data!G60</f>
        <v>0</v>
      </c>
      <c r="H10" s="294">
        <f>data!H60</f>
        <v>93.629348617311052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10458573.790000001</v>
      </c>
      <c r="D11" s="287">
        <f>data!D61</f>
        <v>11886950.09</v>
      </c>
      <c r="E11" s="287">
        <f>data!E61</f>
        <v>7093091.5899999999</v>
      </c>
      <c r="F11" s="287">
        <f>data!F61</f>
        <v>0</v>
      </c>
      <c r="G11" s="287">
        <f>data!G61</f>
        <v>0</v>
      </c>
      <c r="H11" s="287">
        <f>data!H61</f>
        <v>10513975.359999999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1194301</v>
      </c>
      <c r="D12" s="287">
        <f>data!D62</f>
        <v>1136412</v>
      </c>
      <c r="E12" s="287">
        <f>data!E62</f>
        <v>1441935</v>
      </c>
      <c r="F12" s="287">
        <f>data!F62</f>
        <v>0</v>
      </c>
      <c r="G12" s="287">
        <f>data!G62</f>
        <v>0</v>
      </c>
      <c r="H12" s="287">
        <f>data!H62</f>
        <v>2209727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696803.55</v>
      </c>
      <c r="D13" s="287">
        <f>data!D63</f>
        <v>4500</v>
      </c>
      <c r="E13" s="287">
        <f>data!E63</f>
        <v>3000</v>
      </c>
      <c r="F13" s="287">
        <f>data!F63</f>
        <v>0</v>
      </c>
      <c r="G13" s="287">
        <f>data!G63</f>
        <v>0</v>
      </c>
      <c r="H13" s="287">
        <f>data!H63</f>
        <v>1282778.3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1038260.8</v>
      </c>
      <c r="D14" s="287">
        <f>data!D64</f>
        <v>911489.89</v>
      </c>
      <c r="E14" s="287">
        <f>data!E64</f>
        <v>843507.22000000009</v>
      </c>
      <c r="F14" s="287">
        <f>data!F64</f>
        <v>0</v>
      </c>
      <c r="G14" s="287">
        <f>data!G64</f>
        <v>0</v>
      </c>
      <c r="H14" s="287">
        <f>data!H64</f>
        <v>254982.52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52100.53</v>
      </c>
      <c r="D15" s="287">
        <f>data!D65</f>
        <v>63883.93</v>
      </c>
      <c r="E15" s="287">
        <f>data!E65</f>
        <v>112104.86</v>
      </c>
      <c r="F15" s="287">
        <f>data!F65</f>
        <v>0</v>
      </c>
      <c r="G15" s="287">
        <f>data!G65</f>
        <v>0</v>
      </c>
      <c r="H15" s="287">
        <f>data!H65</f>
        <v>86858.62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288101.38</v>
      </c>
      <c r="D16" s="287">
        <f>data!D66</f>
        <v>449133.21</v>
      </c>
      <c r="E16" s="287">
        <f>data!E66</f>
        <v>706121.16</v>
      </c>
      <c r="F16" s="287">
        <f>data!F66</f>
        <v>0</v>
      </c>
      <c r="G16" s="287">
        <f>data!G66</f>
        <v>0</v>
      </c>
      <c r="H16" s="287">
        <f>data!H66</f>
        <v>264384.21999999997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204606</v>
      </c>
      <c r="D17" s="287">
        <f>data!D67</f>
        <v>231179</v>
      </c>
      <c r="E17" s="287">
        <f>data!E67</f>
        <v>349681</v>
      </c>
      <c r="F17" s="287">
        <f>data!F67</f>
        <v>0</v>
      </c>
      <c r="G17" s="287">
        <f>data!G67</f>
        <v>0</v>
      </c>
      <c r="H17" s="287">
        <f>data!H67</f>
        <v>302693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101262.32999999999</v>
      </c>
      <c r="D18" s="287">
        <f>data!D68</f>
        <v>172247.73</v>
      </c>
      <c r="E18" s="287">
        <f>data!E68</f>
        <v>259350.64999999997</v>
      </c>
      <c r="F18" s="287">
        <f>data!F68</f>
        <v>0</v>
      </c>
      <c r="G18" s="287">
        <f>data!G68</f>
        <v>0</v>
      </c>
      <c r="H18" s="287">
        <f>data!H68</f>
        <v>176.16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62936.119999999995</v>
      </c>
      <c r="D19" s="287">
        <f>data!D69</f>
        <v>138630.81000000003</v>
      </c>
      <c r="E19" s="287">
        <f>data!E69</f>
        <v>141987.50000000006</v>
      </c>
      <c r="F19" s="287">
        <f>data!F69</f>
        <v>0</v>
      </c>
      <c r="G19" s="287">
        <f>data!G69</f>
        <v>0</v>
      </c>
      <c r="H19" s="287">
        <f>data!H69</f>
        <v>70633.510000000038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-914.54000000000008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14096945.500000002</v>
      </c>
      <c r="D21" s="287">
        <f>data!D85</f>
        <v>14994426.660000002</v>
      </c>
      <c r="E21" s="287">
        <f>data!E85</f>
        <v>10950778.98</v>
      </c>
      <c r="F21" s="287">
        <f>data!F85</f>
        <v>0</v>
      </c>
      <c r="G21" s="287">
        <f>data!G85</f>
        <v>0</v>
      </c>
      <c r="H21" s="287">
        <f>data!H85</f>
        <v>14985294.15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8237160</v>
      </c>
      <c r="D23" s="295">
        <f>+data!M669</f>
        <v>9059565</v>
      </c>
      <c r="E23" s="295">
        <f>+data!M670</f>
        <v>8381052</v>
      </c>
      <c r="F23" s="295">
        <f>+data!M671</f>
        <v>4380</v>
      </c>
      <c r="G23" s="295">
        <f>+data!M672</f>
        <v>0</v>
      </c>
      <c r="H23" s="295">
        <f>+data!M673</f>
        <v>10562979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31353432.469999999</v>
      </c>
      <c r="D24" s="287">
        <f>data!D87</f>
        <v>45565779</v>
      </c>
      <c r="E24" s="287">
        <f>data!E87</f>
        <v>28326442.960000001</v>
      </c>
      <c r="F24" s="287">
        <f>data!F87</f>
        <v>0</v>
      </c>
      <c r="G24" s="287">
        <f>data!G87</f>
        <v>0</v>
      </c>
      <c r="H24" s="287">
        <f>data!H87</f>
        <v>83311764.420000002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143888</v>
      </c>
      <c r="D25" s="287">
        <f>data!D88</f>
        <v>792641</v>
      </c>
      <c r="E25" s="287">
        <f>data!E88</f>
        <v>855019</v>
      </c>
      <c r="F25" s="287">
        <f>data!F88</f>
        <v>0</v>
      </c>
      <c r="G25" s="287">
        <f>data!G88</f>
        <v>0</v>
      </c>
      <c r="H25" s="287">
        <f>data!H88</f>
        <v>1280171.06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31497320.469999999</v>
      </c>
      <c r="D26" s="287">
        <f>data!D89</f>
        <v>46358420</v>
      </c>
      <c r="E26" s="287">
        <f>data!E89</f>
        <v>29181461.960000001</v>
      </c>
      <c r="F26" s="287">
        <f>data!F89</f>
        <v>0</v>
      </c>
      <c r="G26" s="287">
        <f>data!G89</f>
        <v>0</v>
      </c>
      <c r="H26" s="287">
        <f>data!H89</f>
        <v>84591935.480000004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9576.7099999999991</v>
      </c>
      <c r="D28" s="287">
        <f>data!D90</f>
        <v>11940.609999999995</v>
      </c>
      <c r="E28" s="287">
        <f>data!E90</f>
        <v>21064.249999999996</v>
      </c>
      <c r="F28" s="287">
        <f>data!F90</f>
        <v>0</v>
      </c>
      <c r="G28" s="287">
        <f>data!G90</f>
        <v>0</v>
      </c>
      <c r="H28" s="287">
        <f>data!H90</f>
        <v>15891.180000000006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9983</v>
      </c>
      <c r="D29" s="287">
        <f>data!D91</f>
        <v>19381</v>
      </c>
      <c r="E29" s="287">
        <f>data!E91</f>
        <v>33988</v>
      </c>
      <c r="F29" s="287">
        <f>data!F91</f>
        <v>166</v>
      </c>
      <c r="G29" s="287">
        <f>data!G91</f>
        <v>0</v>
      </c>
      <c r="H29" s="287">
        <f>data!H91</f>
        <v>48909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9741.5191734960063</v>
      </c>
      <c r="D30" s="287">
        <f>data!D92</f>
        <v>6682.2226877811327</v>
      </c>
      <c r="E30" s="287">
        <f>data!E92</f>
        <v>8993.817980158974</v>
      </c>
      <c r="F30" s="287">
        <f>data!F92</f>
        <v>0</v>
      </c>
      <c r="G30" s="287">
        <f>data!G92</f>
        <v>0</v>
      </c>
      <c r="H30" s="287">
        <f>data!H92</f>
        <v>6271.2724135806275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70262.84</v>
      </c>
      <c r="D31" s="287">
        <f>data!D93</f>
        <v>121575.3</v>
      </c>
      <c r="E31" s="287">
        <f>data!E93</f>
        <v>112082.87</v>
      </c>
      <c r="F31" s="287">
        <f>data!F93</f>
        <v>0</v>
      </c>
      <c r="G31" s="287">
        <f>data!G93</f>
        <v>0</v>
      </c>
      <c r="H31" s="287">
        <f>data!H93</f>
        <v>76176.14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41.561445199786107</v>
      </c>
      <c r="D32" s="294">
        <f>data!D94</f>
        <v>44.137656158337307</v>
      </c>
      <c r="E32" s="294">
        <f>data!E94</f>
        <v>31.360254105293119</v>
      </c>
      <c r="F32" s="294">
        <f>data!F94</f>
        <v>0</v>
      </c>
      <c r="G32" s="294">
        <f>data!G94</f>
        <v>0</v>
      </c>
      <c r="H32" s="294">
        <f>data!H94</f>
        <v>34.266352050100508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Auburn Medical Center</v>
      </c>
      <c r="G36" s="286"/>
      <c r="H36" s="285" t="str">
        <f>"FYE: "&amp;data!C96</f>
        <v>FYE: 12/31/2021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548100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48.58386437690632</v>
      </c>
      <c r="I42" s="294">
        <f>data!P60</f>
        <v>22.737663695515394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7209916.4299999997</v>
      </c>
      <c r="I43" s="287">
        <f>data!P61</f>
        <v>3128395.11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1077421</v>
      </c>
      <c r="I44" s="287">
        <f>data!P62</f>
        <v>467806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42450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779280.07</v>
      </c>
      <c r="I46" s="287">
        <f>data!P64</f>
        <v>8612189.2799999993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74579</v>
      </c>
      <c r="I47" s="287">
        <f>data!P65</f>
        <v>68719.590000000011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729486.31</v>
      </c>
      <c r="I48" s="287">
        <f>data!P66</f>
        <v>3493093.38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365270</v>
      </c>
      <c r="I49" s="287">
        <f>data!P67</f>
        <v>701671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40226.86</v>
      </c>
      <c r="I50" s="287">
        <f>data!P68</f>
        <v>417357.37999999995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125999.82</v>
      </c>
      <c r="I51" s="287">
        <f>data!P69</f>
        <v>108156.53000000004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-4530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10440099.49</v>
      </c>
      <c r="I53" s="287">
        <f>data!P85</f>
        <v>16997388.27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6828492</v>
      </c>
      <c r="I55" s="295">
        <f>+data!M681</f>
        <v>10876236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25565698</v>
      </c>
      <c r="I56" s="287">
        <f>data!P87</f>
        <v>37917714.009999998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918830.00000000012</v>
      </c>
      <c r="I57" s="287">
        <f>data!P88</f>
        <v>99905443.999999985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26484528</v>
      </c>
      <c r="I58" s="287">
        <f>data!P89</f>
        <v>137823158.00999999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13892.000000000005</v>
      </c>
      <c r="I60" s="287">
        <f>data!P90</f>
        <v>12953.94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13067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6647.9768315977581</v>
      </c>
      <c r="I62" s="287">
        <f>data!P92</f>
        <v>7849.4356193645135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99209.36</v>
      </c>
      <c r="I63" s="287">
        <f>data!P93</f>
        <v>52603.12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31.661527392923077</v>
      </c>
      <c r="I64" s="294">
        <f>data!P94</f>
        <v>8.8856417796047076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Auburn Medical Center</v>
      </c>
      <c r="G68" s="286"/>
      <c r="H68" s="285" t="str">
        <f>"FYE: "&amp;data!C96</f>
        <v>FYE: 12/31/2021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331605</v>
      </c>
      <c r="E73" s="299"/>
      <c r="F73" s="299"/>
      <c r="G73" s="287">
        <f>data!U59</f>
        <v>0</v>
      </c>
      <c r="H73" s="287">
        <f>data!V59</f>
        <v>18381</v>
      </c>
      <c r="I73" s="287">
        <f>data!W59</f>
        <v>24316.78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9.9273328753524233</v>
      </c>
      <c r="E74" s="294">
        <f>data!S60</f>
        <v>10.348382875294742</v>
      </c>
      <c r="F74" s="294">
        <f>data!T60</f>
        <v>0</v>
      </c>
      <c r="G74" s="294">
        <f>data!U60</f>
        <v>29.405091776793824</v>
      </c>
      <c r="H74" s="294">
        <f>data!V60</f>
        <v>0</v>
      </c>
      <c r="I74" s="294">
        <f>data!W60</f>
        <v>3.227546574900336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1976402.5699999996</v>
      </c>
      <c r="E75" s="287">
        <f>data!S61</f>
        <v>797064.95000000007</v>
      </c>
      <c r="F75" s="287">
        <f>data!T61</f>
        <v>0</v>
      </c>
      <c r="G75" s="287">
        <f>data!U61</f>
        <v>3039372.43</v>
      </c>
      <c r="H75" s="287">
        <f>data!V61</f>
        <v>0</v>
      </c>
      <c r="I75" s="287">
        <f>data!W61</f>
        <v>458655.66000000003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214452</v>
      </c>
      <c r="E76" s="287">
        <f>data!S62</f>
        <v>218526</v>
      </c>
      <c r="F76" s="287">
        <f>data!T62</f>
        <v>0</v>
      </c>
      <c r="G76" s="287">
        <f>data!U62</f>
        <v>619633</v>
      </c>
      <c r="H76" s="287">
        <f>data!V62</f>
        <v>0</v>
      </c>
      <c r="I76" s="287">
        <f>data!W62</f>
        <v>92771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34064</v>
      </c>
      <c r="E77" s="287">
        <f>data!S63</f>
        <v>0</v>
      </c>
      <c r="F77" s="287">
        <f>data!T63</f>
        <v>0</v>
      </c>
      <c r="G77" s="287">
        <f>data!U63</f>
        <v>11235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41494.74</v>
      </c>
      <c r="E78" s="287">
        <f>data!S64</f>
        <v>202458.59999999998</v>
      </c>
      <c r="F78" s="287">
        <f>data!T64</f>
        <v>0</v>
      </c>
      <c r="G78" s="287">
        <f>data!U64</f>
        <v>1461789.6199999999</v>
      </c>
      <c r="H78" s="287">
        <f>data!V64</f>
        <v>19894.96</v>
      </c>
      <c r="I78" s="287">
        <f>data!W64</f>
        <v>46779.510000000009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29445.040000000005</v>
      </c>
      <c r="E79" s="287">
        <f>data!S65</f>
        <v>18308.679999999997</v>
      </c>
      <c r="F79" s="287">
        <f>data!T65</f>
        <v>0</v>
      </c>
      <c r="G79" s="287">
        <f>data!U65</f>
        <v>28982.730000000003</v>
      </c>
      <c r="H79" s="287">
        <f>data!V65</f>
        <v>0</v>
      </c>
      <c r="I79" s="287">
        <f>data!W65</f>
        <v>5737.72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421541.94</v>
      </c>
      <c r="E80" s="287">
        <f>data!S66</f>
        <v>-1288086.28</v>
      </c>
      <c r="F80" s="287">
        <f>data!T66</f>
        <v>0</v>
      </c>
      <c r="G80" s="287">
        <f>data!U66</f>
        <v>7374919.29</v>
      </c>
      <c r="H80" s="287">
        <f>data!V66</f>
        <v>38946.17</v>
      </c>
      <c r="I80" s="287">
        <f>data!W66</f>
        <v>71786.149999999994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88890</v>
      </c>
      <c r="E81" s="287">
        <f>data!S67</f>
        <v>119550</v>
      </c>
      <c r="F81" s="287">
        <f>data!T67</f>
        <v>0</v>
      </c>
      <c r="G81" s="287">
        <f>data!U67</f>
        <v>96384</v>
      </c>
      <c r="H81" s="287">
        <f>data!V67</f>
        <v>0</v>
      </c>
      <c r="I81" s="287">
        <f>data!W67</f>
        <v>17888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-141.37999999999374</v>
      </c>
      <c r="E83" s="287">
        <f>data!S69</f>
        <v>11964.510000000006</v>
      </c>
      <c r="F83" s="287">
        <f>data!T69</f>
        <v>0</v>
      </c>
      <c r="G83" s="287">
        <f>data!U69</f>
        <v>69577.419999999984</v>
      </c>
      <c r="H83" s="287">
        <f>data!V69</f>
        <v>0</v>
      </c>
      <c r="I83" s="287">
        <f>data!W69</f>
        <v>444.01000000000022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7242672.7400000002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2806148.9099999997</v>
      </c>
      <c r="E85" s="287">
        <f>data!S85</f>
        <v>79786.459999999963</v>
      </c>
      <c r="F85" s="287">
        <f>data!T85</f>
        <v>0</v>
      </c>
      <c r="G85" s="287">
        <f>data!U85</f>
        <v>5459220.75</v>
      </c>
      <c r="H85" s="287">
        <f>data!V85</f>
        <v>58841.13</v>
      </c>
      <c r="I85" s="287">
        <f>data!W85</f>
        <v>694062.05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0</v>
      </c>
      <c r="D87" s="295">
        <f>+data!M683</f>
        <v>1981809</v>
      </c>
      <c r="E87" s="295">
        <f>+data!M684</f>
        <v>325792</v>
      </c>
      <c r="F87" s="295">
        <f>+data!M685</f>
        <v>0</v>
      </c>
      <c r="G87" s="295">
        <f>+data!M686</f>
        <v>3160821</v>
      </c>
      <c r="H87" s="295">
        <f>+data!M687</f>
        <v>97962</v>
      </c>
      <c r="I87" s="295">
        <f>+data!M688</f>
        <v>554241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4855561</v>
      </c>
      <c r="E88" s="287">
        <f>data!S87</f>
        <v>0</v>
      </c>
      <c r="F88" s="287">
        <f>data!T87</f>
        <v>0</v>
      </c>
      <c r="G88" s="287">
        <f>data!U87</f>
        <v>18439488</v>
      </c>
      <c r="H88" s="287">
        <f>data!V87</f>
        <v>1740458</v>
      </c>
      <c r="I88" s="287">
        <f>data!W87</f>
        <v>4127565.96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13031333.000000002</v>
      </c>
      <c r="E89" s="287">
        <f>data!S88</f>
        <v>0</v>
      </c>
      <c r="F89" s="287">
        <f>data!T88</f>
        <v>0</v>
      </c>
      <c r="G89" s="287">
        <f>data!U88</f>
        <v>15706807</v>
      </c>
      <c r="H89" s="287">
        <f>data!V88</f>
        <v>3516501</v>
      </c>
      <c r="I89" s="287">
        <f>data!W88</f>
        <v>9170186.3899999987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17886894</v>
      </c>
      <c r="E90" s="287">
        <f>data!S89</f>
        <v>0</v>
      </c>
      <c r="F90" s="287">
        <f>data!T89</f>
        <v>0</v>
      </c>
      <c r="G90" s="287">
        <f>data!U89</f>
        <v>34146295</v>
      </c>
      <c r="H90" s="287">
        <f>data!V89</f>
        <v>5256959</v>
      </c>
      <c r="I90" s="287">
        <f>data!W89</f>
        <v>13297752.349999998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5419.78</v>
      </c>
      <c r="E92" s="287">
        <f>data!S90</f>
        <v>3421.9599999999996</v>
      </c>
      <c r="F92" s="287">
        <f>data!T90</f>
        <v>0</v>
      </c>
      <c r="G92" s="287">
        <f>data!U90</f>
        <v>4878.0400000000009</v>
      </c>
      <c r="H92" s="287">
        <f>data!V90</f>
        <v>0</v>
      </c>
      <c r="I92" s="287">
        <f>data!W90</f>
        <v>1028.69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2950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7396.6</v>
      </c>
      <c r="E95" s="287">
        <f>data!S93</f>
        <v>6855.32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8.5887171221111345</v>
      </c>
      <c r="E96" s="294">
        <f>data!S94</f>
        <v>0</v>
      </c>
      <c r="F96" s="294">
        <f>data!T94</f>
        <v>0</v>
      </c>
      <c r="G96" s="294">
        <f>data!U94</f>
        <v>3.983287670687221E-2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Auburn Medical Center</v>
      </c>
      <c r="G100" s="286"/>
      <c r="H100" s="285" t="str">
        <f>"FYE: "&amp;data!C96</f>
        <v>FYE: 12/31/2021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135207.47</v>
      </c>
      <c r="D105" s="287">
        <f>data!Y59</f>
        <v>96741.560000000012</v>
      </c>
      <c r="E105" s="287">
        <f>data!Z59</f>
        <v>0</v>
      </c>
      <c r="F105" s="287">
        <f>data!AA59</f>
        <v>14274.71</v>
      </c>
      <c r="G105" s="299"/>
      <c r="H105" s="287">
        <f>data!AC59</f>
        <v>63683.73000000001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8.1602883550465357</v>
      </c>
      <c r="D106" s="294">
        <f>data!Y60</f>
        <v>33.731643146064165</v>
      </c>
      <c r="E106" s="294">
        <f>data!Z60</f>
        <v>0</v>
      </c>
      <c r="F106" s="294">
        <f>data!AA60</f>
        <v>2.3375972599537542</v>
      </c>
      <c r="G106" s="294">
        <f>data!AB60</f>
        <v>34.542511639103765</v>
      </c>
      <c r="H106" s="294">
        <f>data!AC60</f>
        <v>17.823596572900879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1075136.67</v>
      </c>
      <c r="D107" s="287">
        <f>data!Y61</f>
        <v>3862427.13</v>
      </c>
      <c r="E107" s="287">
        <f>data!Z61</f>
        <v>0</v>
      </c>
      <c r="F107" s="287">
        <f>data!AA61</f>
        <v>320983.24000000005</v>
      </c>
      <c r="G107" s="287">
        <f>data!AB61</f>
        <v>4225319.3100000005</v>
      </c>
      <c r="H107" s="287">
        <f>data!AC61</f>
        <v>2245816.75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222828</v>
      </c>
      <c r="D108" s="287">
        <f>data!Y62</f>
        <v>841652</v>
      </c>
      <c r="E108" s="287">
        <f>data!Z62</f>
        <v>0</v>
      </c>
      <c r="F108" s="287">
        <f>data!AA62</f>
        <v>63822</v>
      </c>
      <c r="G108" s="287">
        <f>data!AB62</f>
        <v>903059</v>
      </c>
      <c r="H108" s="287">
        <f>data!AC62</f>
        <v>419557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255516.24</v>
      </c>
      <c r="D110" s="287">
        <f>data!Y64</f>
        <v>3290435.4299999997</v>
      </c>
      <c r="E110" s="287">
        <f>data!Z64</f>
        <v>883.92</v>
      </c>
      <c r="F110" s="287">
        <f>data!AA64</f>
        <v>200969.8</v>
      </c>
      <c r="G110" s="287">
        <f>data!AB64</f>
        <v>5341159</v>
      </c>
      <c r="H110" s="287">
        <f>data!AC64</f>
        <v>222573.34000000003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10222.34</v>
      </c>
      <c r="D111" s="287">
        <f>data!Y65</f>
        <v>70767.759999999995</v>
      </c>
      <c r="E111" s="287">
        <f>data!Z65</f>
        <v>0</v>
      </c>
      <c r="F111" s="287">
        <f>data!AA65</f>
        <v>14627.61</v>
      </c>
      <c r="G111" s="287">
        <f>data!AB65</f>
        <v>12108.36</v>
      </c>
      <c r="H111" s="287">
        <f>data!AC65</f>
        <v>7166.5099999999993</v>
      </c>
      <c r="I111" s="287">
        <f>data!AD65</f>
        <v>1102.3399999999999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380943.61</v>
      </c>
      <c r="D112" s="287">
        <f>data!Y66</f>
        <v>-400121.83</v>
      </c>
      <c r="E112" s="287">
        <f>data!Z66</f>
        <v>0</v>
      </c>
      <c r="F112" s="287">
        <f>data!AA66</f>
        <v>35791.69</v>
      </c>
      <c r="G112" s="287">
        <f>data!AB66</f>
        <v>169068.02</v>
      </c>
      <c r="H112" s="287">
        <f>data!AC66</f>
        <v>53559.8</v>
      </c>
      <c r="I112" s="287">
        <f>data!AD66</f>
        <v>1177962.69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274213</v>
      </c>
      <c r="D113" s="287">
        <f>data!Y67</f>
        <v>623339</v>
      </c>
      <c r="E113" s="287">
        <f>data!Z67</f>
        <v>0</v>
      </c>
      <c r="F113" s="287">
        <f>data!AA67</f>
        <v>51527</v>
      </c>
      <c r="G113" s="287">
        <f>data!AB67</f>
        <v>62214</v>
      </c>
      <c r="H113" s="287">
        <f>data!AC67</f>
        <v>74700</v>
      </c>
      <c r="I113" s="287">
        <f>data!AD67</f>
        <v>3457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-67.16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2708.7300000000005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6051.0300000000007</v>
      </c>
      <c r="D115" s="287">
        <f>data!Y69</f>
        <v>10262.610000000015</v>
      </c>
      <c r="E115" s="287">
        <f>data!Z69</f>
        <v>0</v>
      </c>
      <c r="F115" s="287">
        <f>data!AA69</f>
        <v>1182.0199999999986</v>
      </c>
      <c r="G115" s="287">
        <f>data!AB69</f>
        <v>29842.160000000003</v>
      </c>
      <c r="H115" s="287">
        <f>data!AC69</f>
        <v>20351.739999999994</v>
      </c>
      <c r="I115" s="287">
        <f>data!AD69</f>
        <v>90.919999999998481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-3110.94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2224843.7299999995</v>
      </c>
      <c r="D117" s="287">
        <f>data!Y85</f>
        <v>8298762.0999999996</v>
      </c>
      <c r="E117" s="287">
        <f>data!Z85</f>
        <v>883.92</v>
      </c>
      <c r="F117" s="287">
        <f>data!AA85</f>
        <v>688903.3600000001</v>
      </c>
      <c r="G117" s="287">
        <f>data!AB85</f>
        <v>10739658.91</v>
      </c>
      <c r="H117" s="287">
        <f>data!AC85</f>
        <v>3046433.8699999996</v>
      </c>
      <c r="I117" s="287">
        <f>data!AD85</f>
        <v>1182612.95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2138622</v>
      </c>
      <c r="D119" s="295">
        <f>+data!M690</f>
        <v>5880624</v>
      </c>
      <c r="E119" s="295">
        <f>+data!M691</f>
        <v>399</v>
      </c>
      <c r="F119" s="295">
        <f>+data!M692</f>
        <v>594909</v>
      </c>
      <c r="G119" s="295">
        <f>+data!M693</f>
        <v>5356302</v>
      </c>
      <c r="H119" s="295">
        <f>+data!M694</f>
        <v>1766557</v>
      </c>
      <c r="I119" s="295">
        <f>+data!M695</f>
        <v>527566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21260624.989999998</v>
      </c>
      <c r="D120" s="287">
        <f>data!Y87</f>
        <v>27946622.489999998</v>
      </c>
      <c r="E120" s="287">
        <f>data!Z87</f>
        <v>0</v>
      </c>
      <c r="F120" s="287">
        <f>data!AA87</f>
        <v>1355161.92</v>
      </c>
      <c r="G120" s="287">
        <f>data!AB87</f>
        <v>34545302.410000004</v>
      </c>
      <c r="H120" s="287">
        <f>data!AC87</f>
        <v>27406176</v>
      </c>
      <c r="I120" s="287">
        <f>data!AD87</f>
        <v>2130730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55185979.469999999</v>
      </c>
      <c r="D121" s="287">
        <f>data!Y88</f>
        <v>48652829.460000001</v>
      </c>
      <c r="E121" s="287">
        <f>data!Z88</f>
        <v>91.2</v>
      </c>
      <c r="F121" s="287">
        <f>data!AA88</f>
        <v>4319217.4000000004</v>
      </c>
      <c r="G121" s="287">
        <f>data!AB88</f>
        <v>13468515.289999997</v>
      </c>
      <c r="H121" s="287">
        <f>data!AC88</f>
        <v>2283180</v>
      </c>
      <c r="I121" s="287">
        <f>data!AD88</f>
        <v>48434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76446604.459999993</v>
      </c>
      <c r="D122" s="287">
        <f>data!Y89</f>
        <v>76599451.950000003</v>
      </c>
      <c r="E122" s="287">
        <f>data!Z89</f>
        <v>91.2</v>
      </c>
      <c r="F122" s="287">
        <f>data!AA89</f>
        <v>5674379.3200000003</v>
      </c>
      <c r="G122" s="287">
        <f>data!AB89</f>
        <v>48013817.700000003</v>
      </c>
      <c r="H122" s="287">
        <f>data!AC89</f>
        <v>29689356</v>
      </c>
      <c r="I122" s="287">
        <f>data!AD89</f>
        <v>2179164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1928.63</v>
      </c>
      <c r="D124" s="287">
        <f>data!Y90</f>
        <v>12750.400000000001</v>
      </c>
      <c r="E124" s="287">
        <f>data!Z90</f>
        <v>0</v>
      </c>
      <c r="F124" s="287">
        <f>data!AA90</f>
        <v>2737.0699999999997</v>
      </c>
      <c r="G124" s="287">
        <f>data!AB90</f>
        <v>1109.9799999999998</v>
      </c>
      <c r="H124" s="287">
        <f>data!AC90</f>
        <v>1292.21</v>
      </c>
      <c r="I124" s="287">
        <f>data!AD90</f>
        <v>210.79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3070.711771109331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81838.080000000002</v>
      </c>
      <c r="E127" s="287">
        <f>data!Z93</f>
        <v>0</v>
      </c>
      <c r="F127" s="287">
        <f>data!AA93</f>
        <v>5494.94</v>
      </c>
      <c r="G127" s="287">
        <f>data!AB93</f>
        <v>2295.4</v>
      </c>
      <c r="H127" s="287">
        <f>data!AC93</f>
        <v>3988.44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4.1309349309409686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Auburn Medical Center</v>
      </c>
      <c r="G132" s="286"/>
      <c r="H132" s="285" t="str">
        <f>"FYE: "&amp;data!C96</f>
        <v>FYE: 12/31/2021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726405.00000000012</v>
      </c>
      <c r="H137" s="287">
        <f>data!AJ59</f>
        <v>14269</v>
      </c>
      <c r="I137" s="287">
        <f>data!AK59</f>
        <v>824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0</v>
      </c>
      <c r="D138" s="294">
        <f>data!AF60</f>
        <v>0</v>
      </c>
      <c r="E138" s="294">
        <f>data!AG60</f>
        <v>121.58053080526295</v>
      </c>
      <c r="F138" s="294">
        <f>data!AH60</f>
        <v>0</v>
      </c>
      <c r="G138" s="294">
        <f>data!AI60</f>
        <v>10.023160957531074</v>
      </c>
      <c r="H138" s="294">
        <f>data!AJ60</f>
        <v>9.156613697375807</v>
      </c>
      <c r="I138" s="294">
        <f>data!AK60</f>
        <v>0.15931712326584696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0</v>
      </c>
      <c r="D139" s="287">
        <f>data!AF61</f>
        <v>0</v>
      </c>
      <c r="E139" s="287">
        <f>data!AG61</f>
        <v>20772906.700000003</v>
      </c>
      <c r="F139" s="287">
        <f>data!AH61</f>
        <v>0</v>
      </c>
      <c r="G139" s="287">
        <f>data!AI61</f>
        <v>1481880.7500000002</v>
      </c>
      <c r="H139" s="287">
        <f>data!AJ61</f>
        <v>1033863.6800000001</v>
      </c>
      <c r="I139" s="287">
        <f>data!AK61</f>
        <v>4670.1399999999994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1989854</v>
      </c>
      <c r="F140" s="287">
        <f>data!AH62</f>
        <v>0</v>
      </c>
      <c r="G140" s="287">
        <f>data!AI62</f>
        <v>222613</v>
      </c>
      <c r="H140" s="287">
        <f>data!AJ62</f>
        <v>238586</v>
      </c>
      <c r="I140" s="287">
        <f>data!AK62</f>
        <v>4004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279671.51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0</v>
      </c>
      <c r="D142" s="287">
        <f>data!AF64</f>
        <v>0</v>
      </c>
      <c r="E142" s="287">
        <f>data!AG64</f>
        <v>1915983.96</v>
      </c>
      <c r="F142" s="287">
        <f>data!AH64</f>
        <v>0</v>
      </c>
      <c r="G142" s="287">
        <f>data!AI64</f>
        <v>236782.60000000003</v>
      </c>
      <c r="H142" s="287">
        <f>data!AJ64</f>
        <v>135435.49</v>
      </c>
      <c r="I142" s="287">
        <f>data!AK64</f>
        <v>200.77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111639.34999999999</v>
      </c>
      <c r="F143" s="287">
        <f>data!AH65</f>
        <v>0</v>
      </c>
      <c r="G143" s="287">
        <f>data!AI65</f>
        <v>1407.69</v>
      </c>
      <c r="H143" s="287">
        <f>data!AJ65</f>
        <v>574.06000000000006</v>
      </c>
      <c r="I143" s="287">
        <f>data!AK65</f>
        <v>249.76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1154732.32</v>
      </c>
      <c r="F144" s="287">
        <f>data!AH66</f>
        <v>0</v>
      </c>
      <c r="G144" s="287">
        <f>data!AI66</f>
        <v>98695.89</v>
      </c>
      <c r="H144" s="287">
        <f>data!AJ66</f>
        <v>-709199.31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499989</v>
      </c>
      <c r="F145" s="287">
        <f>data!AH67</f>
        <v>0</v>
      </c>
      <c r="G145" s="287">
        <f>data!AI67</f>
        <v>17753</v>
      </c>
      <c r="H145" s="287">
        <f>data!AJ67</f>
        <v>58002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35021.459999999992</v>
      </c>
      <c r="F146" s="287">
        <f>data!AH68</f>
        <v>0</v>
      </c>
      <c r="G146" s="287">
        <f>data!AI68</f>
        <v>0</v>
      </c>
      <c r="H146" s="287">
        <f>data!AJ68</f>
        <v>127274.29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37651.600000000049</v>
      </c>
      <c r="F147" s="287">
        <f>data!AH69</f>
        <v>0</v>
      </c>
      <c r="G147" s="287">
        <f>data!AI69</f>
        <v>456.89000000000169</v>
      </c>
      <c r="H147" s="287">
        <f>data!AJ69</f>
        <v>2132.5499999999988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-28447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0</v>
      </c>
      <c r="D149" s="287">
        <f>data!AF85</f>
        <v>0</v>
      </c>
      <c r="E149" s="287">
        <f>data!AG85</f>
        <v>26769002.90000001</v>
      </c>
      <c r="F149" s="287">
        <f>data!AH85</f>
        <v>0</v>
      </c>
      <c r="G149" s="287">
        <f>data!AI85</f>
        <v>2059589.82</v>
      </c>
      <c r="H149" s="287">
        <f>data!AJ85</f>
        <v>886668.76000000024</v>
      </c>
      <c r="I149" s="287">
        <f>data!AK85</f>
        <v>9124.67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0</v>
      </c>
      <c r="D151" s="295">
        <f>+data!M697</f>
        <v>0</v>
      </c>
      <c r="E151" s="295">
        <f>+data!M698</f>
        <v>16474624</v>
      </c>
      <c r="F151" s="295">
        <f>+data!M699</f>
        <v>0</v>
      </c>
      <c r="G151" s="295">
        <f>+data!M700</f>
        <v>1009890</v>
      </c>
      <c r="H151" s="295">
        <f>+data!M701</f>
        <v>1629613</v>
      </c>
      <c r="I151" s="295">
        <f>+data!M702</f>
        <v>4630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0</v>
      </c>
      <c r="D152" s="287">
        <f>data!AF87</f>
        <v>0</v>
      </c>
      <c r="E152" s="287">
        <f>data!AG87</f>
        <v>53306499.700000003</v>
      </c>
      <c r="F152" s="287">
        <f>data!AH87</f>
        <v>0</v>
      </c>
      <c r="G152" s="287">
        <f>data!AI87</f>
        <v>1857321</v>
      </c>
      <c r="H152" s="287">
        <f>data!AJ87</f>
        <v>-3176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0</v>
      </c>
      <c r="D153" s="287">
        <f>data!AF88</f>
        <v>0</v>
      </c>
      <c r="E153" s="287">
        <f>data!AG88</f>
        <v>139271478.20000002</v>
      </c>
      <c r="F153" s="287">
        <f>data!AH88</f>
        <v>0</v>
      </c>
      <c r="G153" s="287">
        <f>data!AI88</f>
        <v>3814783</v>
      </c>
      <c r="H153" s="287">
        <f>data!AJ88</f>
        <v>4620786</v>
      </c>
      <c r="I153" s="287">
        <f>data!AK88</f>
        <v>66070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0</v>
      </c>
      <c r="D154" s="287">
        <f>data!AF89</f>
        <v>0</v>
      </c>
      <c r="E154" s="287">
        <f>data!AG89</f>
        <v>192577977.90000004</v>
      </c>
      <c r="F154" s="287">
        <f>data!AH89</f>
        <v>0</v>
      </c>
      <c r="G154" s="287">
        <f>data!AI89</f>
        <v>5672104</v>
      </c>
      <c r="H154" s="287">
        <f>data!AJ89</f>
        <v>4617610</v>
      </c>
      <c r="I154" s="287">
        <f>data!AK89</f>
        <v>66070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0</v>
      </c>
      <c r="D156" s="287">
        <f>data!AF90</f>
        <v>0</v>
      </c>
      <c r="E156" s="287">
        <f>data!AG90</f>
        <v>20649.850000000002</v>
      </c>
      <c r="F156" s="287">
        <f>data!AH90</f>
        <v>0</v>
      </c>
      <c r="G156" s="287">
        <f>data!AI90</f>
        <v>108.58</v>
      </c>
      <c r="H156" s="287">
        <f>data!AJ90</f>
        <v>83.32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16293</v>
      </c>
      <c r="F157" s="287">
        <f>data!AH91</f>
        <v>0</v>
      </c>
      <c r="G157" s="287">
        <f>data!AI91</f>
        <v>653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0</v>
      </c>
      <c r="D158" s="287">
        <f>data!AF92</f>
        <v>0</v>
      </c>
      <c r="E158" s="287">
        <f>data!AG92</f>
        <v>2972.2549345821267</v>
      </c>
      <c r="F158" s="287">
        <f>data!AH92</f>
        <v>0</v>
      </c>
      <c r="G158" s="287">
        <f>data!AI92</f>
        <v>0</v>
      </c>
      <c r="H158" s="287">
        <f>data!AJ92</f>
        <v>17242.788588329531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177534.57</v>
      </c>
      <c r="F159" s="287">
        <f>data!AH93</f>
        <v>0</v>
      </c>
      <c r="G159" s="287">
        <f>data!AI93</f>
        <v>37387.78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66.323993141599459</v>
      </c>
      <c r="F160" s="294">
        <f>data!AH94</f>
        <v>0</v>
      </c>
      <c r="G160" s="294">
        <f>data!AI94</f>
        <v>7.6926787660694975</v>
      </c>
      <c r="H160" s="294">
        <f>data!AJ94</f>
        <v>2.9050095886431495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Auburn Medical Center</v>
      </c>
      <c r="G164" s="286"/>
      <c r="H164" s="285" t="str">
        <f>"FYE: "&amp;data!C96</f>
        <v>FYE: 12/31/2021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3.5958904104663116E-4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114.33999999999995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1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-4.5499999999999998E-13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-5348.6699999999983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-5233.329999999999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818</v>
      </c>
      <c r="D183" s="295">
        <f>+data!M704</f>
        <v>0</v>
      </c>
      <c r="E183" s="295">
        <f>+data!M705</f>
        <v>0</v>
      </c>
      <c r="F183" s="295">
        <f>+data!M706</f>
        <v>383634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2263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2263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31</v>
      </c>
      <c r="D189" s="287">
        <f>data!AM91</f>
        <v>0</v>
      </c>
      <c r="E189" s="287">
        <f>data!AN91</f>
        <v>0</v>
      </c>
      <c r="F189" s="287">
        <f>data!AO91</f>
        <v>14620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3.5958904104663165E-4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Auburn Medical Center</v>
      </c>
      <c r="G196" s="286"/>
      <c r="H196" s="285" t="str">
        <f>"FYE: "&amp;data!C96</f>
        <v>FYE: 12/31/2021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160041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43.788917117289188</v>
      </c>
      <c r="G202" s="294">
        <f>data!AW60</f>
        <v>27.637452735940077</v>
      </c>
      <c r="H202" s="294">
        <f>data!AX60</f>
        <v>0</v>
      </c>
      <c r="I202" s="294">
        <f>data!AY60</f>
        <v>29.647392461692139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6170700.8199999994</v>
      </c>
      <c r="G203" s="287">
        <f>data!AW61</f>
        <v>3484767.7699999996</v>
      </c>
      <c r="H203" s="287">
        <f>data!AX61</f>
        <v>0</v>
      </c>
      <c r="I203" s="287">
        <f>data!AY61</f>
        <v>1838131.5500000003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1128877</v>
      </c>
      <c r="G204" s="287">
        <f>data!AW62</f>
        <v>507548</v>
      </c>
      <c r="H204" s="287">
        <f>data!AX62</f>
        <v>0</v>
      </c>
      <c r="I204" s="287">
        <f>data!AY62</f>
        <v>641007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1126382.8699999999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641509.99</v>
      </c>
      <c r="G206" s="287">
        <f>data!AW64</f>
        <v>0</v>
      </c>
      <c r="H206" s="287">
        <f>data!AX64</f>
        <v>0</v>
      </c>
      <c r="I206" s="287">
        <f>data!AY64</f>
        <v>640467.05999999994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36788.11</v>
      </c>
      <c r="G207" s="287">
        <f>data!AW65</f>
        <v>0</v>
      </c>
      <c r="H207" s="287">
        <f>data!AX65</f>
        <v>0</v>
      </c>
      <c r="I207" s="287">
        <f>data!AY65</f>
        <v>31686.959999999999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-321829.12</v>
      </c>
      <c r="G208" s="287">
        <f>data!AW66</f>
        <v>503.63</v>
      </c>
      <c r="H208" s="287">
        <f>data!AX66</f>
        <v>0</v>
      </c>
      <c r="I208" s="287">
        <f>data!AY66</f>
        <v>61828.15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251180</v>
      </c>
      <c r="G209" s="287">
        <f>data!AW67</f>
        <v>0</v>
      </c>
      <c r="H209" s="287">
        <f>data!AX67</f>
        <v>0</v>
      </c>
      <c r="I209" s="287">
        <f>data!AY67</f>
        <v>120660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257363.91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56742.109999999986</v>
      </c>
      <c r="G211" s="287">
        <f>data!AW69</f>
        <v>2500</v>
      </c>
      <c r="H211" s="287">
        <f>data!AX69</f>
        <v>0</v>
      </c>
      <c r="I211" s="287">
        <f>data!AY69</f>
        <v>19071.130000000005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-12939.46</v>
      </c>
      <c r="G212" s="287">
        <f>-data!AW84</f>
        <v>0</v>
      </c>
      <c r="H212" s="287">
        <f>-data!AX84</f>
        <v>0</v>
      </c>
      <c r="I212" s="287">
        <f>-data!AY84</f>
        <v>-722708.41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9334776.2299999986</v>
      </c>
      <c r="G213" s="287">
        <f>data!AW85</f>
        <v>3995319.3999999994</v>
      </c>
      <c r="H213" s="287">
        <f>data!AX85</f>
        <v>0</v>
      </c>
      <c r="I213" s="287">
        <f>data!AY85</f>
        <v>2630143.44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4732991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15700995.9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20272658.849999998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35973654.75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4090.2700000000004</v>
      </c>
      <c r="G220" s="287">
        <f>data!AW90</f>
        <v>0</v>
      </c>
      <c r="H220" s="287">
        <f>data!AX90</f>
        <v>0</v>
      </c>
      <c r="I220" s="287">
        <f>data!AY90</f>
        <v>5980.5300000000007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6792.75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10.249759587637019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Auburn Medical Center</v>
      </c>
      <c r="G228" s="286"/>
      <c r="H228" s="285" t="str">
        <f>"FYE: "&amp;data!C96</f>
        <v>FYE: 12/31/2021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218918.75999999998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1.1951205477814903</v>
      </c>
      <c r="E234" s="294">
        <f>data!BB60</f>
        <v>9.6517294507326401</v>
      </c>
      <c r="F234" s="294">
        <f>data!BC60</f>
        <v>6.2025657525749915</v>
      </c>
      <c r="G234" s="294">
        <f>data!BD60</f>
        <v>10.179735615043873</v>
      </c>
      <c r="H234" s="294">
        <f>data!BE60</f>
        <v>10.729307532776806</v>
      </c>
      <c r="I234" s="294">
        <f>data!BF60</f>
        <v>33.798440406328986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52018.31</v>
      </c>
      <c r="E235" s="287">
        <f>data!BB61</f>
        <v>1066103.53</v>
      </c>
      <c r="F235" s="287">
        <f>data!BC61</f>
        <v>288727.34000000003</v>
      </c>
      <c r="G235" s="287">
        <f>data!BD61</f>
        <v>553796.97999999986</v>
      </c>
      <c r="H235" s="287">
        <f>data!BE61</f>
        <v>1146557.3</v>
      </c>
      <c r="I235" s="287">
        <f>data!BF61</f>
        <v>1967209.26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24792</v>
      </c>
      <c r="E236" s="287">
        <f>data!BB62</f>
        <v>248401</v>
      </c>
      <c r="F236" s="287">
        <f>data!BC62</f>
        <v>126712</v>
      </c>
      <c r="G236" s="287">
        <f>data!BD62</f>
        <v>214250</v>
      </c>
      <c r="H236" s="287">
        <f>data!BE62</f>
        <v>275502</v>
      </c>
      <c r="I236" s="287">
        <f>data!BF62</f>
        <v>700596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4034.7699999999995</v>
      </c>
      <c r="G238" s="287">
        <f>data!BD64</f>
        <v>-244.20000000000482</v>
      </c>
      <c r="H238" s="287">
        <f>data!BE64</f>
        <v>10036.959999999999</v>
      </c>
      <c r="I238" s="287">
        <f>data!BF64</f>
        <v>150957.53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579.17999999999995</v>
      </c>
      <c r="F239" s="287">
        <f>data!BC65</f>
        <v>8722.08</v>
      </c>
      <c r="G239" s="287">
        <f>data!BD65</f>
        <v>6170.99</v>
      </c>
      <c r="H239" s="287">
        <f>data!BE65</f>
        <v>256950.87000000005</v>
      </c>
      <c r="I239" s="287">
        <f>data!BF65</f>
        <v>16358.02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-62366.87</v>
      </c>
      <c r="E240" s="287">
        <f>data!BB66</f>
        <v>11.65</v>
      </c>
      <c r="F240" s="287">
        <f>data!BC66</f>
        <v>503.63</v>
      </c>
      <c r="G240" s="287">
        <f>data!BD66</f>
        <v>5093.1400000000003</v>
      </c>
      <c r="H240" s="287">
        <f>data!BE66</f>
        <v>660338.19999999995</v>
      </c>
      <c r="I240" s="287">
        <f>data!BF66</f>
        <v>148113.01999999999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20809</v>
      </c>
      <c r="G241" s="287">
        <f>data!BD67</f>
        <v>19251</v>
      </c>
      <c r="H241" s="287">
        <f>data!BE67</f>
        <v>835398</v>
      </c>
      <c r="I241" s="287">
        <f>data!BF67</f>
        <v>41023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688.69</v>
      </c>
      <c r="H242" s="287">
        <f>data!BE68</f>
        <v>-11293.86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-1.4779288903810084E-12</v>
      </c>
      <c r="F243" s="287">
        <f>data!BC69</f>
        <v>336.07999999999993</v>
      </c>
      <c r="G243" s="287">
        <f>data!BD69</f>
        <v>506.86999999999716</v>
      </c>
      <c r="H243" s="287">
        <f>data!BE69</f>
        <v>35483.829999999958</v>
      </c>
      <c r="I243" s="287">
        <f>data!BF69</f>
        <v>194954.98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14443.439999999995</v>
      </c>
      <c r="E245" s="287">
        <f>data!BB85</f>
        <v>1315095.3599999999</v>
      </c>
      <c r="F245" s="287">
        <f>data!BC85</f>
        <v>449844.90000000008</v>
      </c>
      <c r="G245" s="287">
        <f>data!BD85</f>
        <v>799513.46999999986</v>
      </c>
      <c r="H245" s="287">
        <f>data!BE85</f>
        <v>3208973.3000000003</v>
      </c>
      <c r="I245" s="287">
        <f>data!BF85</f>
        <v>3219211.8099999996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778.36</v>
      </c>
      <c r="G252" s="303">
        <f>data!BD90</f>
        <v>1173.78</v>
      </c>
      <c r="H252" s="303">
        <f>data!BE90</f>
        <v>50281.900000000023</v>
      </c>
      <c r="I252" s="303">
        <f>data!BF90</f>
        <v>2235.3500000000004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Auburn Medical Center</v>
      </c>
      <c r="G260" s="286"/>
      <c r="H260" s="285" t="str">
        <f>"FYE: "&amp;data!C96</f>
        <v>FYE: 12/31/2021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14.817422600709943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874601.48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320617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32484.83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-0.01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1359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0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1229062.3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Auburn Medical Center</v>
      </c>
      <c r="G292" s="286"/>
      <c r="H292" s="285" t="str">
        <f>"FYE: "&amp;data!C96</f>
        <v>FYE: 12/31/2021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12.510745203765653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2760138.9499999997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483862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2263214.2099999995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75172.22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34301.729999999996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-1539115.55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266221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178846.66999999998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-360861.67999999993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4161779.55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5969.3700000000008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Auburn Medical Center</v>
      </c>
      <c r="G324" s="286"/>
      <c r="H324" s="285" t="str">
        <f>"FYE: "&amp;data!C96</f>
        <v>FYE: 12/31/2021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11.101089039575195</v>
      </c>
      <c r="G330" s="294">
        <f>data!BY60</f>
        <v>5.7065006841497947</v>
      </c>
      <c r="H330" s="294">
        <f>data!BZ60</f>
        <v>4.6107609582724987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1625844.1999999997</v>
      </c>
      <c r="G331" s="306">
        <f>data!BY61</f>
        <v>830535.61</v>
      </c>
      <c r="H331" s="306">
        <f>data!BZ61</f>
        <v>746895.7699999999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225186</v>
      </c>
      <c r="G332" s="306">
        <f>data!BY62</f>
        <v>128799</v>
      </c>
      <c r="H332" s="306">
        <f>data!BZ62</f>
        <v>97833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22193.42</v>
      </c>
      <c r="G333" s="306">
        <f>data!BY63</f>
        <v>164264.85999999996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5224.55</v>
      </c>
      <c r="G334" s="306">
        <f>data!BY64</f>
        <v>2874.3399999999983</v>
      </c>
      <c r="H334" s="306">
        <f>data!BZ64</f>
        <v>259.49999999999994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1944.49</v>
      </c>
      <c r="G335" s="306">
        <f>data!BY65</f>
        <v>3829.5</v>
      </c>
      <c r="H335" s="306">
        <f>data!BZ65</f>
        <v>999.09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35740.07</v>
      </c>
      <c r="G336" s="306">
        <f>data!BY66</f>
        <v>132860.4</v>
      </c>
      <c r="H336" s="306">
        <f>data!BZ66</f>
        <v>-738641.95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2807</v>
      </c>
      <c r="G337" s="306">
        <f>data!BY67</f>
        <v>45964</v>
      </c>
      <c r="H337" s="306">
        <f>data!BZ67</f>
        <v>2034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16896.099999999995</v>
      </c>
      <c r="G339" s="306">
        <f>data!BY69</f>
        <v>79941.55</v>
      </c>
      <c r="H339" s="306">
        <f>data!BZ69</f>
        <v>19637.28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-26692.44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0</v>
      </c>
      <c r="F341" s="287">
        <f>data!BX85</f>
        <v>1909143.39</v>
      </c>
      <c r="G341" s="287">
        <f>data!BY85</f>
        <v>1389069.26</v>
      </c>
      <c r="H341" s="287">
        <f>data!BZ85</f>
        <v>129016.68999999992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171.12</v>
      </c>
      <c r="G348" s="303">
        <f>data!BY90</f>
        <v>548.57000000000005</v>
      </c>
      <c r="H348" s="303">
        <f>data!BZ90</f>
        <v>124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Auburn Medical Center</v>
      </c>
      <c r="G356" s="286"/>
      <c r="H356" s="285" t="str">
        <f>"FYE: "&amp;data!C96</f>
        <v>FYE: 12/31/2021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35.743352049898171</v>
      </c>
      <c r="E362" s="309"/>
      <c r="F362" s="297"/>
      <c r="G362" s="297"/>
      <c r="H362" s="297"/>
      <c r="I362" s="310">
        <f>data!CE60</f>
        <v>902.13128549285886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5052587.83</v>
      </c>
      <c r="E363" s="311"/>
      <c r="F363" s="311"/>
      <c r="G363" s="311"/>
      <c r="H363" s="311"/>
      <c r="I363" s="306">
        <f>data!CE61</f>
        <v>120044133.39000003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879881.51</v>
      </c>
      <c r="E364" s="311"/>
      <c r="F364" s="311"/>
      <c r="G364" s="311"/>
      <c r="H364" s="311"/>
      <c r="I364" s="306">
        <f>data!CE62</f>
        <v>19582823.510000002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6777770.6400000006</v>
      </c>
      <c r="E365" s="311"/>
      <c r="F365" s="311"/>
      <c r="G365" s="311"/>
      <c r="H365" s="311"/>
      <c r="I365" s="306">
        <f>data!CE63</f>
        <v>12708328.359999999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781241.51</v>
      </c>
      <c r="E366" s="311"/>
      <c r="F366" s="311"/>
      <c r="G366" s="311"/>
      <c r="H366" s="311"/>
      <c r="I366" s="306">
        <f>data!CE64</f>
        <v>28156086.82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42755.529999999992</v>
      </c>
      <c r="E367" s="311"/>
      <c r="F367" s="311"/>
      <c r="G367" s="311"/>
      <c r="H367" s="311"/>
      <c r="I367" s="306">
        <f>data!CE65</f>
        <v>1211673.03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49442349.559999995</v>
      </c>
      <c r="E368" s="311"/>
      <c r="F368" s="311"/>
      <c r="G368" s="311"/>
      <c r="H368" s="311"/>
      <c r="I368" s="306">
        <f>data!CE66</f>
        <v>62336247.759999998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117418.61</v>
      </c>
      <c r="E369" s="311"/>
      <c r="F369" s="311"/>
      <c r="G369" s="311"/>
      <c r="H369" s="311"/>
      <c r="I369" s="306">
        <f>data!CE67</f>
        <v>5867130.6100000003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7112.26</v>
      </c>
      <c r="E370" s="311"/>
      <c r="F370" s="311"/>
      <c r="G370" s="311"/>
      <c r="H370" s="311"/>
      <c r="I370" s="306">
        <f>data!CE68</f>
        <v>1404080.7599999995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7826113.2600000007</v>
      </c>
      <c r="E371" s="306">
        <f>data!CD69</f>
        <v>6755069.7200000007</v>
      </c>
      <c r="F371" s="311"/>
      <c r="G371" s="311"/>
      <c r="H371" s="311"/>
      <c r="I371" s="306">
        <f>data!CE69</f>
        <v>25988434.850000001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-1561247.69</v>
      </c>
      <c r="E372" s="287">
        <f>-data!CD84</f>
        <v>0</v>
      </c>
      <c r="F372" s="297"/>
      <c r="G372" s="297"/>
      <c r="H372" s="297"/>
      <c r="I372" s="287">
        <f>-data!CE84</f>
        <v>-9964124.9000000004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69365983.019999996</v>
      </c>
      <c r="E373" s="306">
        <f>data!CD85</f>
        <v>6755069.7200000007</v>
      </c>
      <c r="F373" s="311"/>
      <c r="G373" s="311"/>
      <c r="H373" s="311"/>
      <c r="I373" s="287">
        <f>data!CE85</f>
        <v>257370689.28999999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466712425.23000002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437324843.32000005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904037268.55000019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6627.5199999999995</v>
      </c>
      <c r="E380" s="297"/>
      <c r="F380" s="297"/>
      <c r="G380" s="297"/>
      <c r="H380" s="297"/>
      <c r="I380" s="287">
        <f>data!CE90</f>
        <v>218918.75999999998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160041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69472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915706.00999999989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309.1451376288843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26" transitionEvaluation="1" transitionEntry="1" codeName="Sheet12">
    <tabColor rgb="FF92D050"/>
    <pageSetUpPr autoPageBreaks="0" fitToPage="1"/>
  </sheetPr>
  <dimension ref="A1:CF717"/>
  <sheetViews>
    <sheetView topLeftCell="A26" zoomScale="85" zoomScaleNormal="85" workbookViewId="0"/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22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23" t="s">
        <v>18</v>
      </c>
      <c r="B37" s="324"/>
      <c r="C37" s="325"/>
      <c r="D37" s="324"/>
      <c r="E37" s="324"/>
      <c r="F37" s="324"/>
      <c r="G37" s="324"/>
    </row>
    <row r="38" spans="1:83" x14ac:dyDescent="0.35">
      <c r="A38" s="326" t="s">
        <v>1342</v>
      </c>
      <c r="B38" s="327"/>
      <c r="C38" s="325"/>
      <c r="D38" s="324"/>
      <c r="E38" s="324"/>
      <c r="F38" s="324"/>
      <c r="G38" s="324"/>
    </row>
    <row r="39" spans="1:83" x14ac:dyDescent="0.35">
      <c r="A39" s="328" t="s">
        <v>1340</v>
      </c>
      <c r="B39" s="327"/>
      <c r="C39" s="325"/>
      <c r="D39" s="324"/>
      <c r="E39" s="324"/>
      <c r="F39" s="324"/>
      <c r="G39" s="324"/>
    </row>
    <row r="40" spans="1:83" x14ac:dyDescent="0.35">
      <c r="A40" s="329" t="s">
        <v>1343</v>
      </c>
      <c r="B40" s="324"/>
      <c r="C40" s="325"/>
      <c r="D40" s="324"/>
      <c r="E40" s="324"/>
      <c r="F40" s="324"/>
      <c r="G40" s="324"/>
    </row>
    <row r="41" spans="1:83" x14ac:dyDescent="0.35">
      <c r="A41" s="328" t="s">
        <v>1341</v>
      </c>
      <c r="B41" s="324"/>
      <c r="C41" s="325"/>
      <c r="D41" s="324"/>
      <c r="E41" s="324"/>
      <c r="F41" s="324"/>
      <c r="G41" s="324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>
        <v>1283649.3899999999</v>
      </c>
      <c r="D48" s="213">
        <v>1149041.43</v>
      </c>
      <c r="E48" s="213">
        <v>1308233.1299999999</v>
      </c>
      <c r="F48" s="213">
        <v>1.18E-13</v>
      </c>
      <c r="G48" s="213">
        <v>0</v>
      </c>
      <c r="H48" s="213">
        <v>2096052.34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923073.66999999993</v>
      </c>
      <c r="P48" s="213">
        <v>414936.28</v>
      </c>
      <c r="Q48" s="213">
        <v>0</v>
      </c>
      <c r="R48" s="213">
        <v>196367.65</v>
      </c>
      <c r="S48" s="213">
        <v>236333.74999999997</v>
      </c>
      <c r="T48" s="213">
        <v>0</v>
      </c>
      <c r="U48" s="213">
        <v>605019.78000000014</v>
      </c>
      <c r="V48" s="213">
        <v>0</v>
      </c>
      <c r="W48" s="213">
        <v>81305.460000000006</v>
      </c>
      <c r="X48" s="213">
        <v>217774.18</v>
      </c>
      <c r="Y48" s="213">
        <v>821469.5</v>
      </c>
      <c r="Z48" s="213">
        <v>0</v>
      </c>
      <c r="AA48" s="213">
        <v>69877.77</v>
      </c>
      <c r="AB48" s="213">
        <v>876936.54</v>
      </c>
      <c r="AC48" s="213">
        <v>423100.96</v>
      </c>
      <c r="AD48" s="213">
        <v>0</v>
      </c>
      <c r="AE48" s="213">
        <v>0</v>
      </c>
      <c r="AF48" s="213">
        <v>0</v>
      </c>
      <c r="AG48" s="213">
        <v>2153565.33</v>
      </c>
      <c r="AH48" s="213">
        <v>0</v>
      </c>
      <c r="AI48" s="213">
        <v>202396.58</v>
      </c>
      <c r="AJ48" s="213">
        <v>384150.36</v>
      </c>
      <c r="AK48" s="213">
        <v>7761.8</v>
      </c>
      <c r="AL48" s="213">
        <v>0</v>
      </c>
      <c r="AM48" s="213">
        <v>0</v>
      </c>
      <c r="AN48" s="213">
        <v>0</v>
      </c>
      <c r="AO48" s="213">
        <v>14.15</v>
      </c>
      <c r="AP48" s="213">
        <v>0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1066838.78</v>
      </c>
      <c r="AW48" s="213">
        <v>242144.66</v>
      </c>
      <c r="AX48" s="213">
        <v>0</v>
      </c>
      <c r="AY48" s="213">
        <v>635518.37</v>
      </c>
      <c r="AZ48" s="213">
        <v>0</v>
      </c>
      <c r="BA48" s="213">
        <v>21541.08</v>
      </c>
      <c r="BB48" s="213">
        <v>245840.01000000004</v>
      </c>
      <c r="BC48" s="213">
        <v>140338.21000000002</v>
      </c>
      <c r="BD48" s="213">
        <v>233260.55</v>
      </c>
      <c r="BE48" s="213">
        <v>260954.21</v>
      </c>
      <c r="BF48" s="213">
        <v>721833.39999999991</v>
      </c>
      <c r="BG48" s="213">
        <v>0</v>
      </c>
      <c r="BH48" s="213">
        <v>0</v>
      </c>
      <c r="BI48" s="213">
        <v>0</v>
      </c>
      <c r="BJ48" s="213">
        <v>0</v>
      </c>
      <c r="BK48" s="213">
        <v>0</v>
      </c>
      <c r="BL48" s="213">
        <v>331353.21000000002</v>
      </c>
      <c r="BM48" s="213">
        <v>0</v>
      </c>
      <c r="BN48" s="213">
        <v>476051.85</v>
      </c>
      <c r="BO48" s="213">
        <v>0</v>
      </c>
      <c r="BP48" s="213">
        <v>0</v>
      </c>
      <c r="BQ48" s="213">
        <v>0</v>
      </c>
      <c r="BR48" s="213">
        <v>0</v>
      </c>
      <c r="BS48" s="213">
        <v>0</v>
      </c>
      <c r="BT48" s="213">
        <v>0</v>
      </c>
      <c r="BU48" s="213">
        <v>0</v>
      </c>
      <c r="BV48" s="213">
        <v>0</v>
      </c>
      <c r="BW48" s="213">
        <v>0</v>
      </c>
      <c r="BX48" s="213">
        <v>242705.47</v>
      </c>
      <c r="BY48" s="213">
        <v>147250.20000000001</v>
      </c>
      <c r="BZ48" s="213">
        <v>99277.34</v>
      </c>
      <c r="CA48" s="213">
        <v>0</v>
      </c>
      <c r="CB48" s="213">
        <v>0</v>
      </c>
      <c r="CC48" s="213">
        <v>1504717.56</v>
      </c>
      <c r="CD48" s="20"/>
      <c r="CE48" s="32">
        <f>SUM(C48:CC48)</f>
        <v>19820684.950000003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>
        <v>69972.76999999999</v>
      </c>
      <c r="D52" s="213">
        <v>35914.019999999997</v>
      </c>
      <c r="E52" s="213">
        <v>4203.7400000000007</v>
      </c>
      <c r="F52" s="213">
        <v>0</v>
      </c>
      <c r="G52" s="213">
        <v>0</v>
      </c>
      <c r="H52" s="213">
        <v>39965.470000000008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144145.82999999999</v>
      </c>
      <c r="P52" s="213">
        <v>673537.34</v>
      </c>
      <c r="Q52" s="213">
        <v>0</v>
      </c>
      <c r="R52" s="213">
        <v>0</v>
      </c>
      <c r="S52" s="213">
        <v>101861.29</v>
      </c>
      <c r="T52" s="213">
        <v>0</v>
      </c>
      <c r="U52" s="213">
        <v>16887.82</v>
      </c>
      <c r="V52" s="213">
        <v>0</v>
      </c>
      <c r="W52" s="213">
        <v>1016.0699999999998</v>
      </c>
      <c r="X52" s="213">
        <v>130180.65</v>
      </c>
      <c r="Y52" s="213">
        <v>820716.16999999993</v>
      </c>
      <c r="Z52" s="213">
        <v>0</v>
      </c>
      <c r="AA52" s="213">
        <v>1550.3900000000003</v>
      </c>
      <c r="AB52" s="213">
        <v>45155.95</v>
      </c>
      <c r="AC52" s="213">
        <v>102585.54999999999</v>
      </c>
      <c r="AD52" s="213">
        <v>0</v>
      </c>
      <c r="AE52" s="213">
        <v>0</v>
      </c>
      <c r="AF52" s="213">
        <v>0</v>
      </c>
      <c r="AG52" s="213">
        <v>207780.46000000002</v>
      </c>
      <c r="AH52" s="213">
        <v>0</v>
      </c>
      <c r="AI52" s="213">
        <v>11283.41</v>
      </c>
      <c r="AJ52" s="213">
        <v>21276.19</v>
      </c>
      <c r="AK52" s="213">
        <v>0</v>
      </c>
      <c r="AL52" s="213">
        <v>0</v>
      </c>
      <c r="AM52" s="213">
        <v>0</v>
      </c>
      <c r="AN52" s="213">
        <v>0</v>
      </c>
      <c r="AO52" s="213">
        <v>0</v>
      </c>
      <c r="AP52" s="213">
        <v>0</v>
      </c>
      <c r="AQ52" s="213">
        <v>0</v>
      </c>
      <c r="AR52" s="213">
        <v>0</v>
      </c>
      <c r="AS52" s="213">
        <v>0</v>
      </c>
      <c r="AT52" s="213">
        <v>0</v>
      </c>
      <c r="AU52" s="213">
        <v>0</v>
      </c>
      <c r="AV52" s="213">
        <v>463018.63000000006</v>
      </c>
      <c r="AW52" s="213">
        <v>0</v>
      </c>
      <c r="AX52" s="213">
        <v>0</v>
      </c>
      <c r="AY52" s="213">
        <v>20067.619999999995</v>
      </c>
      <c r="AZ52" s="213">
        <v>0</v>
      </c>
      <c r="BA52" s="213">
        <v>0</v>
      </c>
      <c r="BB52" s="213">
        <v>0</v>
      </c>
      <c r="BC52" s="213">
        <v>3720.08</v>
      </c>
      <c r="BD52" s="213">
        <v>0</v>
      </c>
      <c r="BE52" s="213">
        <v>10718.5</v>
      </c>
      <c r="BF52" s="213">
        <v>4360.2900000000009</v>
      </c>
      <c r="BG52" s="213">
        <v>0</v>
      </c>
      <c r="BH52" s="213">
        <v>0</v>
      </c>
      <c r="BI52" s="213">
        <v>0</v>
      </c>
      <c r="BJ52" s="213">
        <v>0</v>
      </c>
      <c r="BK52" s="213">
        <v>0</v>
      </c>
      <c r="BL52" s="213">
        <v>1482.6499999999996</v>
      </c>
      <c r="BM52" s="213">
        <v>0</v>
      </c>
      <c r="BN52" s="213">
        <v>225391.44999999998</v>
      </c>
      <c r="BO52" s="213">
        <v>0</v>
      </c>
      <c r="BP52" s="213">
        <v>0</v>
      </c>
      <c r="BQ52" s="213">
        <v>0</v>
      </c>
      <c r="BR52" s="213">
        <v>0</v>
      </c>
      <c r="BS52" s="213">
        <v>0</v>
      </c>
      <c r="BT52" s="213">
        <v>0</v>
      </c>
      <c r="BU52" s="213">
        <v>0</v>
      </c>
      <c r="BV52" s="213">
        <v>0</v>
      </c>
      <c r="BW52" s="213">
        <v>0</v>
      </c>
      <c r="BX52" s="213">
        <v>0</v>
      </c>
      <c r="BY52" s="213">
        <v>54688.07</v>
      </c>
      <c r="BZ52" s="213">
        <v>0</v>
      </c>
      <c r="CA52" s="213">
        <v>0</v>
      </c>
      <c r="CB52" s="213">
        <v>0</v>
      </c>
      <c r="CC52" s="213">
        <v>6468079.6000000015</v>
      </c>
      <c r="CD52" s="20"/>
      <c r="CE52" s="32">
        <f>SUM(C52:CD52)</f>
        <v>9679560.0100000016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6313</v>
      </c>
      <c r="D60" s="213">
        <v>11108</v>
      </c>
      <c r="E60" s="213">
        <v>10121</v>
      </c>
      <c r="F60" s="213">
        <v>0</v>
      </c>
      <c r="G60" s="213">
        <v>0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558800</v>
      </c>
      <c r="P60" s="214">
        <v>0</v>
      </c>
      <c r="Q60" s="214">
        <v>326925</v>
      </c>
      <c r="R60" s="214">
        <v>0</v>
      </c>
      <c r="S60" s="263"/>
      <c r="T60" s="263"/>
      <c r="U60" s="227"/>
      <c r="V60" s="214">
        <v>17208</v>
      </c>
      <c r="W60" s="214">
        <v>22511.059999999998</v>
      </c>
      <c r="X60" s="214">
        <v>121347.20999999999</v>
      </c>
      <c r="Y60" s="214">
        <v>83833.350000000006</v>
      </c>
      <c r="Z60" s="214">
        <v>19.62</v>
      </c>
      <c r="AA60" s="214">
        <v>14582.200000000003</v>
      </c>
      <c r="AB60" s="263">
        <v>6486.9400000000005</v>
      </c>
      <c r="AC60" s="214">
        <v>72762.929999999993</v>
      </c>
      <c r="AD60" s="214">
        <v>0</v>
      </c>
      <c r="AE60" s="214">
        <v>0</v>
      </c>
      <c r="AF60" s="214">
        <v>0</v>
      </c>
      <c r="AG60" s="214">
        <v>0</v>
      </c>
      <c r="AH60" s="214">
        <v>0</v>
      </c>
      <c r="AI60" s="214">
        <v>687600</v>
      </c>
      <c r="AJ60" s="214">
        <v>15098</v>
      </c>
      <c r="AK60" s="214">
        <v>1671</v>
      </c>
      <c r="AL60" s="214">
        <v>0</v>
      </c>
      <c r="AM60" s="214">
        <v>0</v>
      </c>
      <c r="AN60" s="214">
        <v>0</v>
      </c>
      <c r="AO60" s="214">
        <v>0</v>
      </c>
      <c r="AP60" s="214">
        <v>0</v>
      </c>
      <c r="AQ60" s="214">
        <v>0</v>
      </c>
      <c r="AR60" s="214">
        <v>0</v>
      </c>
      <c r="AS60" s="214">
        <v>0</v>
      </c>
      <c r="AT60" s="214">
        <v>0</v>
      </c>
      <c r="AU60" s="214">
        <v>0</v>
      </c>
      <c r="AV60" s="263"/>
      <c r="AW60" s="263"/>
      <c r="AX60" s="263"/>
      <c r="AY60" s="214">
        <v>151205</v>
      </c>
      <c r="AZ60" s="214"/>
      <c r="BA60" s="263"/>
      <c r="BB60" s="263"/>
      <c r="BC60" s="263"/>
      <c r="BD60" s="263"/>
      <c r="BE60" s="214">
        <v>209867.57499999995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63.008793142053591</v>
      </c>
      <c r="D61" s="243">
        <v>69.612458894573649</v>
      </c>
      <c r="E61" s="243">
        <v>58.45873081390976</v>
      </c>
      <c r="F61" s="243">
        <v>0</v>
      </c>
      <c r="G61" s="243">
        <v>0</v>
      </c>
      <c r="H61" s="243">
        <v>88.796749987836066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42.130588350393069</v>
      </c>
      <c r="P61" s="244">
        <v>21.856948627142884</v>
      </c>
      <c r="Q61" s="244">
        <v>0</v>
      </c>
      <c r="R61" s="244">
        <v>9.8160232863265726</v>
      </c>
      <c r="S61" s="245">
        <v>10.702741094424283</v>
      </c>
      <c r="T61" s="245">
        <v>0</v>
      </c>
      <c r="U61" s="246">
        <v>26.585060270330814</v>
      </c>
      <c r="V61" s="244">
        <v>0</v>
      </c>
      <c r="W61" s="244">
        <v>2.9727417804146929</v>
      </c>
      <c r="X61" s="244">
        <v>8.1885760262755376</v>
      </c>
      <c r="Y61" s="244">
        <v>32.646082187308757</v>
      </c>
      <c r="Z61" s="244">
        <v>0</v>
      </c>
      <c r="AA61" s="244">
        <v>2.6031513695064179</v>
      </c>
      <c r="AB61" s="245">
        <v>34.069522598072666</v>
      </c>
      <c r="AC61" s="244">
        <v>17.781697257838125</v>
      </c>
      <c r="AD61" s="244">
        <v>0</v>
      </c>
      <c r="AE61" s="244">
        <v>0</v>
      </c>
      <c r="AF61" s="244">
        <v>0</v>
      </c>
      <c r="AG61" s="244">
        <v>112.9709958749355</v>
      </c>
      <c r="AH61" s="244">
        <v>0</v>
      </c>
      <c r="AI61" s="244">
        <v>8.5260239714347907</v>
      </c>
      <c r="AJ61" s="244">
        <v>14.820160271942443</v>
      </c>
      <c r="AK61" s="244">
        <v>0.32107465749026376</v>
      </c>
      <c r="AL61" s="244">
        <v>0</v>
      </c>
      <c r="AM61" s="244">
        <v>0</v>
      </c>
      <c r="AN61" s="244">
        <v>0</v>
      </c>
      <c r="AO61" s="244">
        <v>-2.7089041092179587E-3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42.590953418823155</v>
      </c>
      <c r="AW61" s="245">
        <v>10.631269176625857</v>
      </c>
      <c r="AX61" s="245">
        <v>0</v>
      </c>
      <c r="AY61" s="244">
        <v>28.540946571432748</v>
      </c>
      <c r="AZ61" s="244">
        <v>0</v>
      </c>
      <c r="BA61" s="245">
        <v>0.98032123274242178</v>
      </c>
      <c r="BB61" s="245">
        <v>9.5984910945755484</v>
      </c>
      <c r="BC61" s="245">
        <v>6.4061123278895735</v>
      </c>
      <c r="BD61" s="245">
        <v>10.773153423181761</v>
      </c>
      <c r="BE61" s="244">
        <v>10.343190409542029</v>
      </c>
      <c r="BF61" s="245">
        <v>33.00650547493062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14.910215751382163</v>
      </c>
      <c r="BM61" s="245">
        <v>0</v>
      </c>
      <c r="BN61" s="245">
        <v>12.596389724301865</v>
      </c>
      <c r="BO61" s="245">
        <v>0</v>
      </c>
      <c r="BP61" s="245">
        <v>0</v>
      </c>
      <c r="BQ61" s="245">
        <v>0</v>
      </c>
      <c r="BR61" s="245">
        <v>0</v>
      </c>
      <c r="BS61" s="245">
        <v>0</v>
      </c>
      <c r="BT61" s="245">
        <v>0</v>
      </c>
      <c r="BU61" s="245">
        <v>0</v>
      </c>
      <c r="BV61" s="245">
        <v>0</v>
      </c>
      <c r="BW61" s="245">
        <v>0</v>
      </c>
      <c r="BX61" s="245">
        <v>10.110018491765752</v>
      </c>
      <c r="BY61" s="245">
        <v>5.6838657526460459</v>
      </c>
      <c r="BZ61" s="245">
        <v>5.7684986293467819</v>
      </c>
      <c r="CA61" s="245">
        <v>0</v>
      </c>
      <c r="CB61" s="245">
        <v>0</v>
      </c>
      <c r="CC61" s="245">
        <v>49.831235609612165</v>
      </c>
      <c r="CD61" s="247" t="s">
        <v>233</v>
      </c>
      <c r="CE61" s="268">
        <f t="shared" ref="CE61:CE69" si="4">SUM(C61:CD61)</f>
        <v>877.63657864689912</v>
      </c>
    </row>
    <row r="62" spans="1:83" x14ac:dyDescent="0.35">
      <c r="A62" s="39" t="s">
        <v>248</v>
      </c>
      <c r="B62" s="20"/>
      <c r="C62" s="213">
        <v>9357642.0300000012</v>
      </c>
      <c r="D62" s="213">
        <v>9375796.4100000001</v>
      </c>
      <c r="E62" s="213">
        <v>6081845.2199999988</v>
      </c>
      <c r="F62" s="213">
        <v>0</v>
      </c>
      <c r="G62" s="213">
        <v>0</v>
      </c>
      <c r="H62" s="213">
        <v>8680870.6100000013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5449648.3500000006</v>
      </c>
      <c r="P62" s="214">
        <v>2520139.1700000004</v>
      </c>
      <c r="Q62" s="214">
        <v>0</v>
      </c>
      <c r="R62" s="214">
        <v>1771237.4900000002</v>
      </c>
      <c r="S62" s="228">
        <v>675617.89999999991</v>
      </c>
      <c r="T62" s="228">
        <v>0</v>
      </c>
      <c r="U62" s="227">
        <v>2183175.85</v>
      </c>
      <c r="V62" s="214">
        <v>0</v>
      </c>
      <c r="W62" s="214">
        <v>412853.87999999995</v>
      </c>
      <c r="X62" s="214">
        <v>971290.22999999986</v>
      </c>
      <c r="Y62" s="214">
        <v>3415511.8800000004</v>
      </c>
      <c r="Z62" s="214">
        <v>0</v>
      </c>
      <c r="AA62" s="214">
        <v>323094.62999999995</v>
      </c>
      <c r="AB62" s="240">
        <v>3805681.07</v>
      </c>
      <c r="AC62" s="214">
        <v>1974403.01</v>
      </c>
      <c r="AD62" s="214">
        <v>0</v>
      </c>
      <c r="AE62" s="214">
        <v>0</v>
      </c>
      <c r="AF62" s="214">
        <v>0</v>
      </c>
      <c r="AG62" s="214">
        <v>14712651.370000001</v>
      </c>
      <c r="AH62" s="214">
        <v>0</v>
      </c>
      <c r="AI62" s="214">
        <v>972300.08</v>
      </c>
      <c r="AJ62" s="214">
        <v>1573183.42</v>
      </c>
      <c r="AK62" s="214">
        <v>33966.11</v>
      </c>
      <c r="AL62" s="214">
        <v>0</v>
      </c>
      <c r="AM62" s="214">
        <v>0</v>
      </c>
      <c r="AN62" s="214">
        <v>0</v>
      </c>
      <c r="AO62" s="214">
        <v>-62.010000000000019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5385860.3399999999</v>
      </c>
      <c r="AW62" s="228">
        <v>846877.32000000007</v>
      </c>
      <c r="AX62" s="228">
        <v>0</v>
      </c>
      <c r="AY62" s="214">
        <v>1596949.24</v>
      </c>
      <c r="AZ62" s="214">
        <v>0</v>
      </c>
      <c r="BA62" s="228">
        <v>44002.42</v>
      </c>
      <c r="BB62" s="228">
        <v>1005536.7599999999</v>
      </c>
      <c r="BC62" s="228">
        <v>284954.26</v>
      </c>
      <c r="BD62" s="228">
        <v>620459.72</v>
      </c>
      <c r="BE62" s="214">
        <v>1017352.2900000002</v>
      </c>
      <c r="BF62" s="228">
        <v>1647960.03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822877.64</v>
      </c>
      <c r="BM62" s="228">
        <v>0</v>
      </c>
      <c r="BN62" s="228">
        <v>2562655.41</v>
      </c>
      <c r="BO62" s="228">
        <v>0</v>
      </c>
      <c r="BP62" s="228">
        <v>0</v>
      </c>
      <c r="BQ62" s="228">
        <v>0</v>
      </c>
      <c r="BR62" s="228">
        <v>0</v>
      </c>
      <c r="BS62" s="228">
        <v>0</v>
      </c>
      <c r="BT62" s="228">
        <v>0</v>
      </c>
      <c r="BU62" s="228">
        <v>0</v>
      </c>
      <c r="BV62" s="228">
        <v>0</v>
      </c>
      <c r="BW62" s="228">
        <v>0</v>
      </c>
      <c r="BX62" s="228">
        <v>1056499.4300000002</v>
      </c>
      <c r="BY62" s="228">
        <v>741816.86</v>
      </c>
      <c r="BZ62" s="228">
        <v>1029296.23</v>
      </c>
      <c r="CA62" s="228">
        <v>0</v>
      </c>
      <c r="CB62" s="228">
        <v>0</v>
      </c>
      <c r="CC62" s="228">
        <v>8803968.9700000007</v>
      </c>
      <c r="CD62" s="29" t="s">
        <v>233</v>
      </c>
      <c r="CE62" s="32">
        <f t="shared" si="4"/>
        <v>101757913.62000002</v>
      </c>
    </row>
    <row r="63" spans="1:83" x14ac:dyDescent="0.35">
      <c r="A63" s="39" t="s">
        <v>9</v>
      </c>
      <c r="B63" s="20"/>
      <c r="C63" s="269">
        <f>ROUND(C48+C49,0)</f>
        <v>1283649</v>
      </c>
      <c r="D63" s="269">
        <f t="shared" ref="D63:BO63" si="5">ROUND(D48+D49,0)</f>
        <v>1149041</v>
      </c>
      <c r="E63" s="269">
        <f t="shared" si="5"/>
        <v>1308233</v>
      </c>
      <c r="F63" s="269">
        <f t="shared" si="5"/>
        <v>0</v>
      </c>
      <c r="G63" s="269">
        <f t="shared" si="5"/>
        <v>0</v>
      </c>
      <c r="H63" s="269">
        <f t="shared" si="5"/>
        <v>2096052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923074</v>
      </c>
      <c r="P63" s="269">
        <f t="shared" si="5"/>
        <v>414936</v>
      </c>
      <c r="Q63" s="269">
        <f t="shared" si="5"/>
        <v>0</v>
      </c>
      <c r="R63" s="269">
        <f t="shared" si="5"/>
        <v>196368</v>
      </c>
      <c r="S63" s="269">
        <f t="shared" si="5"/>
        <v>236334</v>
      </c>
      <c r="T63" s="269">
        <f t="shared" si="5"/>
        <v>0</v>
      </c>
      <c r="U63" s="269">
        <f t="shared" si="5"/>
        <v>605020</v>
      </c>
      <c r="V63" s="269">
        <f t="shared" si="5"/>
        <v>0</v>
      </c>
      <c r="W63" s="269">
        <f t="shared" si="5"/>
        <v>81305</v>
      </c>
      <c r="X63" s="269">
        <f t="shared" si="5"/>
        <v>217774</v>
      </c>
      <c r="Y63" s="269">
        <f t="shared" si="5"/>
        <v>821470</v>
      </c>
      <c r="Z63" s="269">
        <f t="shared" si="5"/>
        <v>0</v>
      </c>
      <c r="AA63" s="269">
        <f t="shared" si="5"/>
        <v>69878</v>
      </c>
      <c r="AB63" s="269">
        <f t="shared" si="5"/>
        <v>876937</v>
      </c>
      <c r="AC63" s="269">
        <f t="shared" si="5"/>
        <v>423101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2153565</v>
      </c>
      <c r="AH63" s="269">
        <f t="shared" si="5"/>
        <v>0</v>
      </c>
      <c r="AI63" s="269">
        <f t="shared" si="5"/>
        <v>202397</v>
      </c>
      <c r="AJ63" s="269">
        <f t="shared" si="5"/>
        <v>384150</v>
      </c>
      <c r="AK63" s="269">
        <f t="shared" si="5"/>
        <v>7762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14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1066839</v>
      </c>
      <c r="AW63" s="269">
        <f t="shared" si="5"/>
        <v>242145</v>
      </c>
      <c r="AX63" s="269">
        <f t="shared" si="5"/>
        <v>0</v>
      </c>
      <c r="AY63" s="269">
        <f t="shared" si="5"/>
        <v>635518</v>
      </c>
      <c r="AZ63" s="269">
        <f t="shared" si="5"/>
        <v>0</v>
      </c>
      <c r="BA63" s="269">
        <f t="shared" si="5"/>
        <v>21541</v>
      </c>
      <c r="BB63" s="269">
        <f t="shared" si="5"/>
        <v>245840</v>
      </c>
      <c r="BC63" s="269">
        <f t="shared" si="5"/>
        <v>140338</v>
      </c>
      <c r="BD63" s="269">
        <f t="shared" si="5"/>
        <v>233261</v>
      </c>
      <c r="BE63" s="269">
        <f t="shared" si="5"/>
        <v>260954</v>
      </c>
      <c r="BF63" s="269">
        <f t="shared" si="5"/>
        <v>721833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331353</v>
      </c>
      <c r="BM63" s="269">
        <f t="shared" si="5"/>
        <v>0</v>
      </c>
      <c r="BN63" s="269">
        <f t="shared" si="5"/>
        <v>476052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242705</v>
      </c>
      <c r="BY63" s="269">
        <f t="shared" si="6"/>
        <v>147250</v>
      </c>
      <c r="BZ63" s="269">
        <f t="shared" si="6"/>
        <v>99277</v>
      </c>
      <c r="CA63" s="269">
        <f t="shared" si="6"/>
        <v>0</v>
      </c>
      <c r="CB63" s="269">
        <f t="shared" si="6"/>
        <v>0</v>
      </c>
      <c r="CC63" s="269">
        <f t="shared" si="6"/>
        <v>1504718</v>
      </c>
      <c r="CD63" s="29" t="s">
        <v>233</v>
      </c>
      <c r="CE63" s="32">
        <f t="shared" si="4"/>
        <v>19820684</v>
      </c>
    </row>
    <row r="64" spans="1:83" x14ac:dyDescent="0.35">
      <c r="A64" s="39" t="s">
        <v>249</v>
      </c>
      <c r="B64" s="20"/>
      <c r="C64" s="213">
        <v>671775.62999999989</v>
      </c>
      <c r="D64" s="213">
        <v>0</v>
      </c>
      <c r="E64" s="213">
        <v>1500</v>
      </c>
      <c r="F64" s="213">
        <v>0</v>
      </c>
      <c r="G64" s="213">
        <v>0</v>
      </c>
      <c r="H64" s="213">
        <v>877859.40999999992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2025</v>
      </c>
      <c r="P64" s="214">
        <v>0</v>
      </c>
      <c r="Q64" s="214">
        <v>0</v>
      </c>
      <c r="R64" s="214">
        <v>0</v>
      </c>
      <c r="S64" s="228">
        <v>0</v>
      </c>
      <c r="T64" s="228">
        <v>0</v>
      </c>
      <c r="U64" s="227">
        <v>0</v>
      </c>
      <c r="V64" s="214">
        <v>0</v>
      </c>
      <c r="W64" s="214">
        <v>0</v>
      </c>
      <c r="X64" s="214">
        <v>0</v>
      </c>
      <c r="Y64" s="214">
        <v>2500</v>
      </c>
      <c r="Z64" s="214">
        <v>0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177900</v>
      </c>
      <c r="AH64" s="214">
        <v>0</v>
      </c>
      <c r="AI64" s="214">
        <v>0</v>
      </c>
      <c r="AJ64" s="214">
        <v>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882640.09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1925205.09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0</v>
      </c>
      <c r="BY64" s="228">
        <v>163477.09999999998</v>
      </c>
      <c r="BZ64" s="228">
        <v>0</v>
      </c>
      <c r="CA64" s="228">
        <v>0</v>
      </c>
      <c r="CB64" s="228">
        <v>0</v>
      </c>
      <c r="CC64" s="228">
        <v>3520532.02</v>
      </c>
      <c r="CD64" s="29" t="s">
        <v>233</v>
      </c>
      <c r="CE64" s="32">
        <f t="shared" si="4"/>
        <v>8225414.3399999999</v>
      </c>
    </row>
    <row r="65" spans="1:83" x14ac:dyDescent="0.35">
      <c r="A65" s="39" t="s">
        <v>250</v>
      </c>
      <c r="B65" s="20"/>
      <c r="C65" s="213">
        <v>1145362.55</v>
      </c>
      <c r="D65" s="213">
        <v>926724.99</v>
      </c>
      <c r="E65" s="213">
        <v>811716.1100000001</v>
      </c>
      <c r="F65" s="213">
        <v>0</v>
      </c>
      <c r="G65" s="213">
        <v>0</v>
      </c>
      <c r="H65" s="213">
        <v>262419.43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807589.41</v>
      </c>
      <c r="P65" s="214">
        <v>8044799.6000000006</v>
      </c>
      <c r="Q65" s="214">
        <v>0</v>
      </c>
      <c r="R65" s="214">
        <v>19099.310000000001</v>
      </c>
      <c r="S65" s="228">
        <v>218869.28</v>
      </c>
      <c r="T65" s="228">
        <v>0</v>
      </c>
      <c r="U65" s="227">
        <v>1557753.84</v>
      </c>
      <c r="V65" s="214">
        <v>0</v>
      </c>
      <c r="W65" s="214">
        <v>47665.71</v>
      </c>
      <c r="X65" s="214">
        <v>288514.37</v>
      </c>
      <c r="Y65" s="214">
        <v>2259737.0699999998</v>
      </c>
      <c r="Z65" s="214">
        <v>9206.0299999999988</v>
      </c>
      <c r="AA65" s="214">
        <v>220071.00999999998</v>
      </c>
      <c r="AB65" s="240">
        <v>5824271.3799999999</v>
      </c>
      <c r="AC65" s="214">
        <v>432546.29999999993</v>
      </c>
      <c r="AD65" s="214">
        <v>0</v>
      </c>
      <c r="AE65" s="214">
        <v>0</v>
      </c>
      <c r="AF65" s="214">
        <v>0</v>
      </c>
      <c r="AG65" s="214">
        <v>1634850.71</v>
      </c>
      <c r="AH65" s="214">
        <v>0</v>
      </c>
      <c r="AI65" s="214">
        <v>268407.77</v>
      </c>
      <c r="AJ65" s="214">
        <v>130099</v>
      </c>
      <c r="AK65" s="214">
        <v>303.38</v>
      </c>
      <c r="AL65" s="214">
        <v>0</v>
      </c>
      <c r="AM65" s="214">
        <v>0</v>
      </c>
      <c r="AN65" s="214">
        <v>0</v>
      </c>
      <c r="AO65" s="214">
        <v>7281.0699999999988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694936.73</v>
      </c>
      <c r="AW65" s="228">
        <v>0</v>
      </c>
      <c r="AX65" s="228">
        <v>0</v>
      </c>
      <c r="AY65" s="214">
        <v>491796.72</v>
      </c>
      <c r="AZ65" s="214">
        <v>0</v>
      </c>
      <c r="BA65" s="228">
        <v>0</v>
      </c>
      <c r="BB65" s="228">
        <v>211.5</v>
      </c>
      <c r="BC65" s="228">
        <v>6425.1</v>
      </c>
      <c r="BD65" s="228">
        <v>35143</v>
      </c>
      <c r="BE65" s="214">
        <v>5790.65</v>
      </c>
      <c r="BF65" s="228">
        <v>118858.89999999998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30314.43</v>
      </c>
      <c r="BM65" s="228">
        <v>0</v>
      </c>
      <c r="BN65" s="228">
        <v>43599.519999999997</v>
      </c>
      <c r="BO65" s="228">
        <v>0</v>
      </c>
      <c r="BP65" s="228">
        <v>0</v>
      </c>
      <c r="BQ65" s="228">
        <v>0</v>
      </c>
      <c r="BR65" s="228">
        <v>0</v>
      </c>
      <c r="BS65" s="228">
        <v>0</v>
      </c>
      <c r="BT65" s="228">
        <v>0</v>
      </c>
      <c r="BU65" s="228">
        <v>0</v>
      </c>
      <c r="BV65" s="228">
        <v>0</v>
      </c>
      <c r="BW65" s="228">
        <v>0</v>
      </c>
      <c r="BX65" s="228">
        <v>7216.61</v>
      </c>
      <c r="BY65" s="228">
        <v>10485.11</v>
      </c>
      <c r="BZ65" s="228">
        <v>65</v>
      </c>
      <c r="CA65" s="228">
        <v>0</v>
      </c>
      <c r="CB65" s="228">
        <v>0</v>
      </c>
      <c r="CC65" s="228">
        <v>461283.58</v>
      </c>
      <c r="CD65" s="29" t="s">
        <v>233</v>
      </c>
      <c r="CE65" s="32">
        <f t="shared" si="4"/>
        <v>26823415.169999994</v>
      </c>
    </row>
    <row r="66" spans="1:83" x14ac:dyDescent="0.35">
      <c r="A66" s="39" t="s">
        <v>251</v>
      </c>
      <c r="B66" s="20"/>
      <c r="C66" s="213">
        <v>46331.58</v>
      </c>
      <c r="D66" s="213">
        <v>57858.299999999988</v>
      </c>
      <c r="E66" s="213">
        <v>100646.32000000002</v>
      </c>
      <c r="F66" s="213">
        <v>0</v>
      </c>
      <c r="G66" s="213">
        <v>0</v>
      </c>
      <c r="H66" s="213">
        <v>78238.559999999998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66130.920000000013</v>
      </c>
      <c r="P66" s="214">
        <v>62310.91</v>
      </c>
      <c r="Q66" s="214">
        <v>0</v>
      </c>
      <c r="R66" s="214">
        <v>26737.84</v>
      </c>
      <c r="S66" s="228">
        <v>15961.73</v>
      </c>
      <c r="T66" s="228">
        <v>0</v>
      </c>
      <c r="U66" s="227">
        <v>26031.63</v>
      </c>
      <c r="V66" s="214">
        <v>0</v>
      </c>
      <c r="W66" s="214">
        <v>5414.1999999999989</v>
      </c>
      <c r="X66" s="214">
        <v>9156.77</v>
      </c>
      <c r="Y66" s="214">
        <v>65584.2</v>
      </c>
      <c r="Z66" s="214">
        <v>0</v>
      </c>
      <c r="AA66" s="214">
        <v>13085.01</v>
      </c>
      <c r="AB66" s="240">
        <v>11738</v>
      </c>
      <c r="AC66" s="214">
        <v>6813.8300000000008</v>
      </c>
      <c r="AD66" s="214">
        <v>899.81</v>
      </c>
      <c r="AE66" s="214">
        <v>0</v>
      </c>
      <c r="AF66" s="214">
        <v>0</v>
      </c>
      <c r="AG66" s="214">
        <v>98546.689999999988</v>
      </c>
      <c r="AH66" s="214">
        <v>0</v>
      </c>
      <c r="AI66" s="214">
        <v>1299.3900000000001</v>
      </c>
      <c r="AJ66" s="214">
        <v>474.24000000000007</v>
      </c>
      <c r="AK66" s="214">
        <v>224.93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33675.119999999995</v>
      </c>
      <c r="AW66" s="228">
        <v>0</v>
      </c>
      <c r="AX66" s="228">
        <v>0</v>
      </c>
      <c r="AY66" s="214">
        <v>28353.48</v>
      </c>
      <c r="AZ66" s="214">
        <v>0</v>
      </c>
      <c r="BA66" s="228">
        <v>0</v>
      </c>
      <c r="BB66" s="228">
        <v>721.15</v>
      </c>
      <c r="BC66" s="228">
        <v>8055.28</v>
      </c>
      <c r="BD66" s="228">
        <v>5037.53</v>
      </c>
      <c r="BE66" s="214">
        <v>262622.52</v>
      </c>
      <c r="BF66" s="228">
        <v>16140.03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89.04</v>
      </c>
      <c r="BM66" s="228">
        <v>0</v>
      </c>
      <c r="BN66" s="228">
        <v>31685.54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0</v>
      </c>
      <c r="BW66" s="228">
        <v>0</v>
      </c>
      <c r="BX66" s="228">
        <v>1363.7199999999998</v>
      </c>
      <c r="BY66" s="228">
        <v>3421.19</v>
      </c>
      <c r="BZ66" s="228">
        <v>1150.55</v>
      </c>
      <c r="CA66" s="228">
        <v>0</v>
      </c>
      <c r="CB66" s="228">
        <v>0</v>
      </c>
      <c r="CC66" s="228">
        <v>43424.63</v>
      </c>
      <c r="CD66" s="29" t="s">
        <v>233</v>
      </c>
      <c r="CE66" s="32">
        <f t="shared" si="4"/>
        <v>1129224.6400000001</v>
      </c>
    </row>
    <row r="67" spans="1:83" x14ac:dyDescent="0.35">
      <c r="A67" s="39" t="s">
        <v>252</v>
      </c>
      <c r="B67" s="20"/>
      <c r="C67" s="213">
        <v>98878.7</v>
      </c>
      <c r="D67" s="213">
        <v>139867.47</v>
      </c>
      <c r="E67" s="213">
        <v>133350.07</v>
      </c>
      <c r="F67" s="213">
        <v>0</v>
      </c>
      <c r="G67" s="213">
        <v>0</v>
      </c>
      <c r="H67" s="213">
        <v>94707.48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116984.69</v>
      </c>
      <c r="P67" s="214">
        <v>537178.77</v>
      </c>
      <c r="Q67" s="214">
        <v>0</v>
      </c>
      <c r="R67" s="214">
        <v>4954.17</v>
      </c>
      <c r="S67" s="228">
        <v>84344.46</v>
      </c>
      <c r="T67" s="228">
        <v>0</v>
      </c>
      <c r="U67" s="227">
        <v>228854.38</v>
      </c>
      <c r="V67" s="214">
        <v>0</v>
      </c>
      <c r="W67" s="214">
        <v>3351.23</v>
      </c>
      <c r="X67" s="214">
        <v>62513.49</v>
      </c>
      <c r="Y67" s="214">
        <v>118248.25</v>
      </c>
      <c r="Z67" s="214">
        <v>0</v>
      </c>
      <c r="AA67" s="214">
        <v>5601.67</v>
      </c>
      <c r="AB67" s="240">
        <v>207320.13</v>
      </c>
      <c r="AC67" s="214">
        <v>31884.22</v>
      </c>
      <c r="AD67" s="214">
        <v>1096086.6599999999</v>
      </c>
      <c r="AE67" s="214">
        <v>0</v>
      </c>
      <c r="AF67" s="214">
        <v>0</v>
      </c>
      <c r="AG67" s="214">
        <v>249086.79</v>
      </c>
      <c r="AH67" s="214">
        <v>0</v>
      </c>
      <c r="AI67" s="214">
        <v>22860.52</v>
      </c>
      <c r="AJ67" s="214">
        <v>13277.08</v>
      </c>
      <c r="AK67" s="214">
        <v>0</v>
      </c>
      <c r="AL67" s="214">
        <v>0</v>
      </c>
      <c r="AM67" s="214">
        <v>0</v>
      </c>
      <c r="AN67" s="214">
        <v>0</v>
      </c>
      <c r="AO67" s="214">
        <v>-3295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60710.52</v>
      </c>
      <c r="AW67" s="228">
        <v>0</v>
      </c>
      <c r="AX67" s="228">
        <v>0</v>
      </c>
      <c r="AY67" s="214">
        <v>45873.48</v>
      </c>
      <c r="AZ67" s="214">
        <v>0</v>
      </c>
      <c r="BA67" s="228">
        <v>-13415.76</v>
      </c>
      <c r="BB67" s="228">
        <v>434.66</v>
      </c>
      <c r="BC67" s="228">
        <v>216.02</v>
      </c>
      <c r="BD67" s="228">
        <v>950.58</v>
      </c>
      <c r="BE67" s="214">
        <v>525235.64</v>
      </c>
      <c r="BF67" s="228">
        <v>103264.92</v>
      </c>
      <c r="BG67" s="228">
        <v>0</v>
      </c>
      <c r="BH67" s="228">
        <v>0</v>
      </c>
      <c r="BI67" s="228">
        <v>0</v>
      </c>
      <c r="BJ67" s="228">
        <v>0</v>
      </c>
      <c r="BK67" s="228">
        <v>0</v>
      </c>
      <c r="BL67" s="228">
        <v>320.07</v>
      </c>
      <c r="BM67" s="228">
        <v>0</v>
      </c>
      <c r="BN67" s="228">
        <v>476332.18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0</v>
      </c>
      <c r="BU67" s="228">
        <v>0</v>
      </c>
      <c r="BV67" s="228">
        <v>0</v>
      </c>
      <c r="BW67" s="228">
        <v>0</v>
      </c>
      <c r="BX67" s="228">
        <v>31808.67</v>
      </c>
      <c r="BY67" s="228">
        <v>131943</v>
      </c>
      <c r="BZ67" s="228">
        <v>44.57</v>
      </c>
      <c r="CA67" s="228">
        <v>0</v>
      </c>
      <c r="CB67" s="228">
        <v>0</v>
      </c>
      <c r="CC67" s="228">
        <v>45703070.329999998</v>
      </c>
      <c r="CD67" s="29" t="s">
        <v>233</v>
      </c>
      <c r="CE67" s="32">
        <f t="shared" si="4"/>
        <v>50312844.109999999</v>
      </c>
    </row>
    <row r="68" spans="1:83" x14ac:dyDescent="0.35">
      <c r="A68" s="39" t="s">
        <v>11</v>
      </c>
      <c r="B68" s="20"/>
      <c r="C68" s="32">
        <f t="shared" ref="C68:BN68" si="7">ROUND(C52+C53,0)</f>
        <v>69973</v>
      </c>
      <c r="D68" s="32">
        <f t="shared" si="7"/>
        <v>35914</v>
      </c>
      <c r="E68" s="32">
        <f t="shared" si="7"/>
        <v>4204</v>
      </c>
      <c r="F68" s="32">
        <f t="shared" si="7"/>
        <v>0</v>
      </c>
      <c r="G68" s="32">
        <f t="shared" si="7"/>
        <v>0</v>
      </c>
      <c r="H68" s="32">
        <f t="shared" si="7"/>
        <v>39965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144146</v>
      </c>
      <c r="P68" s="32">
        <f t="shared" si="7"/>
        <v>673537</v>
      </c>
      <c r="Q68" s="32">
        <f t="shared" si="7"/>
        <v>0</v>
      </c>
      <c r="R68" s="32">
        <f t="shared" si="7"/>
        <v>0</v>
      </c>
      <c r="S68" s="32">
        <f t="shared" si="7"/>
        <v>101861</v>
      </c>
      <c r="T68" s="32">
        <f t="shared" si="7"/>
        <v>0</v>
      </c>
      <c r="U68" s="32">
        <f t="shared" si="7"/>
        <v>16888</v>
      </c>
      <c r="V68" s="32">
        <f t="shared" si="7"/>
        <v>0</v>
      </c>
      <c r="W68" s="32">
        <f t="shared" si="7"/>
        <v>1016</v>
      </c>
      <c r="X68" s="32">
        <f t="shared" si="7"/>
        <v>130181</v>
      </c>
      <c r="Y68" s="32">
        <f t="shared" si="7"/>
        <v>820716</v>
      </c>
      <c r="Z68" s="32">
        <f t="shared" si="7"/>
        <v>0</v>
      </c>
      <c r="AA68" s="32">
        <f t="shared" si="7"/>
        <v>1550</v>
      </c>
      <c r="AB68" s="32">
        <f t="shared" si="7"/>
        <v>45156</v>
      </c>
      <c r="AC68" s="32">
        <f t="shared" si="7"/>
        <v>102586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207780</v>
      </c>
      <c r="AH68" s="32">
        <f t="shared" si="7"/>
        <v>0</v>
      </c>
      <c r="AI68" s="32">
        <f t="shared" si="7"/>
        <v>11283</v>
      </c>
      <c r="AJ68" s="32">
        <f t="shared" si="7"/>
        <v>21276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463019</v>
      </c>
      <c r="AW68" s="32">
        <f t="shared" si="7"/>
        <v>0</v>
      </c>
      <c r="AX68" s="32">
        <f t="shared" si="7"/>
        <v>0</v>
      </c>
      <c r="AY68" s="32">
        <f t="shared" si="7"/>
        <v>20068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3720</v>
      </c>
      <c r="BD68" s="32">
        <f t="shared" si="7"/>
        <v>0</v>
      </c>
      <c r="BE68" s="32">
        <f t="shared" si="7"/>
        <v>10719</v>
      </c>
      <c r="BF68" s="32">
        <f t="shared" si="7"/>
        <v>4360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1483</v>
      </c>
      <c r="BM68" s="32">
        <f t="shared" si="7"/>
        <v>0</v>
      </c>
      <c r="BN68" s="32">
        <f t="shared" si="7"/>
        <v>225391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54688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6468080</v>
      </c>
      <c r="CD68" s="29" t="s">
        <v>233</v>
      </c>
      <c r="CE68" s="32">
        <f t="shared" si="4"/>
        <v>9679560</v>
      </c>
    </row>
    <row r="69" spans="1:83" x14ac:dyDescent="0.35">
      <c r="A69" s="39" t="s">
        <v>253</v>
      </c>
      <c r="B69" s="32"/>
      <c r="C69" s="213">
        <v>95778.909999999989</v>
      </c>
      <c r="D69" s="213">
        <v>97623.410000000018</v>
      </c>
      <c r="E69" s="213">
        <v>240163.90000000002</v>
      </c>
      <c r="F69" s="213">
        <v>0</v>
      </c>
      <c r="G69" s="213">
        <v>0</v>
      </c>
      <c r="H69" s="213">
        <v>650.92000000000007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11610.93</v>
      </c>
      <c r="P69" s="214">
        <v>397776.31</v>
      </c>
      <c r="Q69" s="214">
        <v>0</v>
      </c>
      <c r="R69" s="214">
        <v>0</v>
      </c>
      <c r="S69" s="228">
        <v>0</v>
      </c>
      <c r="T69" s="228">
        <v>0</v>
      </c>
      <c r="U69" s="227">
        <v>30.24</v>
      </c>
      <c r="V69" s="214">
        <v>0</v>
      </c>
      <c r="W69" s="214">
        <v>0</v>
      </c>
      <c r="X69" s="214">
        <v>2012.11</v>
      </c>
      <c r="Y69" s="214">
        <v>79.12</v>
      </c>
      <c r="Z69" s="214">
        <v>0</v>
      </c>
      <c r="AA69" s="214">
        <v>33.119999999999997</v>
      </c>
      <c r="AB69" s="240">
        <v>44.35</v>
      </c>
      <c r="AC69" s="214">
        <v>3744.93</v>
      </c>
      <c r="AD69" s="214">
        <v>0</v>
      </c>
      <c r="AE69" s="214">
        <v>0</v>
      </c>
      <c r="AF69" s="214">
        <v>0</v>
      </c>
      <c r="AG69" s="214">
        <v>13039.15</v>
      </c>
      <c r="AH69" s="214">
        <v>0</v>
      </c>
      <c r="AI69" s="214">
        <v>1281.17</v>
      </c>
      <c r="AJ69" s="214">
        <v>137812.98999999996</v>
      </c>
      <c r="AK69" s="214">
        <v>0</v>
      </c>
      <c r="AL69" s="214">
        <v>0</v>
      </c>
      <c r="AM69" s="214">
        <v>0</v>
      </c>
      <c r="AN69" s="214">
        <v>0</v>
      </c>
      <c r="AO69" s="214">
        <v>32103.79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232156.31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2674.03</v>
      </c>
      <c r="BE69" s="214">
        <v>307.60000000000002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0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6.68</v>
      </c>
      <c r="BY69" s="228">
        <v>0</v>
      </c>
      <c r="BZ69" s="228">
        <v>0</v>
      </c>
      <c r="CA69" s="228">
        <v>0</v>
      </c>
      <c r="CB69" s="228">
        <v>0</v>
      </c>
      <c r="CC69" s="228">
        <v>5947.57</v>
      </c>
      <c r="CD69" s="29" t="s">
        <v>233</v>
      </c>
      <c r="CE69" s="32">
        <f t="shared" si="4"/>
        <v>1274877.5400000003</v>
      </c>
    </row>
    <row r="70" spans="1:83" x14ac:dyDescent="0.35">
      <c r="A70" s="39" t="s">
        <v>254</v>
      </c>
      <c r="B70" s="20"/>
      <c r="C70" s="32">
        <f t="shared" ref="C70:BN70" si="9">SUM(C71:C84)</f>
        <v>69170.140000000029</v>
      </c>
      <c r="D70" s="32">
        <f t="shared" si="9"/>
        <v>95187.440000000031</v>
      </c>
      <c r="E70" s="32">
        <f t="shared" si="9"/>
        <v>67090.37999999999</v>
      </c>
      <c r="F70" s="32">
        <f t="shared" si="9"/>
        <v>0</v>
      </c>
      <c r="G70" s="32">
        <f t="shared" si="9"/>
        <v>0</v>
      </c>
      <c r="H70" s="32">
        <f t="shared" si="9"/>
        <v>209270.72999999998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119706.74999999997</v>
      </c>
      <c r="P70" s="32">
        <f t="shared" si="9"/>
        <v>135923.65999999995</v>
      </c>
      <c r="Q70" s="32">
        <f t="shared" si="9"/>
        <v>0</v>
      </c>
      <c r="R70" s="32">
        <f t="shared" si="9"/>
        <v>-1913.549999999992</v>
      </c>
      <c r="S70" s="32">
        <f t="shared" si="9"/>
        <v>10307.399999999998</v>
      </c>
      <c r="T70" s="32">
        <f t="shared" si="9"/>
        <v>0</v>
      </c>
      <c r="U70" s="32">
        <f t="shared" si="9"/>
        <v>39467.25</v>
      </c>
      <c r="V70" s="32">
        <f t="shared" si="9"/>
        <v>0</v>
      </c>
      <c r="W70" s="32">
        <f t="shared" si="9"/>
        <v>195.31000000000131</v>
      </c>
      <c r="X70" s="32">
        <f t="shared" si="9"/>
        <v>173.22999999999593</v>
      </c>
      <c r="Y70" s="32">
        <f t="shared" si="9"/>
        <v>70097.049999999974</v>
      </c>
      <c r="Z70" s="32">
        <f t="shared" si="9"/>
        <v>0</v>
      </c>
      <c r="AA70" s="32">
        <f t="shared" si="9"/>
        <v>245.94999999999891</v>
      </c>
      <c r="AB70" s="32">
        <f t="shared" si="9"/>
        <v>34822.979999999996</v>
      </c>
      <c r="AC70" s="32">
        <f t="shared" si="9"/>
        <v>8621.0999999999985</v>
      </c>
      <c r="AD70" s="32">
        <f t="shared" si="9"/>
        <v>18.860000000000127</v>
      </c>
      <c r="AE70" s="32">
        <f t="shared" si="9"/>
        <v>0</v>
      </c>
      <c r="AF70" s="32">
        <f t="shared" si="9"/>
        <v>0</v>
      </c>
      <c r="AG70" s="32">
        <f t="shared" si="9"/>
        <v>87338.019999999975</v>
      </c>
      <c r="AH70" s="32">
        <f t="shared" si="9"/>
        <v>0</v>
      </c>
      <c r="AI70" s="32">
        <f t="shared" si="9"/>
        <v>20009.809999999998</v>
      </c>
      <c r="AJ70" s="32">
        <f t="shared" si="9"/>
        <v>11565.609999999999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28277.99000000002</v>
      </c>
      <c r="AW70" s="32">
        <f t="shared" si="9"/>
        <v>12000.000000000002</v>
      </c>
      <c r="AX70" s="32">
        <f t="shared" si="9"/>
        <v>0</v>
      </c>
      <c r="AY70" s="32">
        <f t="shared" si="9"/>
        <v>7274.9600000000028</v>
      </c>
      <c r="AZ70" s="32">
        <f t="shared" si="9"/>
        <v>0</v>
      </c>
      <c r="BA70" s="32">
        <f t="shared" si="9"/>
        <v>0</v>
      </c>
      <c r="BB70" s="32">
        <f t="shared" si="9"/>
        <v>47.989999999999441</v>
      </c>
      <c r="BC70" s="32">
        <f t="shared" si="9"/>
        <v>69.929999999999382</v>
      </c>
      <c r="BD70" s="32">
        <f t="shared" si="9"/>
        <v>105.47000000000207</v>
      </c>
      <c r="BE70" s="32">
        <f t="shared" si="9"/>
        <v>13777.950000000012</v>
      </c>
      <c r="BF70" s="32">
        <f t="shared" si="9"/>
        <v>231424.75000000003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1500.0000000000009</v>
      </c>
      <c r="BM70" s="32">
        <f t="shared" si="9"/>
        <v>0</v>
      </c>
      <c r="BN70" s="32">
        <f t="shared" si="9"/>
        <v>180085.91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6916.8299999999963</v>
      </c>
      <c r="BY70" s="32">
        <f t="shared" si="10"/>
        <v>68282.67</v>
      </c>
      <c r="BZ70" s="32">
        <f t="shared" si="10"/>
        <v>15011.180000000002</v>
      </c>
      <c r="CA70" s="32">
        <f t="shared" si="10"/>
        <v>0</v>
      </c>
      <c r="CB70" s="32">
        <f t="shared" si="10"/>
        <v>0</v>
      </c>
      <c r="CC70" s="32">
        <f t="shared" si="10"/>
        <v>7773832.2400000012</v>
      </c>
      <c r="CD70" s="32">
        <f t="shared" si="10"/>
        <v>7706267.5300000012</v>
      </c>
      <c r="CE70" s="32">
        <f>SUM(CE71:CE85)</f>
        <v>32679273.109999999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69170.140000000029</v>
      </c>
      <c r="D84" s="24">
        <v>95187.440000000031</v>
      </c>
      <c r="E84" s="30">
        <v>67090.37999999999</v>
      </c>
      <c r="F84" s="30">
        <v>0</v>
      </c>
      <c r="G84" s="24">
        <v>0</v>
      </c>
      <c r="H84" s="24">
        <v>209270.72999999998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119706.74999999997</v>
      </c>
      <c r="P84" s="30">
        <v>135923.65999999995</v>
      </c>
      <c r="Q84" s="30">
        <v>0</v>
      </c>
      <c r="R84" s="31">
        <v>-1913.549999999992</v>
      </c>
      <c r="S84" s="30">
        <v>10307.399999999998</v>
      </c>
      <c r="T84" s="24">
        <v>0</v>
      </c>
      <c r="U84" s="30">
        <v>39467.25</v>
      </c>
      <c r="V84" s="30">
        <v>0</v>
      </c>
      <c r="W84" s="24">
        <v>195.31000000000131</v>
      </c>
      <c r="X84" s="30">
        <v>173.22999999999593</v>
      </c>
      <c r="Y84" s="30">
        <v>70097.049999999974</v>
      </c>
      <c r="Z84" s="30">
        <v>0</v>
      </c>
      <c r="AA84" s="30">
        <v>245.94999999999891</v>
      </c>
      <c r="AB84" s="30">
        <v>34822.979999999996</v>
      </c>
      <c r="AC84" s="30">
        <v>8621.0999999999985</v>
      </c>
      <c r="AD84" s="30">
        <v>18.860000000000127</v>
      </c>
      <c r="AE84" s="30">
        <v>0</v>
      </c>
      <c r="AF84" s="30">
        <v>0</v>
      </c>
      <c r="AG84" s="30">
        <v>87338.019999999975</v>
      </c>
      <c r="AH84" s="30">
        <v>0</v>
      </c>
      <c r="AI84" s="30">
        <v>20009.809999999998</v>
      </c>
      <c r="AJ84" s="30">
        <v>11565.609999999999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28277.99000000002</v>
      </c>
      <c r="AW84" s="30">
        <v>12000.000000000002</v>
      </c>
      <c r="AX84" s="30">
        <v>0</v>
      </c>
      <c r="AY84" s="30">
        <v>7274.9600000000028</v>
      </c>
      <c r="AZ84" s="30">
        <v>0</v>
      </c>
      <c r="BA84" s="30">
        <v>0</v>
      </c>
      <c r="BB84" s="30">
        <v>47.989999999999441</v>
      </c>
      <c r="BC84" s="30">
        <v>69.929999999999382</v>
      </c>
      <c r="BD84" s="30">
        <v>105.47000000000207</v>
      </c>
      <c r="BE84" s="30">
        <v>13777.950000000012</v>
      </c>
      <c r="BF84" s="30">
        <v>231424.75000000003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1500.0000000000009</v>
      </c>
      <c r="BM84" s="30">
        <v>0</v>
      </c>
      <c r="BN84" s="30">
        <v>180085.91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6916.8299999999963</v>
      </c>
      <c r="BY84" s="30">
        <v>68282.67</v>
      </c>
      <c r="BZ84" s="30">
        <v>15011.180000000002</v>
      </c>
      <c r="CA84" s="30">
        <v>0</v>
      </c>
      <c r="CB84" s="30">
        <v>0</v>
      </c>
      <c r="CC84" s="30">
        <v>7773832.2400000012</v>
      </c>
      <c r="CD84" s="35">
        <v>7706267.5300000012</v>
      </c>
      <c r="CE84" s="32">
        <f t="shared" si="11"/>
        <v>17022173.520000003</v>
      </c>
    </row>
    <row r="85" spans="1:84" x14ac:dyDescent="0.35">
      <c r="A85" s="39" t="s">
        <v>269</v>
      </c>
      <c r="B85" s="20"/>
      <c r="C85" s="213">
        <v>21682.91</v>
      </c>
      <c r="D85" s="213">
        <v>1814.6699999999998</v>
      </c>
      <c r="E85" s="213">
        <v>184.08</v>
      </c>
      <c r="F85" s="213">
        <v>0</v>
      </c>
      <c r="G85" s="213">
        <v>0</v>
      </c>
      <c r="H85" s="213">
        <v>4886.26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2400</v>
      </c>
      <c r="P85" s="213">
        <v>0</v>
      </c>
      <c r="Q85" s="213">
        <v>0</v>
      </c>
      <c r="R85" s="213">
        <v>12224.8</v>
      </c>
      <c r="S85" s="213">
        <v>2015.94</v>
      </c>
      <c r="T85" s="213">
        <v>0</v>
      </c>
      <c r="U85" s="213">
        <v>6411.9</v>
      </c>
      <c r="V85" s="213">
        <v>0</v>
      </c>
      <c r="W85" s="213">
        <v>0</v>
      </c>
      <c r="X85" s="213">
        <v>0</v>
      </c>
      <c r="Y85" s="213">
        <v>6723.5</v>
      </c>
      <c r="Z85" s="213">
        <v>0</v>
      </c>
      <c r="AA85" s="213">
        <v>0</v>
      </c>
      <c r="AB85" s="213">
        <v>3188.35</v>
      </c>
      <c r="AC85" s="213">
        <v>3357.3</v>
      </c>
      <c r="AD85" s="213">
        <v>0</v>
      </c>
      <c r="AE85" s="213">
        <v>0</v>
      </c>
      <c r="AF85" s="213">
        <v>0</v>
      </c>
      <c r="AG85" s="213">
        <v>56680.89</v>
      </c>
      <c r="AH85" s="213">
        <v>0</v>
      </c>
      <c r="AI85" s="213">
        <v>0</v>
      </c>
      <c r="AJ85" s="213">
        <v>684.25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12019.99</v>
      </c>
      <c r="AW85" s="213">
        <v>0</v>
      </c>
      <c r="AX85" s="213">
        <v>0</v>
      </c>
      <c r="AY85" s="213">
        <v>614003.78</v>
      </c>
      <c r="AZ85" s="213">
        <v>0</v>
      </c>
      <c r="BA85" s="213">
        <v>0</v>
      </c>
      <c r="BB85" s="213">
        <v>142.54</v>
      </c>
      <c r="BC85" s="213">
        <v>249.62</v>
      </c>
      <c r="BD85" s="213">
        <v>522.92999999999995</v>
      </c>
      <c r="BE85" s="213">
        <v>132.69999999999999</v>
      </c>
      <c r="BF85" s="213">
        <v>4049.02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32.479999999999997</v>
      </c>
      <c r="BM85" s="213">
        <v>0</v>
      </c>
      <c r="BN85" s="213">
        <v>82464.75999999998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0</v>
      </c>
      <c r="BX85" s="213">
        <v>0</v>
      </c>
      <c r="BY85" s="213">
        <v>0</v>
      </c>
      <c r="BZ85" s="213">
        <v>0</v>
      </c>
      <c r="CA85" s="213">
        <v>0</v>
      </c>
      <c r="CB85" s="213">
        <v>0</v>
      </c>
      <c r="CC85" s="213">
        <v>14821226.919999998</v>
      </c>
      <c r="CD85" s="35">
        <v>0</v>
      </c>
      <c r="CE85" s="32">
        <f t="shared" si="11"/>
        <v>15657099.589999998</v>
      </c>
    </row>
    <row r="86" spans="1:84" x14ac:dyDescent="0.35">
      <c r="A86" s="39" t="s">
        <v>270</v>
      </c>
      <c r="B86" s="32"/>
      <c r="C86" s="32">
        <f>SUM(C62:C70)-C85</f>
        <v>12816878.630000001</v>
      </c>
      <c r="D86" s="32">
        <f t="shared" ref="D86:BO86" si="12">SUM(D62:D70)-D85</f>
        <v>11876198.350000001</v>
      </c>
      <c r="E86" s="32">
        <f t="shared" si="12"/>
        <v>8748564.9199999999</v>
      </c>
      <c r="F86" s="32">
        <f t="shared" si="12"/>
        <v>0</v>
      </c>
      <c r="G86" s="32">
        <f t="shared" si="12"/>
        <v>0</v>
      </c>
      <c r="H86" s="32">
        <f t="shared" si="12"/>
        <v>12335147.880000003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7638516.0500000007</v>
      </c>
      <c r="P86" s="32">
        <f t="shared" si="12"/>
        <v>12786601.420000002</v>
      </c>
      <c r="Q86" s="32">
        <f t="shared" si="12"/>
        <v>0</v>
      </c>
      <c r="R86" s="32">
        <f t="shared" si="12"/>
        <v>2004258.4600000002</v>
      </c>
      <c r="S86" s="32">
        <f t="shared" si="12"/>
        <v>1341279.8299999998</v>
      </c>
      <c r="T86" s="32">
        <f t="shared" si="12"/>
        <v>0</v>
      </c>
      <c r="U86" s="32">
        <f t="shared" si="12"/>
        <v>4650809.29</v>
      </c>
      <c r="V86" s="32">
        <f t="shared" si="12"/>
        <v>0</v>
      </c>
      <c r="W86" s="32">
        <f t="shared" si="12"/>
        <v>551801.32999999996</v>
      </c>
      <c r="X86" s="32">
        <f t="shared" si="12"/>
        <v>1681615.2000000002</v>
      </c>
      <c r="Y86" s="32">
        <f t="shared" si="12"/>
        <v>7567220.0700000012</v>
      </c>
      <c r="Z86" s="32">
        <f t="shared" si="12"/>
        <v>9206.0299999999988</v>
      </c>
      <c r="AA86" s="32">
        <f t="shared" si="12"/>
        <v>633559.3899999999</v>
      </c>
      <c r="AB86" s="32">
        <f t="shared" si="12"/>
        <v>10802782.560000001</v>
      </c>
      <c r="AC86" s="32">
        <f t="shared" si="12"/>
        <v>2980343.0900000003</v>
      </c>
      <c r="AD86" s="32">
        <f t="shared" si="12"/>
        <v>1097005.33</v>
      </c>
      <c r="AE86" s="32">
        <f t="shared" si="12"/>
        <v>0</v>
      </c>
      <c r="AF86" s="32">
        <f t="shared" si="12"/>
        <v>0</v>
      </c>
      <c r="AG86" s="32">
        <f t="shared" si="12"/>
        <v>19278076.84</v>
      </c>
      <c r="AH86" s="32">
        <f t="shared" si="12"/>
        <v>0</v>
      </c>
      <c r="AI86" s="32">
        <f t="shared" si="12"/>
        <v>1499838.74</v>
      </c>
      <c r="AJ86" s="32">
        <f t="shared" si="12"/>
        <v>2271154.0899999994</v>
      </c>
      <c r="AK86" s="32">
        <f t="shared" si="12"/>
        <v>42256.42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36041.85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8836095.1100000013</v>
      </c>
      <c r="AW86" s="32">
        <f t="shared" si="12"/>
        <v>1101022.32</v>
      </c>
      <c r="AX86" s="32">
        <f t="shared" si="12"/>
        <v>0</v>
      </c>
      <c r="AY86" s="32">
        <f t="shared" si="12"/>
        <v>2211830.0999999996</v>
      </c>
      <c r="AZ86" s="32">
        <f t="shared" si="12"/>
        <v>0</v>
      </c>
      <c r="BA86" s="32">
        <f t="shared" si="12"/>
        <v>52127.659999999996</v>
      </c>
      <c r="BB86" s="32">
        <f t="shared" si="12"/>
        <v>1252649.5199999996</v>
      </c>
      <c r="BC86" s="32">
        <f t="shared" si="12"/>
        <v>443528.97000000003</v>
      </c>
      <c r="BD86" s="32">
        <f t="shared" si="12"/>
        <v>897108.39999999991</v>
      </c>
      <c r="BE86" s="32">
        <f t="shared" si="12"/>
        <v>2096626.9500000002</v>
      </c>
      <c r="BF86" s="32">
        <f t="shared" si="12"/>
        <v>2839792.61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1187904.7000000002</v>
      </c>
      <c r="BM86" s="32">
        <f t="shared" si="12"/>
        <v>0</v>
      </c>
      <c r="BN86" s="32">
        <f t="shared" si="12"/>
        <v>5838541.8899999997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1346516.9400000002</v>
      </c>
      <c r="BY86" s="32">
        <f t="shared" si="13"/>
        <v>1321363.93</v>
      </c>
      <c r="BZ86" s="32">
        <f t="shared" si="13"/>
        <v>1144844.53</v>
      </c>
      <c r="CA86" s="32">
        <f t="shared" si="13"/>
        <v>0</v>
      </c>
      <c r="CB86" s="32">
        <f t="shared" si="13"/>
        <v>0</v>
      </c>
      <c r="CC86" s="32">
        <f t="shared" si="13"/>
        <v>59463630.420000002</v>
      </c>
      <c r="CD86" s="32">
        <f t="shared" si="13"/>
        <v>7706267.5300000012</v>
      </c>
      <c r="CE86" s="32">
        <f t="shared" si="11"/>
        <v>220389007.34999999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35112194.060000002</v>
      </c>
      <c r="D88" s="213">
        <v>45620571.689999998</v>
      </c>
      <c r="E88" s="213">
        <v>27077467.059999999</v>
      </c>
      <c r="F88" s="213">
        <v>0</v>
      </c>
      <c r="G88" s="213">
        <v>0</v>
      </c>
      <c r="H88" s="213">
        <v>78308634.010000005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21696065.630000003</v>
      </c>
      <c r="P88" s="213">
        <v>38804802</v>
      </c>
      <c r="Q88" s="213">
        <v>0</v>
      </c>
      <c r="R88" s="213">
        <v>5330160.0000000009</v>
      </c>
      <c r="S88" s="213">
        <v>0</v>
      </c>
      <c r="T88" s="213">
        <v>0</v>
      </c>
      <c r="U88" s="213">
        <v>36578162.93</v>
      </c>
      <c r="V88" s="213">
        <v>1570765</v>
      </c>
      <c r="W88" s="213">
        <v>3673279.7100000004</v>
      </c>
      <c r="X88" s="213">
        <v>19988013.250000004</v>
      </c>
      <c r="Y88" s="213">
        <v>26239438.630000003</v>
      </c>
      <c r="Z88" s="213">
        <v>12468.8</v>
      </c>
      <c r="AA88" s="213">
        <v>1459491.5999999999</v>
      </c>
      <c r="AB88" s="213">
        <v>38214054.769999996</v>
      </c>
      <c r="AC88" s="213">
        <v>29638688</v>
      </c>
      <c r="AD88" s="213">
        <v>2043202</v>
      </c>
      <c r="AE88" s="213">
        <v>0</v>
      </c>
      <c r="AF88" s="213">
        <v>0</v>
      </c>
      <c r="AG88" s="213">
        <v>47142667.800000004</v>
      </c>
      <c r="AH88" s="213">
        <v>0</v>
      </c>
      <c r="AI88" s="213">
        <v>1809120</v>
      </c>
      <c r="AJ88" s="213">
        <v>204812</v>
      </c>
      <c r="AK88" s="213">
        <v>0</v>
      </c>
      <c r="AL88" s="213">
        <v>0</v>
      </c>
      <c r="AM88" s="213">
        <v>0</v>
      </c>
      <c r="AN88" s="213">
        <v>0</v>
      </c>
      <c r="AO88" s="213">
        <v>2208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14654104.6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475180371.54000002</v>
      </c>
    </row>
    <row r="89" spans="1:84" x14ac:dyDescent="0.35">
      <c r="A89" s="26" t="s">
        <v>273</v>
      </c>
      <c r="B89" s="20"/>
      <c r="C89" s="213">
        <v>82180</v>
      </c>
      <c r="D89" s="213">
        <v>526051</v>
      </c>
      <c r="E89" s="213">
        <v>744339</v>
      </c>
      <c r="F89" s="213">
        <v>0</v>
      </c>
      <c r="G89" s="213">
        <v>0</v>
      </c>
      <c r="H89" s="213">
        <v>1093744.02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713332</v>
      </c>
      <c r="P89" s="213">
        <v>97187815</v>
      </c>
      <c r="Q89" s="213">
        <v>0</v>
      </c>
      <c r="R89" s="213">
        <v>11807815</v>
      </c>
      <c r="S89" s="213">
        <v>0</v>
      </c>
      <c r="T89" s="213">
        <v>0</v>
      </c>
      <c r="U89" s="213">
        <v>24417230</v>
      </c>
      <c r="V89" s="213">
        <v>3230267</v>
      </c>
      <c r="W89" s="213">
        <v>9116501.9399999995</v>
      </c>
      <c r="X89" s="213">
        <v>49965517.449999996</v>
      </c>
      <c r="Y89" s="213">
        <v>34813975.719999999</v>
      </c>
      <c r="Z89" s="213">
        <v>6477.6</v>
      </c>
      <c r="AA89" s="213">
        <v>4281985.83</v>
      </c>
      <c r="AB89" s="213">
        <v>12706099.83</v>
      </c>
      <c r="AC89" s="213">
        <v>2381489</v>
      </c>
      <c r="AD89" s="213">
        <v>41561</v>
      </c>
      <c r="AE89" s="213">
        <v>0</v>
      </c>
      <c r="AF89" s="213">
        <v>0</v>
      </c>
      <c r="AG89" s="213">
        <v>114835385.95</v>
      </c>
      <c r="AH89" s="213">
        <v>0</v>
      </c>
      <c r="AI89" s="213">
        <v>3201312</v>
      </c>
      <c r="AJ89" s="213">
        <v>8815895</v>
      </c>
      <c r="AK89" s="213">
        <v>132539</v>
      </c>
      <c r="AL89" s="213">
        <v>0</v>
      </c>
      <c r="AM89" s="213">
        <v>0</v>
      </c>
      <c r="AN89" s="213">
        <v>0</v>
      </c>
      <c r="AO89" s="213">
        <v>2133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19144453.52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399248099.85999995</v>
      </c>
    </row>
    <row r="90" spans="1:84" x14ac:dyDescent="0.35">
      <c r="A90" s="26" t="s">
        <v>274</v>
      </c>
      <c r="B90" s="20"/>
      <c r="C90" s="32">
        <f>C88+C89</f>
        <v>35194374.060000002</v>
      </c>
      <c r="D90" s="32">
        <f t="shared" ref="D90:AV90" si="15">D88+D89</f>
        <v>46146622.689999998</v>
      </c>
      <c r="E90" s="32">
        <f t="shared" si="15"/>
        <v>27821806.059999999</v>
      </c>
      <c r="F90" s="32">
        <f t="shared" si="15"/>
        <v>0</v>
      </c>
      <c r="G90" s="32">
        <f t="shared" si="15"/>
        <v>0</v>
      </c>
      <c r="H90" s="32">
        <f t="shared" si="15"/>
        <v>79402378.030000001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22409397.630000003</v>
      </c>
      <c r="P90" s="32">
        <f t="shared" si="15"/>
        <v>135992617</v>
      </c>
      <c r="Q90" s="32">
        <f t="shared" si="15"/>
        <v>0</v>
      </c>
      <c r="R90" s="32">
        <f t="shared" si="15"/>
        <v>17137975</v>
      </c>
      <c r="S90" s="32">
        <f t="shared" si="15"/>
        <v>0</v>
      </c>
      <c r="T90" s="32">
        <f t="shared" si="15"/>
        <v>0</v>
      </c>
      <c r="U90" s="32">
        <f t="shared" si="15"/>
        <v>60995392.93</v>
      </c>
      <c r="V90" s="32">
        <f t="shared" si="15"/>
        <v>4801032</v>
      </c>
      <c r="W90" s="32">
        <f t="shared" si="15"/>
        <v>12789781.65</v>
      </c>
      <c r="X90" s="32">
        <f t="shared" si="15"/>
        <v>69953530.700000003</v>
      </c>
      <c r="Y90" s="32">
        <f t="shared" si="15"/>
        <v>61053414.350000001</v>
      </c>
      <c r="Z90" s="32">
        <f t="shared" si="15"/>
        <v>18946.400000000001</v>
      </c>
      <c r="AA90" s="32">
        <f t="shared" si="15"/>
        <v>5741477.4299999997</v>
      </c>
      <c r="AB90" s="32">
        <f t="shared" si="15"/>
        <v>50920154.599999994</v>
      </c>
      <c r="AC90" s="32">
        <f t="shared" si="15"/>
        <v>32020177</v>
      </c>
      <c r="AD90" s="32">
        <f t="shared" si="15"/>
        <v>2084763</v>
      </c>
      <c r="AE90" s="32">
        <f t="shared" si="15"/>
        <v>0</v>
      </c>
      <c r="AF90" s="32">
        <f t="shared" si="15"/>
        <v>0</v>
      </c>
      <c r="AG90" s="32">
        <f t="shared" si="15"/>
        <v>161978053.75</v>
      </c>
      <c r="AH90" s="32">
        <f t="shared" si="15"/>
        <v>0</v>
      </c>
      <c r="AI90" s="32">
        <f t="shared" si="15"/>
        <v>5010432</v>
      </c>
      <c r="AJ90" s="32">
        <f t="shared" si="15"/>
        <v>9020707</v>
      </c>
      <c r="AK90" s="32">
        <f t="shared" si="15"/>
        <v>132539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4341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33798558.119999997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874428471.39999998</v>
      </c>
    </row>
    <row r="91" spans="1:84" x14ac:dyDescent="0.35">
      <c r="A91" s="39" t="s">
        <v>275</v>
      </c>
      <c r="B91" s="32"/>
      <c r="C91" s="213">
        <v>9576.7099999999991</v>
      </c>
      <c r="D91" s="213">
        <v>11940.609999999995</v>
      </c>
      <c r="E91" s="213">
        <v>21064.249999999996</v>
      </c>
      <c r="F91" s="213">
        <v>0</v>
      </c>
      <c r="G91" s="213">
        <v>0</v>
      </c>
      <c r="H91" s="213">
        <v>15891.180000000006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13892.000000000005</v>
      </c>
      <c r="P91" s="213">
        <v>12953.94</v>
      </c>
      <c r="Q91" s="213">
        <v>0</v>
      </c>
      <c r="R91" s="213">
        <v>5419.78</v>
      </c>
      <c r="S91" s="213">
        <v>3421.9599999999996</v>
      </c>
      <c r="T91" s="213">
        <v>0</v>
      </c>
      <c r="U91" s="213">
        <v>4878.0400000000009</v>
      </c>
      <c r="V91" s="213">
        <v>0</v>
      </c>
      <c r="W91" s="213">
        <v>1028.69</v>
      </c>
      <c r="X91" s="213">
        <v>1928.63</v>
      </c>
      <c r="Y91" s="213">
        <v>12178.67</v>
      </c>
      <c r="Z91" s="213">
        <v>0</v>
      </c>
      <c r="AA91" s="213">
        <v>2737.0699999999997</v>
      </c>
      <c r="AB91" s="213">
        <v>1109.98</v>
      </c>
      <c r="AC91" s="213">
        <v>1292.2099999999998</v>
      </c>
      <c r="AD91" s="213">
        <v>210.79</v>
      </c>
      <c r="AE91" s="213">
        <v>0</v>
      </c>
      <c r="AF91" s="213">
        <v>0</v>
      </c>
      <c r="AG91" s="213">
        <v>20599.474999999999</v>
      </c>
      <c r="AH91" s="213">
        <v>0</v>
      </c>
      <c r="AI91" s="213">
        <v>108.58</v>
      </c>
      <c r="AJ91" s="213">
        <v>0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2582.9399999999996</v>
      </c>
      <c r="AW91" s="213">
        <v>0</v>
      </c>
      <c r="AX91" s="213">
        <v>0</v>
      </c>
      <c r="AY91" s="213">
        <v>5980.5300000000007</v>
      </c>
      <c r="AZ91" s="213">
        <v>0</v>
      </c>
      <c r="BA91" s="213">
        <v>0</v>
      </c>
      <c r="BB91" s="213">
        <v>0</v>
      </c>
      <c r="BC91" s="213">
        <v>778.36</v>
      </c>
      <c r="BD91" s="213">
        <v>1173.78</v>
      </c>
      <c r="BE91" s="213">
        <v>50281.9</v>
      </c>
      <c r="BF91" s="213">
        <v>2235.3500000000004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0</v>
      </c>
      <c r="BM91" s="213">
        <v>0</v>
      </c>
      <c r="BN91" s="213">
        <v>5315.5900000000011</v>
      </c>
      <c r="BO91" s="213">
        <v>0</v>
      </c>
      <c r="BP91" s="213">
        <v>0</v>
      </c>
      <c r="BQ91" s="213">
        <v>0</v>
      </c>
      <c r="BR91" s="213">
        <v>0</v>
      </c>
      <c r="BS91" s="213">
        <v>0</v>
      </c>
      <c r="BT91" s="213">
        <v>0</v>
      </c>
      <c r="BU91" s="213">
        <v>0</v>
      </c>
      <c r="BV91" s="213">
        <v>0</v>
      </c>
      <c r="BW91" s="213">
        <v>0</v>
      </c>
      <c r="BX91" s="213">
        <v>171.12</v>
      </c>
      <c r="BY91" s="213">
        <v>548.57000000000005</v>
      </c>
      <c r="BZ91" s="213">
        <v>124</v>
      </c>
      <c r="CA91" s="213">
        <v>0</v>
      </c>
      <c r="CB91" s="213">
        <v>0</v>
      </c>
      <c r="CC91" s="213">
        <v>442.87000000000006</v>
      </c>
      <c r="CD91" s="233" t="s">
        <v>233</v>
      </c>
      <c r="CE91" s="32">
        <f t="shared" si="14"/>
        <v>209867.57499999995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9367</v>
      </c>
      <c r="D92" s="213">
        <v>19834</v>
      </c>
      <c r="E92" s="213">
        <v>32464</v>
      </c>
      <c r="F92" s="213">
        <v>542</v>
      </c>
      <c r="G92" s="213">
        <v>0</v>
      </c>
      <c r="H92" s="213">
        <v>44715</v>
      </c>
      <c r="I92" s="213">
        <v>0</v>
      </c>
      <c r="J92" s="213">
        <v>0</v>
      </c>
      <c r="K92" s="213">
        <v>0</v>
      </c>
      <c r="L92" s="213">
        <v>0</v>
      </c>
      <c r="M92" s="213">
        <v>0</v>
      </c>
      <c r="N92" s="213">
        <v>0</v>
      </c>
      <c r="O92" s="213">
        <v>10859</v>
      </c>
      <c r="P92" s="213">
        <v>0</v>
      </c>
      <c r="Q92" s="213">
        <v>0</v>
      </c>
      <c r="R92" s="213">
        <v>4270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13825</v>
      </c>
      <c r="AH92" s="213">
        <v>0</v>
      </c>
      <c r="AI92" s="213">
        <v>535</v>
      </c>
      <c r="AJ92" s="213">
        <v>0</v>
      </c>
      <c r="AK92" s="213">
        <v>0</v>
      </c>
      <c r="AL92" s="213">
        <v>36</v>
      </c>
      <c r="AM92" s="213">
        <v>0</v>
      </c>
      <c r="AN92" s="213">
        <v>0</v>
      </c>
      <c r="AO92" s="213">
        <v>14758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>
        <v>0</v>
      </c>
      <c r="AX92" s="265" t="s">
        <v>233</v>
      </c>
      <c r="AY92" s="265" t="s">
        <v>233</v>
      </c>
      <c r="AZ92" s="213">
        <v>0</v>
      </c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>
        <v>0</v>
      </c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151205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7787.382093782735</v>
      </c>
      <c r="D93" s="213">
        <v>5341.7768192741387</v>
      </c>
      <c r="E93" s="213">
        <v>7189.668864378581</v>
      </c>
      <c r="F93" s="213"/>
      <c r="G93" s="213"/>
      <c r="H93" s="213">
        <v>5013.2626779222383</v>
      </c>
      <c r="I93" s="213"/>
      <c r="J93" s="213"/>
      <c r="K93" s="213"/>
      <c r="L93" s="213"/>
      <c r="M93" s="213"/>
      <c r="N93" s="213"/>
      <c r="O93" s="213">
        <v>5314.4006408281475</v>
      </c>
      <c r="P93" s="213">
        <v>6274.8482346416913</v>
      </c>
      <c r="Q93" s="213"/>
      <c r="R93" s="213"/>
      <c r="S93" s="213"/>
      <c r="T93" s="213"/>
      <c r="U93" s="213"/>
      <c r="V93" s="213"/>
      <c r="W93" s="213"/>
      <c r="X93" s="213"/>
      <c r="Y93" s="213">
        <v>2454.7306673239264</v>
      </c>
      <c r="Z93" s="213"/>
      <c r="AA93" s="213"/>
      <c r="AB93" s="213"/>
      <c r="AC93" s="213"/>
      <c r="AD93" s="213"/>
      <c r="AE93" s="213"/>
      <c r="AF93" s="213"/>
      <c r="AG93" s="213">
        <v>2376.0241542917001</v>
      </c>
      <c r="AH93" s="213"/>
      <c r="AI93" s="213"/>
      <c r="AJ93" s="213">
        <v>13783.905847556842</v>
      </c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0</v>
      </c>
      <c r="BI93" s="213">
        <v>189.72559089267861</v>
      </c>
      <c r="BJ93" s="229" t="s">
        <v>233</v>
      </c>
      <c r="BK93" s="213">
        <v>0</v>
      </c>
      <c r="BL93" s="213">
        <v>0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55725.725590892682</v>
      </c>
      <c r="CF93" s="20"/>
    </row>
    <row r="94" spans="1:84" x14ac:dyDescent="0.35">
      <c r="A94" s="26" t="s">
        <v>278</v>
      </c>
      <c r="B94" s="20"/>
      <c r="C94" s="213">
        <v>85808.99</v>
      </c>
      <c r="D94" s="213">
        <v>90076.14</v>
      </c>
      <c r="E94" s="213">
        <v>145414.64000000001</v>
      </c>
      <c r="F94" s="213">
        <v>0</v>
      </c>
      <c r="G94" s="213">
        <v>0</v>
      </c>
      <c r="H94" s="213">
        <v>71239.28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97497.16</v>
      </c>
      <c r="P94" s="213">
        <v>60612.5</v>
      </c>
      <c r="Q94" s="213">
        <v>0</v>
      </c>
      <c r="R94" s="213">
        <v>6704.73</v>
      </c>
      <c r="S94" s="213">
        <v>10620.9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80048.259999999995</v>
      </c>
      <c r="Z94" s="213">
        <v>0</v>
      </c>
      <c r="AA94" s="213">
        <v>7961.76</v>
      </c>
      <c r="AB94" s="213">
        <v>1797.05</v>
      </c>
      <c r="AC94" s="213">
        <v>5834.07</v>
      </c>
      <c r="AD94" s="213">
        <v>0</v>
      </c>
      <c r="AE94" s="213">
        <v>0</v>
      </c>
      <c r="AF94" s="213">
        <v>0</v>
      </c>
      <c r="AG94" s="213">
        <v>162949.82</v>
      </c>
      <c r="AH94" s="213">
        <v>0</v>
      </c>
      <c r="AI94" s="213">
        <v>33713.61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63616.94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5306.24</v>
      </c>
      <c r="AW94" s="213">
        <v>0</v>
      </c>
      <c r="AX94" s="265" t="s">
        <v>233</v>
      </c>
      <c r="AY94" s="265" t="s">
        <v>233</v>
      </c>
      <c r="AZ94" s="229" t="s">
        <v>233</v>
      </c>
      <c r="BA94" s="229" t="s">
        <v>233</v>
      </c>
      <c r="BB94" s="213">
        <v>0</v>
      </c>
      <c r="BC94" s="213">
        <v>0</v>
      </c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929202.09000000008</v>
      </c>
      <c r="CF94" s="32">
        <f>BA60</f>
        <v>0</v>
      </c>
    </row>
    <row r="95" spans="1:84" x14ac:dyDescent="0.35">
      <c r="A95" s="26" t="s">
        <v>279</v>
      </c>
      <c r="B95" s="20"/>
      <c r="C95" s="243">
        <v>47.237006842844245</v>
      </c>
      <c r="D95" s="243">
        <v>44.037182185748328</v>
      </c>
      <c r="E95" s="243">
        <v>30.812029447833968</v>
      </c>
      <c r="F95" s="243">
        <v>0</v>
      </c>
      <c r="G95" s="243">
        <v>0</v>
      </c>
      <c r="H95" s="243">
        <v>33.480012324180827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27.16794451682631</v>
      </c>
      <c r="P95" s="244">
        <v>9.1694390398398049</v>
      </c>
      <c r="Q95" s="244">
        <v>0</v>
      </c>
      <c r="R95" s="244">
        <v>8.629168491968608</v>
      </c>
      <c r="S95" s="245">
        <v>0</v>
      </c>
      <c r="T95" s="245">
        <v>0</v>
      </c>
      <c r="U95" s="246">
        <v>0</v>
      </c>
      <c r="V95" s="244">
        <v>0</v>
      </c>
      <c r="W95" s="244">
        <v>0</v>
      </c>
      <c r="X95" s="244">
        <v>0</v>
      </c>
      <c r="Y95" s="244">
        <v>3.9700787665794408</v>
      </c>
      <c r="Z95" s="244">
        <v>0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61.470605471031426</v>
      </c>
      <c r="AH95" s="244">
        <v>0</v>
      </c>
      <c r="AI95" s="244">
        <v>6.2543897251706326</v>
      </c>
      <c r="AJ95" s="244">
        <v>5.1368780814880992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9.260880135717688</v>
      </c>
      <c r="AW95" s="265">
        <v>0.15556780819786745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286.78118283742725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98001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1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1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17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7425</v>
      </c>
      <c r="D128" s="220">
        <v>48661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1142</v>
      </c>
      <c r="D131" s="220">
        <v>1717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16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19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32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40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58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165</v>
      </c>
    </row>
    <row r="145" spans="1:6" x14ac:dyDescent="0.35">
      <c r="A145" s="20" t="s">
        <v>325</v>
      </c>
      <c r="B145" s="46" t="s">
        <v>284</v>
      </c>
      <c r="C145" s="47">
        <v>195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25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2872</v>
      </c>
      <c r="C155" s="50">
        <v>2483</v>
      </c>
      <c r="D155" s="50">
        <v>2070</v>
      </c>
      <c r="E155" s="32">
        <f>SUM(B155:D155)</f>
        <v>7425</v>
      </c>
    </row>
    <row r="156" spans="1:6" x14ac:dyDescent="0.35">
      <c r="A156" s="20" t="s">
        <v>227</v>
      </c>
      <c r="B156" s="50">
        <v>29181</v>
      </c>
      <c r="C156" s="50">
        <v>11015</v>
      </c>
      <c r="D156" s="50">
        <v>8465</v>
      </c>
      <c r="E156" s="32">
        <f>SUM(B156:D156)</f>
        <v>48661</v>
      </c>
    </row>
    <row r="157" spans="1:6" x14ac:dyDescent="0.35">
      <c r="A157" s="20" t="s">
        <v>332</v>
      </c>
      <c r="B157" s="50">
        <v>12700.635874580408</v>
      </c>
      <c r="C157" s="50">
        <v>9347.4967560884979</v>
      </c>
      <c r="D157" s="50">
        <v>10279.867369331094</v>
      </c>
      <c r="E157" s="32">
        <f>SUM(B157:D157)</f>
        <v>32328</v>
      </c>
    </row>
    <row r="158" spans="1:6" x14ac:dyDescent="0.35">
      <c r="A158" s="20" t="s">
        <v>272</v>
      </c>
      <c r="B158" s="50">
        <v>186733825.51261923</v>
      </c>
      <c r="C158" s="50">
        <v>137433577.77264598</v>
      </c>
      <c r="D158" s="50">
        <v>151141956.87473476</v>
      </c>
      <c r="E158" s="32">
        <f>SUM(B158:D158)</f>
        <v>475309360.15999997</v>
      </c>
      <c r="F158" s="18"/>
    </row>
    <row r="159" spans="1:6" x14ac:dyDescent="0.35">
      <c r="A159" s="20" t="s">
        <v>273</v>
      </c>
      <c r="B159" s="50">
        <v>159190160.97976336</v>
      </c>
      <c r="C159" s="50">
        <v>117161812.05838278</v>
      </c>
      <c r="D159" s="50">
        <v>128848174.02329448</v>
      </c>
      <c r="E159" s="32">
        <f>SUM(B159:D159)</f>
        <v>405200147.06144059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5377156.6499999994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/>
      <c r="D183" s="20"/>
      <c r="E183" s="20"/>
    </row>
    <row r="184" spans="1:5" x14ac:dyDescent="0.35">
      <c r="A184" s="25" t="s">
        <v>343</v>
      </c>
      <c r="B184" s="46" t="s">
        <v>284</v>
      </c>
      <c r="C184" s="216"/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9567061.6599999983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/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4825010.6499999994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51455.989999999991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19820684.949999996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291404.25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983473.29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1274877.54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2432487.1800000002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2432487.1800000002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90242.22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1469363.7699999998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1559605.9899999998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3714174.3600000013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3714174.3600000013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10662099.630000001</v>
      </c>
      <c r="C212" s="216">
        <v>0</v>
      </c>
      <c r="D212" s="220">
        <v>0</v>
      </c>
      <c r="E212" s="32">
        <f t="shared" ref="E212:E220" si="16">SUM(B212:C212)-D212</f>
        <v>10662099.630000001</v>
      </c>
    </row>
    <row r="213" spans="1:5" x14ac:dyDescent="0.35">
      <c r="A213" s="20" t="s">
        <v>367</v>
      </c>
      <c r="B213" s="220">
        <v>25229.74</v>
      </c>
      <c r="C213" s="216">
        <v>0</v>
      </c>
      <c r="D213" s="220">
        <v>0</v>
      </c>
      <c r="E213" s="32">
        <f t="shared" si="16"/>
        <v>25229.74</v>
      </c>
    </row>
    <row r="214" spans="1:5" x14ac:dyDescent="0.35">
      <c r="A214" s="20" t="s">
        <v>368</v>
      </c>
      <c r="B214" s="220">
        <v>141950442.38999999</v>
      </c>
      <c r="C214" s="216">
        <v>2362312.83</v>
      </c>
      <c r="D214" s="220">
        <v>0</v>
      </c>
      <c r="E214" s="32">
        <f t="shared" si="16"/>
        <v>144312755.22</v>
      </c>
    </row>
    <row r="215" spans="1:5" x14ac:dyDescent="0.35">
      <c r="A215" s="20" t="s">
        <v>369</v>
      </c>
      <c r="B215" s="220">
        <v>0</v>
      </c>
      <c r="C215" s="216">
        <v>0</v>
      </c>
      <c r="D215" s="220">
        <v>0</v>
      </c>
      <c r="E215" s="32">
        <f t="shared" si="16"/>
        <v>0</v>
      </c>
    </row>
    <row r="216" spans="1:5" x14ac:dyDescent="0.35">
      <c r="A216" s="20" t="s">
        <v>370</v>
      </c>
      <c r="B216" s="220">
        <v>5325524.6100000003</v>
      </c>
      <c r="C216" s="216">
        <v>598258.15</v>
      </c>
      <c r="D216" s="220">
        <v>0</v>
      </c>
      <c r="E216" s="32">
        <f t="shared" si="16"/>
        <v>5923782.7600000007</v>
      </c>
    </row>
    <row r="217" spans="1:5" x14ac:dyDescent="0.35">
      <c r="A217" s="20" t="s">
        <v>371</v>
      </c>
      <c r="B217" s="220">
        <v>44054975.060000002</v>
      </c>
      <c r="C217" s="216">
        <v>2336473.4500000002</v>
      </c>
      <c r="D217" s="220">
        <v>2022949.0299999998</v>
      </c>
      <c r="E217" s="32">
        <f t="shared" si="16"/>
        <v>44368499.480000004</v>
      </c>
    </row>
    <row r="218" spans="1:5" x14ac:dyDescent="0.35">
      <c r="A218" s="20" t="s">
        <v>372</v>
      </c>
      <c r="B218" s="220">
        <v>0</v>
      </c>
      <c r="C218" s="216">
        <v>0</v>
      </c>
      <c r="D218" s="220">
        <v>0</v>
      </c>
      <c r="E218" s="32">
        <f t="shared" si="16"/>
        <v>0</v>
      </c>
    </row>
    <row r="219" spans="1:5" x14ac:dyDescent="0.35">
      <c r="A219" s="20" t="s">
        <v>373</v>
      </c>
      <c r="B219" s="220">
        <v>2438865.39</v>
      </c>
      <c r="C219" s="216">
        <v>0</v>
      </c>
      <c r="D219" s="220">
        <v>195000</v>
      </c>
      <c r="E219" s="32">
        <f t="shared" si="16"/>
        <v>2243865.39</v>
      </c>
    </row>
    <row r="220" spans="1:5" x14ac:dyDescent="0.35">
      <c r="A220" s="20" t="s">
        <v>374</v>
      </c>
      <c r="B220" s="220">
        <v>0</v>
      </c>
      <c r="C220" s="216">
        <v>0</v>
      </c>
      <c r="D220" s="220">
        <v>0</v>
      </c>
      <c r="E220" s="32">
        <f t="shared" si="16"/>
        <v>0</v>
      </c>
    </row>
    <row r="221" spans="1:5" x14ac:dyDescent="0.35">
      <c r="A221" s="20" t="s">
        <v>215</v>
      </c>
      <c r="B221" s="32">
        <f>SUM(B212:B220)</f>
        <v>204457136.81999999</v>
      </c>
      <c r="C221" s="266">
        <f>SUM(C212:C220)</f>
        <v>5297044.43</v>
      </c>
      <c r="D221" s="32">
        <f>SUM(D212:D220)</f>
        <v>2217949.0299999998</v>
      </c>
      <c r="E221" s="32">
        <f>SUM(E212:E220)</f>
        <v>207536232.21999997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14374.54</v>
      </c>
      <c r="C226" s="216">
        <v>2769.7899999999995</v>
      </c>
      <c r="D226" s="220">
        <v>0</v>
      </c>
      <c r="E226" s="32">
        <f t="shared" ref="E226:E233" si="17">SUM(B226:C226)-D226</f>
        <v>17144.330000000002</v>
      </c>
    </row>
    <row r="227" spans="1:5" x14ac:dyDescent="0.35">
      <c r="A227" s="20" t="s">
        <v>368</v>
      </c>
      <c r="B227" s="220">
        <v>40458972.300000004</v>
      </c>
      <c r="C227" s="216">
        <v>7608240.9900000123</v>
      </c>
      <c r="D227" s="220">
        <v>0</v>
      </c>
      <c r="E227" s="32">
        <f t="shared" si="17"/>
        <v>48067213.290000014</v>
      </c>
    </row>
    <row r="228" spans="1:5" x14ac:dyDescent="0.35">
      <c r="A228" s="20" t="s">
        <v>369</v>
      </c>
      <c r="B228" s="220">
        <v>0</v>
      </c>
      <c r="C228" s="216">
        <v>0</v>
      </c>
      <c r="D228" s="220">
        <v>0</v>
      </c>
      <c r="E228" s="32">
        <f t="shared" si="17"/>
        <v>0</v>
      </c>
    </row>
    <row r="229" spans="1:5" x14ac:dyDescent="0.35">
      <c r="A229" s="20" t="s">
        <v>370</v>
      </c>
      <c r="B229" s="220">
        <v>1334025.1300000001</v>
      </c>
      <c r="C229" s="216">
        <v>550510.89000000036</v>
      </c>
      <c r="D229" s="220">
        <v>0</v>
      </c>
      <c r="E229" s="32">
        <f t="shared" si="17"/>
        <v>1884536.0200000005</v>
      </c>
    </row>
    <row r="230" spans="1:5" x14ac:dyDescent="0.35">
      <c r="A230" s="20" t="s">
        <v>371</v>
      </c>
      <c r="B230" s="220">
        <v>32575054.27</v>
      </c>
      <c r="C230" s="216">
        <v>2854074.649999999</v>
      </c>
      <c r="D230" s="220">
        <v>2022949.0299999998</v>
      </c>
      <c r="E230" s="32">
        <f t="shared" si="17"/>
        <v>33406179.890000001</v>
      </c>
    </row>
    <row r="231" spans="1:5" x14ac:dyDescent="0.35">
      <c r="A231" s="20" t="s">
        <v>372</v>
      </c>
      <c r="B231" s="220">
        <v>0</v>
      </c>
      <c r="C231" s="216">
        <v>0</v>
      </c>
      <c r="D231" s="220">
        <v>0</v>
      </c>
      <c r="E231" s="32">
        <f t="shared" si="17"/>
        <v>0</v>
      </c>
    </row>
    <row r="232" spans="1:5" x14ac:dyDescent="0.35">
      <c r="A232" s="20" t="s">
        <v>373</v>
      </c>
      <c r="B232" s="220">
        <v>1221583.7400000002</v>
      </c>
      <c r="C232" s="216">
        <v>205737.74000000002</v>
      </c>
      <c r="D232" s="220">
        <v>195000</v>
      </c>
      <c r="E232" s="32">
        <f t="shared" si="17"/>
        <v>1232321.4800000002</v>
      </c>
    </row>
    <row r="233" spans="1:5" x14ac:dyDescent="0.35">
      <c r="A233" s="20" t="s">
        <v>374</v>
      </c>
      <c r="B233" s="220">
        <v>0</v>
      </c>
      <c r="C233" s="216">
        <v>0</v>
      </c>
      <c r="D233" s="220">
        <v>0</v>
      </c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75604009.980000004</v>
      </c>
      <c r="C234" s="266">
        <f>SUM(C225:C233)</f>
        <v>11221334.060000012</v>
      </c>
      <c r="D234" s="32">
        <f>SUM(D225:D233)</f>
        <v>2217949.0299999998</v>
      </c>
      <c r="E234" s="32">
        <f>SUM(E225:E233)</f>
        <v>84607395.01000002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36" t="s">
        <v>377</v>
      </c>
      <c r="C237" s="336"/>
      <c r="D237" s="38"/>
      <c r="E237" s="38"/>
    </row>
    <row r="238" spans="1:5" x14ac:dyDescent="0.35">
      <c r="A238" s="56" t="s">
        <v>377</v>
      </c>
      <c r="B238" s="38"/>
      <c r="C238" s="216">
        <v>9198974.0999999959</v>
      </c>
      <c r="D238" s="40">
        <f>C238</f>
        <v>9198974.0999999959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241033638.38266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160895626.96194813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15511263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7829883.0864121364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201872335.74897924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627142747.17999947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4403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9671589.1464058198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8245342.0535941767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17916931.199999996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13429163.949999997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13429163.949999997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667687816.42999959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/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35687854.339999989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8042535.6800000016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0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3728614.85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210017.97999999998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31583951.489999987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10662099.630000001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25229.74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144312755.22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0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5923782.7599999998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44368499.479999997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2243865.39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207536232.21999997</v>
      </c>
      <c r="E292" s="20"/>
    </row>
    <row r="293" spans="1:5" x14ac:dyDescent="0.35">
      <c r="A293" s="20" t="s">
        <v>416</v>
      </c>
      <c r="B293" s="46" t="s">
        <v>284</v>
      </c>
      <c r="C293" s="47">
        <v>84607395.010000005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122928837.20999996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8366193.2600000007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8366193.2600000007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162878981.95999995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2754256.71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0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0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224664.06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1034247.73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4013168.5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>
        <v>0</v>
      </c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260336599.84999999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260336599.84999999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260336599.84999999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-101470786.39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162878981.95999998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162878981.95999995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475309360.16000003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405200146.87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880509507.02999997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9198974.0999999996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640571911.13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17916931.199999999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667687816.43000007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212821690.5999999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15657099.589999998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15657099.589999998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15657099.589999998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228478790.18999991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101757913.62000002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19820684.950000003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8225414.3399999999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26823415.169999994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1129224.6400000001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50312844.109999999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9679560.0100000016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1274877.5400000003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2432487.1799999997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1559605.99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3714174.3600000013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9315905.9900000002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9315905.9900000002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236046107.90000001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-7567317.7100000978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-7567317.7100000978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-7567317.7100000978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159585.67499999996</v>
      </c>
      <c r="E613" s="258">
        <f>SUM(C625:D648)+SUM(C669:D714)</f>
        <v>154733109.2074821</v>
      </c>
      <c r="F613" s="258">
        <f>CE65-(AX65+BD65+BE65+BG65+BJ65+BN65+BP65+BQ65+CB65+CC65+CD65)</f>
        <v>26277598.419999994</v>
      </c>
      <c r="G613" s="256">
        <f>CE92-(AX92+AY92+BD92+BE92+BG92+BJ92+BN92+BP92+BQ92+CB92+CC92+CD92)</f>
        <v>151205</v>
      </c>
      <c r="H613" s="261">
        <f>CE61-(AX61+AY61+AZ61+BD61+BE61+BG61+BJ61+BN61+BO61+BP61+BQ61+BR61+CB61+CC61+CD61)</f>
        <v>765.55166290882858</v>
      </c>
      <c r="I613" s="256">
        <f>CE93-(AX93+AY93+AZ93+BD93+BE93+BF93+BG93+BJ93+BN93+BO93+BP93+BQ93+BR93+CB93+CC93+CD93)</f>
        <v>55725.725590892682</v>
      </c>
      <c r="J613" s="256">
        <f>CE94-(AX94+AY94+AZ94+BA94+BD94+BE94+BF94+BG94+BJ94+BN94+BO94+BP94+BQ94+BR94+CB94+CC94+CD94)</f>
        <v>929202.09000000008</v>
      </c>
      <c r="K613" s="256">
        <f>CE90-(AW90+AX90+AY90+AZ90+BA90+BB90+BC90+BD90+BE90+BF90+BG90+BH90+BI90+BJ90+BK90+BL90+BM90+BN90+BO90+BP90+BQ90+BR90+BS90+BT90+BU90+BV90+BW90+BX90+CB90+CC90+CD90)</f>
        <v>874428471.39999998</v>
      </c>
      <c r="L613" s="262">
        <f>CE95-(AW95+AX95+AY95+AZ95+BA95+BB95+BC95+BD95+BE95+BF95+BG95+BH95+BI95+BJ95+BK95+BL95+BM95+BN95+BO95+BP95+BQ95+BR95+BS95+BT95+BU95+BV95+BW95+BX95+BY95+BZ95+CA95+CB95+CC95+CD95)</f>
        <v>286.62561502922938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2096626.9500000002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7706267.5300000012</v>
      </c>
      <c r="D616" s="256">
        <f>SUM(C615:C616)</f>
        <v>9802894.4800000004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5838541.8899999997</v>
      </c>
      <c r="D620" s="256">
        <f>(D616/D613)*BN91</f>
        <v>326521.58703432011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59463630.420000002</v>
      </c>
      <c r="D621" s="256">
        <f>(D616/D613)*CC91</f>
        <v>27204.245483547329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65655898.142517872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897108.39999999991</v>
      </c>
      <c r="D625" s="256">
        <f>(D616/D613)*BD91</f>
        <v>72101.969570479327</v>
      </c>
      <c r="E625" s="258">
        <f>(E624/E613)*SUM(C625:D625)</f>
        <v>411252.49553322134</v>
      </c>
      <c r="F625" s="258">
        <f>SUM(C625:E625)</f>
        <v>1380462.8651037007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2211830.0999999996</v>
      </c>
      <c r="D626" s="256">
        <f>(D616/D613)*AY91</f>
        <v>367366.9615049999</v>
      </c>
      <c r="E626" s="258">
        <f>(E624/E613)*SUM(C626:D626)</f>
        <v>1094397.3169477633</v>
      </c>
      <c r="F626" s="258">
        <f>(F625/F613)*AY65</f>
        <v>25835.964850695156</v>
      </c>
      <c r="G626" s="256">
        <f>SUM(C626:F626)</f>
        <v>3699430.3433034583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0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2839792.61</v>
      </c>
      <c r="D630" s="256">
        <f>(D616/D613)*BF91</f>
        <v>137311.19773668915</v>
      </c>
      <c r="E630" s="258">
        <f>(E624/E613)*SUM(C630:D630)</f>
        <v>1263235.9380716851</v>
      </c>
      <c r="F630" s="258">
        <f>(F625/F613)*BF65</f>
        <v>6244.113142097186</v>
      </c>
      <c r="G630" s="256">
        <f>(G626/G613)*BF92</f>
        <v>0</v>
      </c>
      <c r="H630" s="258">
        <f>(H629/H613)*BF61</f>
        <v>0</v>
      </c>
      <c r="I630" s="256">
        <f>SUM(C630:H630)</f>
        <v>4246583.8589504715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52127.659999999996</v>
      </c>
      <c r="D631" s="256">
        <f>(D616/D613)*BA91</f>
        <v>0</v>
      </c>
      <c r="E631" s="258">
        <f>(E624/E613)*SUM(C631:D631)</f>
        <v>22118.655489424553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74246.315489424553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1101022.32</v>
      </c>
      <c r="D632" s="256">
        <f>(D616/D613)*AW91</f>
        <v>0</v>
      </c>
      <c r="E632" s="258">
        <f>(E624/E613)*SUM(C632:D632)</f>
        <v>467182.55494773714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1252649.5199999996</v>
      </c>
      <c r="D633" s="256">
        <f>(D616/D613)*BB91</f>
        <v>0</v>
      </c>
      <c r="E633" s="258">
        <f>(E624/E613)*SUM(C633:D633)</f>
        <v>531520.56282351876</v>
      </c>
      <c r="F633" s="258">
        <f>(F625/F613)*BB65</f>
        <v>11.110904859068652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443528.97000000003</v>
      </c>
      <c r="D634" s="256">
        <f>(D616/D613)*BC91</f>
        <v>47812.442736184203</v>
      </c>
      <c r="E634" s="258">
        <f>(E624/E613)*SUM(C634:D634)</f>
        <v>208484.54421316471</v>
      </c>
      <c r="F634" s="258">
        <f>(F625/F613)*BC65</f>
        <v>337.53510548464305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14458.055473868315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1187904.7000000002</v>
      </c>
      <c r="D638" s="256">
        <f>(D616/D613)*BL91</f>
        <v>0</v>
      </c>
      <c r="E638" s="258">
        <f>(E624/E613)*SUM(C638:D638)</f>
        <v>504048.23108438461</v>
      </c>
      <c r="F638" s="258">
        <f>(F625/F613)*BL65</f>
        <v>1592.5330855172413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0</v>
      </c>
      <c r="D643" s="256">
        <f>(D616/D613)*BV91</f>
        <v>0</v>
      </c>
      <c r="E643" s="258">
        <f>(E624/E613)*SUM(C643:D643)</f>
        <v>0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1346516.9400000002</v>
      </c>
      <c r="D645" s="256">
        <f>(D616/D613)*BX91</f>
        <v>10511.415284721517</v>
      </c>
      <c r="E645" s="258">
        <f>(E624/E613)*SUM(C645:D645)</f>
        <v>575810.28344497306</v>
      </c>
      <c r="F645" s="258">
        <f>(F625/F613)*BX65</f>
        <v>379.11615657212019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7693770.8352609854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1321363.93</v>
      </c>
      <c r="D646" s="256">
        <f>(D616/D613)*BY91</f>
        <v>33697.09608894158</v>
      </c>
      <c r="E646" s="258">
        <f>(E624/E613)*SUM(C646:D646)</f>
        <v>574975.51210254664</v>
      </c>
      <c r="F646" s="258">
        <f>(F625/F613)*BY65</f>
        <v>550.82297705375572</v>
      </c>
      <c r="G646" s="256">
        <f>(G626/G613)*BY92</f>
        <v>0</v>
      </c>
      <c r="H646" s="258">
        <f>(H629/H613)*BY61</f>
        <v>0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1144844.53</v>
      </c>
      <c r="D647" s="256">
        <f>(D616/D613)*BZ91</f>
        <v>7616.9675976242879</v>
      </c>
      <c r="E647" s="258">
        <f>(E624/E613)*SUM(C647:D647)</f>
        <v>489009.07560761669</v>
      </c>
      <c r="F647" s="258">
        <f>(F625/F613)*BZ65</f>
        <v>3.4146988928579782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3572061.3490726757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88903756.469999999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12816878.630000001</v>
      </c>
      <c r="D669" s="256">
        <f>(D616/D613)*C91</f>
        <v>588270.0787245523</v>
      </c>
      <c r="E669" s="258">
        <f>(E624/E613)*SUM(C669:D669)</f>
        <v>5688033.3027184187</v>
      </c>
      <c r="F669" s="258">
        <f>(F625/F613)*C65</f>
        <v>60170.280483169096</v>
      </c>
      <c r="G669" s="256">
        <f>(G626/G613)*C92</f>
        <v>229176.04593580565</v>
      </c>
      <c r="H669" s="258">
        <f>(H629/H613)*C61</f>
        <v>0</v>
      </c>
      <c r="I669" s="256">
        <f>(I630/I613)*C93</f>
        <v>593438.14283761103</v>
      </c>
      <c r="J669" s="256">
        <f>(J631/J613)*C94</f>
        <v>6856.4216675070929</v>
      </c>
      <c r="K669" s="256">
        <f>(K645/K613)*C90</f>
        <v>309662.2051596361</v>
      </c>
      <c r="L669" s="256">
        <f>(L648/L613)*C95</f>
        <v>588689.48740676371</v>
      </c>
      <c r="M669" s="231">
        <f t="shared" ref="M669:M714" si="18">ROUND(SUM(D669:L669),0)</f>
        <v>8064296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11876198.350000001</v>
      </c>
      <c r="D670" s="256">
        <f>(D616/D613)*D91</f>
        <v>733477.73762797192</v>
      </c>
      <c r="E670" s="258">
        <f>(E624/E613)*SUM(C670:D670)</f>
        <v>5350500.6980071235</v>
      </c>
      <c r="F670" s="258">
        <f>(F625/F613)*D65</f>
        <v>48684.412266720326</v>
      </c>
      <c r="G670" s="256">
        <f>(G626/G613)*D92</f>
        <v>485265.04698310763</v>
      </c>
      <c r="H670" s="258">
        <f>(H629/H613)*D61</f>
        <v>0</v>
      </c>
      <c r="I670" s="256">
        <f>(I630/I613)*D93</f>
        <v>407070.57608151931</v>
      </c>
      <c r="J670" s="256">
        <f>(J631/J613)*D94</f>
        <v>7197.3810438906503</v>
      </c>
      <c r="K670" s="256">
        <f>(K645/K613)*D90</f>
        <v>406026.9666536327</v>
      </c>
      <c r="L670" s="256">
        <f>(L648/L613)*D95</f>
        <v>548811.78847794863</v>
      </c>
      <c r="M670" s="231">
        <f t="shared" si="18"/>
        <v>7987035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8748564.9199999999</v>
      </c>
      <c r="D671" s="256">
        <f>(D616/D613)*E91</f>
        <v>1293917.0138569144</v>
      </c>
      <c r="E671" s="258">
        <f>(E624/E613)*SUM(C671:D671)</f>
        <v>4261196.4195928061</v>
      </c>
      <c r="F671" s="258">
        <f>(F625/F613)*E65</f>
        <v>42642.555417415155</v>
      </c>
      <c r="G671" s="256">
        <f>(G626/G613)*E92</f>
        <v>794274.70430874289</v>
      </c>
      <c r="H671" s="258">
        <f>(H629/H613)*E61</f>
        <v>0</v>
      </c>
      <c r="I671" s="256">
        <f>(I630/I613)*E93</f>
        <v>547889.35320132738</v>
      </c>
      <c r="J671" s="256">
        <f>(J631/J613)*E94</f>
        <v>11619.109937883475</v>
      </c>
      <c r="K671" s="256">
        <f>(K645/K613)*E90</f>
        <v>244793.72189929281</v>
      </c>
      <c r="L671" s="256">
        <f>(L648/L613)*E95</f>
        <v>383993.80134211981</v>
      </c>
      <c r="M671" s="231">
        <f t="shared" si="18"/>
        <v>7580327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13260.746973119105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13261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12335147.880000003</v>
      </c>
      <c r="D674" s="256">
        <f>(D616/D613)*H91</f>
        <v>976150.02538721915</v>
      </c>
      <c r="E674" s="258">
        <f>(E624/E613)*SUM(C674:D674)</f>
        <v>5648210.8056712821</v>
      </c>
      <c r="F674" s="258">
        <f>(F625/F613)*H65</f>
        <v>13785.897493621873</v>
      </c>
      <c r="G674" s="256">
        <f>(G626/G613)*H92</f>
        <v>1094011.6252823262</v>
      </c>
      <c r="H674" s="258">
        <f>(H629/H613)*H61</f>
        <v>0</v>
      </c>
      <c r="I674" s="256">
        <f>(I630/I613)*H93</f>
        <v>382036.1268157757</v>
      </c>
      <c r="J674" s="256">
        <f>(J631/J613)*H94</f>
        <v>5692.253725042151</v>
      </c>
      <c r="K674" s="256">
        <f>(K645/K613)*H90</f>
        <v>698631.9868559367</v>
      </c>
      <c r="L674" s="256">
        <f>(L648/L613)*H95</f>
        <v>417243.44133544172</v>
      </c>
      <c r="M674" s="231">
        <f t="shared" si="18"/>
        <v>9235762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7638516.0500000007</v>
      </c>
      <c r="D681" s="256">
        <f>(D616/D613)*O91</f>
        <v>853346.07956610201</v>
      </c>
      <c r="E681" s="258">
        <f>(E624/E613)*SUM(C681:D681)</f>
        <v>3603241.9814655748</v>
      </c>
      <c r="F681" s="258">
        <f>(F625/F613)*O65</f>
        <v>42425.764064781972</v>
      </c>
      <c r="G681" s="256">
        <f>(G626/G613)*O92</f>
        <v>265679.79959612613</v>
      </c>
      <c r="H681" s="258">
        <f>(H629/H613)*O61</f>
        <v>0</v>
      </c>
      <c r="I681" s="256">
        <f>(I630/I613)*O93</f>
        <v>404984.37197604071</v>
      </c>
      <c r="J681" s="256">
        <f>(J631/J613)*O94</f>
        <v>7790.3450482799744</v>
      </c>
      <c r="K681" s="256">
        <f>(K645/K613)*O90</f>
        <v>197171.9535223046</v>
      </c>
      <c r="L681" s="256">
        <f>(L648/L613)*O95</f>
        <v>338579.52483559336</v>
      </c>
      <c r="M681" s="231">
        <f t="shared" si="18"/>
        <v>5713220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12786601.420000002</v>
      </c>
      <c r="D682" s="256">
        <f>(D616/D613)*P91</f>
        <v>795723.71969007398</v>
      </c>
      <c r="E682" s="258">
        <f>(E624/E613)*SUM(C682:D682)</f>
        <v>5763212.2851889953</v>
      </c>
      <c r="F682" s="258">
        <f>(F625/F613)*P65</f>
        <v>422624.12749822013</v>
      </c>
      <c r="G682" s="256">
        <f>(G626/G613)*P92</f>
        <v>0</v>
      </c>
      <c r="H682" s="258">
        <f>(H629/H613)*P61</f>
        <v>0</v>
      </c>
      <c r="I682" s="256">
        <f>(I630/I613)*P93</f>
        <v>478175.3660099163</v>
      </c>
      <c r="J682" s="256">
        <f>(J631/J613)*P94</f>
        <v>4843.1389102910271</v>
      </c>
      <c r="K682" s="256">
        <f>(K645/K613)*P90</f>
        <v>1196548.4481655194</v>
      </c>
      <c r="L682" s="256">
        <f>(L648/L613)*P95</f>
        <v>114273.80202411316</v>
      </c>
      <c r="M682" s="231">
        <f t="shared" si="18"/>
        <v>8775401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2004258.4600000002</v>
      </c>
      <c r="D684" s="256">
        <f>(D616/D613)*R91</f>
        <v>332921.68263106584</v>
      </c>
      <c r="E684" s="258">
        <f>(E624/E613)*SUM(C684:D684)</f>
        <v>991705.40921232011</v>
      </c>
      <c r="F684" s="258">
        <f>(F625/F613)*R65</f>
        <v>1003.3598878669434</v>
      </c>
      <c r="G684" s="256">
        <f>(G626/G613)*R92</f>
        <v>104471.19847826306</v>
      </c>
      <c r="H684" s="258">
        <f>(H629/H613)*R61</f>
        <v>0</v>
      </c>
      <c r="I684" s="256">
        <f>(I630/I613)*R93</f>
        <v>0</v>
      </c>
      <c r="J684" s="256">
        <f>(J631/J613)*R94</f>
        <v>535.73006798920289</v>
      </c>
      <c r="K684" s="256">
        <f>(K645/K613)*R90</f>
        <v>150790.66675325079</v>
      </c>
      <c r="L684" s="256">
        <f>(L648/L613)*R95</f>
        <v>107540.6998835518</v>
      </c>
      <c r="M684" s="231">
        <f t="shared" si="18"/>
        <v>1688969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1341279.8299999998</v>
      </c>
      <c r="D685" s="256">
        <f>(D616/D613)*S91</f>
        <v>210201.27774489037</v>
      </c>
      <c r="E685" s="258">
        <f>(E624/E613)*SUM(C685:D685)</f>
        <v>658319.9038775193</v>
      </c>
      <c r="F685" s="258">
        <f>(F625/F613)*S65</f>
        <v>11498.04135533266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>
        <f>(J631/J613)*S94</f>
        <v>848.64498333363531</v>
      </c>
      <c r="K685" s="256">
        <f>(K645/K613)*S90</f>
        <v>0</v>
      </c>
      <c r="L685" s="256">
        <f>(L648/L613)*S95</f>
        <v>0</v>
      </c>
      <c r="M685" s="231">
        <f t="shared" si="18"/>
        <v>880868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4650809.29</v>
      </c>
      <c r="D687" s="256">
        <f>(D616/D613)*U91</f>
        <v>299644.13403157407</v>
      </c>
      <c r="E687" s="258">
        <f>(E624/E613)*SUM(C687:D687)</f>
        <v>2100561.847637062</v>
      </c>
      <c r="F687" s="258">
        <f>(F625/F613)*U65</f>
        <v>81834.774042973295</v>
      </c>
      <c r="G687" s="256">
        <f>(G626/G613)*U92</f>
        <v>0</v>
      </c>
      <c r="H687" s="258">
        <f>(H629/H613)*U61</f>
        <v>0</v>
      </c>
      <c r="I687" s="256">
        <f>(I630/I613)*U93</f>
        <v>0</v>
      </c>
      <c r="J687" s="256">
        <f>(J631/J613)*U94</f>
        <v>0</v>
      </c>
      <c r="K687" s="256">
        <f>(K645/K613)*U90</f>
        <v>536675.77230047411</v>
      </c>
      <c r="L687" s="256">
        <f>(L648/L613)*U95</f>
        <v>0</v>
      </c>
      <c r="M687" s="231">
        <f t="shared" si="18"/>
        <v>3018717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42242.49459948991</v>
      </c>
      <c r="L688" s="256">
        <f>(L648/L613)*V95</f>
        <v>0</v>
      </c>
      <c r="M688" s="231">
        <f t="shared" si="18"/>
        <v>42242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551801.32999999996</v>
      </c>
      <c r="D689" s="256">
        <f>(D616/D613)*W91</f>
        <v>63189.503209678463</v>
      </c>
      <c r="E689" s="258">
        <f>(E624/E613)*SUM(C689:D689)</f>
        <v>260951.10290619289</v>
      </c>
      <c r="F689" s="258">
        <f>(F625/F613)*W65</f>
        <v>2504.0622640659917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112532.53098058504</v>
      </c>
      <c r="L689" s="256">
        <f>(L648/L613)*W95</f>
        <v>0</v>
      </c>
      <c r="M689" s="231">
        <f t="shared" si="18"/>
        <v>439177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1681615.2000000002</v>
      </c>
      <c r="D690" s="256">
        <f>(D616/D613)*X91</f>
        <v>118470.25982101719</v>
      </c>
      <c r="E690" s="258">
        <f>(E624/E613)*SUM(C690:D690)</f>
        <v>763806.97190903011</v>
      </c>
      <c r="F690" s="258">
        <f>(F625/F613)*X65</f>
        <v>15156.764612501802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615495.09414017689</v>
      </c>
      <c r="L690" s="256">
        <f>(L648/L613)*X95</f>
        <v>0</v>
      </c>
      <c r="M690" s="231">
        <f t="shared" si="18"/>
        <v>1512929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7567220.0700000012</v>
      </c>
      <c r="D691" s="256">
        <f>(D616/D613)*Y91</f>
        <v>748101.08687224984</v>
      </c>
      <c r="E691" s="258">
        <f>(E624/E613)*SUM(C691:D691)</f>
        <v>3528332.6347812382</v>
      </c>
      <c r="F691" s="258">
        <f>(F625/F613)*Y65</f>
        <v>118712.64109352509</v>
      </c>
      <c r="G691" s="256">
        <f>(G626/G613)*Y92</f>
        <v>0</v>
      </c>
      <c r="H691" s="258">
        <f>(H629/H613)*Y61</f>
        <v>0</v>
      </c>
      <c r="I691" s="256">
        <f>(I630/I613)*Y93</f>
        <v>187062.96812458459</v>
      </c>
      <c r="J691" s="256">
        <f>(J631/J613)*Y94</f>
        <v>6396.1203168833626</v>
      </c>
      <c r="K691" s="256">
        <f>(K645/K613)*Y90</f>
        <v>537186.28119127196</v>
      </c>
      <c r="L691" s="256">
        <f>(L648/L613)*Y95</f>
        <v>49476.962878653954</v>
      </c>
      <c r="M691" s="231">
        <f t="shared" si="18"/>
        <v>5175269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9206.0299999999988</v>
      </c>
      <c r="D692" s="256">
        <f>(D616/D613)*Z91</f>
        <v>0</v>
      </c>
      <c r="E692" s="258">
        <f>(E624/E613)*SUM(C692:D692)</f>
        <v>3906.2755933281314</v>
      </c>
      <c r="F692" s="258">
        <f>(F625/F613)*Z65</f>
        <v>483.62800690180507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166.70232559994929</v>
      </c>
      <c r="L692" s="256">
        <f>(L648/L613)*Z95</f>
        <v>0</v>
      </c>
      <c r="M692" s="231">
        <f t="shared" si="18"/>
        <v>4557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633559.3899999999</v>
      </c>
      <c r="D693" s="256">
        <f>(D616/D613)*AA91</f>
        <v>168130.43147120569</v>
      </c>
      <c r="E693" s="258">
        <f>(E624/E613)*SUM(C693:D693)</f>
        <v>340170.6689020737</v>
      </c>
      <c r="F693" s="258">
        <f>(F625/F613)*AA65</f>
        <v>11561.172833802108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636.17091607174575</v>
      </c>
      <c r="K693" s="256">
        <f>(K645/K613)*AA90</f>
        <v>50517.124095375373</v>
      </c>
      <c r="L693" s="256">
        <f>(L648/L613)*AA95</f>
        <v>0</v>
      </c>
      <c r="M693" s="231">
        <f t="shared" si="18"/>
        <v>571016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10802782.560000001</v>
      </c>
      <c r="D694" s="256">
        <f>(D616/D613)*AB91</f>
        <v>68182.916887185536</v>
      </c>
      <c r="E694" s="258">
        <f>(E624/E613)*SUM(C694:D694)</f>
        <v>4612736.1216808036</v>
      </c>
      <c r="F694" s="258">
        <f>(F625/F613)*AB65</f>
        <v>305971.27743062167</v>
      </c>
      <c r="G694" s="256">
        <f>(G626/G613)*AB92</f>
        <v>0</v>
      </c>
      <c r="H694" s="258">
        <f>(H629/H613)*AB61</f>
        <v>0</v>
      </c>
      <c r="I694" s="256">
        <f>(I630/I613)*AB93</f>
        <v>0</v>
      </c>
      <c r="J694" s="256">
        <f>(J631/J613)*AB94</f>
        <v>143.59022938731269</v>
      </c>
      <c r="K694" s="256">
        <f>(K645/K613)*AB90</f>
        <v>448027.49819115788</v>
      </c>
      <c r="L694" s="256">
        <f>(L648/L613)*AB95</f>
        <v>0</v>
      </c>
      <c r="M694" s="231">
        <f t="shared" si="18"/>
        <v>5435061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2980343.0900000003</v>
      </c>
      <c r="D695" s="256">
        <f>(D616/D613)*AC91</f>
        <v>79376.787897790971</v>
      </c>
      <c r="E695" s="258">
        <f>(E624/E613)*SUM(C695:D695)</f>
        <v>1298291.34615606</v>
      </c>
      <c r="F695" s="258">
        <f>(F625/F613)*AC65</f>
        <v>22723.313411074072</v>
      </c>
      <c r="G695" s="256">
        <f>(G626/G613)*AC92</f>
        <v>0</v>
      </c>
      <c r="H695" s="258">
        <f>(H629/H613)*AC61</f>
        <v>0</v>
      </c>
      <c r="I695" s="256">
        <f>(I630/I613)*AC93</f>
        <v>0</v>
      </c>
      <c r="J695" s="256">
        <f>(J631/J613)*AC94</f>
        <v>466.16145881396699</v>
      </c>
      <c r="K695" s="256">
        <f>(K645/K613)*AC90</f>
        <v>281733.6260198247</v>
      </c>
      <c r="L695" s="256">
        <f>(L648/L613)*AC95</f>
        <v>0</v>
      </c>
      <c r="M695" s="231">
        <f t="shared" si="18"/>
        <v>1682591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1097005.33</v>
      </c>
      <c r="D696" s="256">
        <f>(D616/D613)*AD91</f>
        <v>12948.230644380836</v>
      </c>
      <c r="E696" s="258">
        <f>(E624/E613)*SUM(C696:D696)</f>
        <v>470972.23272928741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18343.054111848534</v>
      </c>
      <c r="L696" s="256">
        <f>(L648/L613)*AD95</f>
        <v>0</v>
      </c>
      <c r="M696" s="231">
        <f t="shared" si="18"/>
        <v>502264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0</v>
      </c>
      <c r="D697" s="256">
        <f>(D616/D613)*AE91</f>
        <v>0</v>
      </c>
      <c r="E697" s="258">
        <f>(E624/E613)*SUM(C697:D697)</f>
        <v>0</v>
      </c>
      <c r="F697" s="258">
        <f>(F625/F613)*AE65</f>
        <v>0</v>
      </c>
      <c r="G697" s="256">
        <f>(G626/G613)*AE92</f>
        <v>0</v>
      </c>
      <c r="H697" s="258">
        <f>(H629/H613)*AE61</f>
        <v>0</v>
      </c>
      <c r="I697" s="256">
        <f>(I630/I613)*AE93</f>
        <v>0</v>
      </c>
      <c r="J697" s="256">
        <f>(J631/J613)*AE94</f>
        <v>0</v>
      </c>
      <c r="K697" s="256">
        <f>(K645/K613)*AE90</f>
        <v>0</v>
      </c>
      <c r="L697" s="256">
        <f>(L648/L613)*AE95</f>
        <v>0</v>
      </c>
      <c r="M697" s="231">
        <f t="shared" si="18"/>
        <v>0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19278076.84</v>
      </c>
      <c r="D699" s="256">
        <f>(D616/D613)*AG91</f>
        <v>1265367.2064763836</v>
      </c>
      <c r="E699" s="258">
        <f>(E624/E613)*SUM(C699:D699)</f>
        <v>8716933.8011773601</v>
      </c>
      <c r="F699" s="258">
        <f>(F625/F613)*AG65</f>
        <v>85884.967837308912</v>
      </c>
      <c r="G699" s="256">
        <f>(G626/G613)*AG92</f>
        <v>338246.91310585174</v>
      </c>
      <c r="H699" s="258">
        <f>(H629/H613)*AG61</f>
        <v>0</v>
      </c>
      <c r="I699" s="256">
        <f>(I630/I613)*AG93</f>
        <v>181065.13132133349</v>
      </c>
      <c r="J699" s="256">
        <f>(J631/J613)*AG94</f>
        <v>13020.228726202005</v>
      </c>
      <c r="K699" s="256">
        <f>(K645/K613)*AG90</f>
        <v>1425184.6396296176</v>
      </c>
      <c r="L699" s="256">
        <f>(L648/L613)*AG95</f>
        <v>766075.1949359962</v>
      </c>
      <c r="M699" s="231">
        <f t="shared" si="18"/>
        <v>12791778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1499838.74</v>
      </c>
      <c r="D701" s="256">
        <f>(D616/D613)*AI91</f>
        <v>6669.7608205648803</v>
      </c>
      <c r="E701" s="258">
        <f>(E624/E613)*SUM(C701:D701)</f>
        <v>639237.25948065845</v>
      </c>
      <c r="F701" s="258">
        <f>(F625/F613)*AI65</f>
        <v>14100.487923899676</v>
      </c>
      <c r="G701" s="256">
        <f>(G626/G613)*AI92</f>
        <v>13089.482713318674</v>
      </c>
      <c r="H701" s="258">
        <f>(H629/H613)*AI61</f>
        <v>0</v>
      </c>
      <c r="I701" s="256">
        <f>(I630/I613)*AI93</f>
        <v>0</v>
      </c>
      <c r="J701" s="256">
        <f>(J631/J613)*AI94</f>
        <v>2693.8287712497699</v>
      </c>
      <c r="K701" s="256">
        <f>(K645/K613)*AI90</f>
        <v>44084.927303361328</v>
      </c>
      <c r="L701" s="256">
        <f>(L648/L613)*AI95</f>
        <v>77945.105489057576</v>
      </c>
      <c r="M701" s="231">
        <f t="shared" si="18"/>
        <v>797821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2271154.0899999994</v>
      </c>
      <c r="D702" s="256">
        <f>(D616/D613)*AJ91</f>
        <v>0</v>
      </c>
      <c r="E702" s="258">
        <f>(E624/E613)*SUM(C702:D702)</f>
        <v>963689.42860867945</v>
      </c>
      <c r="F702" s="258">
        <f>(F625/F613)*AJ65</f>
        <v>6834.5986347989246</v>
      </c>
      <c r="G702" s="256">
        <f>(G626/G613)*AJ92</f>
        <v>0</v>
      </c>
      <c r="H702" s="258">
        <f>(H629/H613)*AJ61</f>
        <v>0</v>
      </c>
      <c r="I702" s="256">
        <f>(I630/I613)*AJ93</f>
        <v>1050403.7671084944</v>
      </c>
      <c r="J702" s="256">
        <f>(J631/J613)*AJ94</f>
        <v>0</v>
      </c>
      <c r="K702" s="256">
        <f>(K645/K613)*AJ90</f>
        <v>79369.845218919771</v>
      </c>
      <c r="L702" s="256">
        <f>(L648/L613)*AJ95</f>
        <v>64018.157092871923</v>
      </c>
      <c r="M702" s="231">
        <f t="shared" si="18"/>
        <v>2164316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42256.42</v>
      </c>
      <c r="D703" s="256">
        <f>(D616/D613)*AK91</f>
        <v>0</v>
      </c>
      <c r="E703" s="258">
        <f>(E624/E613)*SUM(C703:D703)</f>
        <v>17930.119943930524</v>
      </c>
      <c r="F703" s="258">
        <f>(F625/F613)*AK65</f>
        <v>15.937713078696207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1166.1613569169699</v>
      </c>
      <c r="L703" s="256">
        <f>(L648/L613)*AK95</f>
        <v>0</v>
      </c>
      <c r="M703" s="231">
        <f t="shared" si="18"/>
        <v>19112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880.78762183078925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881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36041.85</v>
      </c>
      <c r="D707" s="256">
        <f>(D616/D613)*AO91</f>
        <v>0</v>
      </c>
      <c r="E707" s="258">
        <f>(E624/E613)*SUM(C707:D707)</f>
        <v>15293.171865982787</v>
      </c>
      <c r="F707" s="258">
        <f>(F625/F613)*AO65</f>
        <v>382.50248719725289</v>
      </c>
      <c r="G707" s="256">
        <f>(G626/G613)*AO92</f>
        <v>361073.99230496632</v>
      </c>
      <c r="H707" s="258">
        <f>(H629/H613)*AO61</f>
        <v>0</v>
      </c>
      <c r="I707" s="256">
        <f>(I630/I613)*AO93</f>
        <v>0</v>
      </c>
      <c r="J707" s="256">
        <f>(J631/J613)*AO94</f>
        <v>5083.2035878350125</v>
      </c>
      <c r="K707" s="256">
        <f>(K645/K613)*AO90</f>
        <v>38.194844161918873</v>
      </c>
      <c r="L707" s="256">
        <f>(L648/L613)*AO95</f>
        <v>0</v>
      </c>
      <c r="M707" s="231">
        <f t="shared" si="18"/>
        <v>381871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8836095.1100000013</v>
      </c>
      <c r="D714" s="256">
        <f>(D616/D613)*AV91</f>
        <v>158662.66360167481</v>
      </c>
      <c r="E714" s="258">
        <f>(E624/E613)*SUM(C714:D714)</f>
        <v>3816629.1831461238</v>
      </c>
      <c r="F714" s="258">
        <f>(F625/F613)*AV65</f>
        <v>36507.687423651441</v>
      </c>
      <c r="G714" s="256">
        <f>(G626/G613)*AV92</f>
        <v>0</v>
      </c>
      <c r="H714" s="258">
        <f>(H629/H613)*AV61</f>
        <v>0</v>
      </c>
      <c r="I714" s="256">
        <f>(I630/I613)*AV93</f>
        <v>0</v>
      </c>
      <c r="J714" s="256">
        <f>(J631/J613)*AV94</f>
        <v>423.9860987641602</v>
      </c>
      <c r="K714" s="256">
        <f>(K645/K613)*AV90</f>
        <v>297380.93994263018</v>
      </c>
      <c r="L714" s="256">
        <f>(L648/L613)*AV95</f>
        <v>115413.38337056375</v>
      </c>
      <c r="M714" s="231">
        <f t="shared" si="18"/>
        <v>4425018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220389007.35000002</v>
      </c>
      <c r="D716" s="231">
        <f>SUM(D617:D648)+SUM(D669:D714)</f>
        <v>9802894.4800000042</v>
      </c>
      <c r="E716" s="231">
        <f>SUM(E625:E648)+SUM(E669:E714)</f>
        <v>65655898.142517895</v>
      </c>
      <c r="F716" s="231">
        <f>SUM(F626:F649)+SUM(F669:F714)</f>
        <v>1380462.8651037009</v>
      </c>
      <c r="G716" s="231">
        <f>SUM(G627:G648)+SUM(G669:G714)</f>
        <v>3699430.3433034588</v>
      </c>
      <c r="H716" s="231">
        <f>SUM(H630:H648)+SUM(H669:H714)</f>
        <v>0</v>
      </c>
      <c r="I716" s="231">
        <f>SUM(I631:I648)+SUM(I669:I714)</f>
        <v>4246583.8589504715</v>
      </c>
      <c r="J716" s="231">
        <f>SUM(J632:J648)+SUM(J669:J714)</f>
        <v>74246.315489424538</v>
      </c>
      <c r="K716" s="231">
        <f>SUM(K669:K714)</f>
        <v>7693770.8352609854</v>
      </c>
      <c r="L716" s="231">
        <f>SUM(L669:L714)</f>
        <v>3572061.3490726752</v>
      </c>
      <c r="M716" s="231">
        <f>SUM(M669:M714)</f>
        <v>88903759</v>
      </c>
      <c r="N716" s="250" t="s">
        <v>669</v>
      </c>
    </row>
    <row r="717" spans="1:14" s="231" customFormat="1" ht="12.65" customHeight="1" x14ac:dyDescent="0.3">
      <c r="C717" s="253">
        <f>CE86</f>
        <v>220389007.34999999</v>
      </c>
      <c r="D717" s="231">
        <f>D616</f>
        <v>9802894.4800000004</v>
      </c>
      <c r="E717" s="231">
        <f>E624</f>
        <v>65655898.142517872</v>
      </c>
      <c r="F717" s="231">
        <f>F625</f>
        <v>1380462.8651037007</v>
      </c>
      <c r="G717" s="231">
        <f>G626</f>
        <v>3699430.3433034583</v>
      </c>
      <c r="H717" s="231">
        <f>H629</f>
        <v>0</v>
      </c>
      <c r="I717" s="231">
        <f>I630</f>
        <v>4246583.8589504715</v>
      </c>
      <c r="J717" s="231">
        <f>J631</f>
        <v>74246.315489424553</v>
      </c>
      <c r="K717" s="231">
        <f>K645</f>
        <v>7693770.8352609854</v>
      </c>
      <c r="L717" s="231">
        <f>L648</f>
        <v>3572061.3490726757</v>
      </c>
      <c r="M717" s="231">
        <f>C649</f>
        <v>88903756.469999999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2021</v>
      </c>
      <c r="B2" s="225" t="str">
        <f>RIGHT(data!C97,3)</f>
        <v>183</v>
      </c>
      <c r="C2" s="12" t="str">
        <f>SUBSTITUTE(LEFT(data!C98,49),",","")</f>
        <v>Auburn Medical Center</v>
      </c>
      <c r="D2" s="12" t="str">
        <f>LEFT(data!C99,49)</f>
        <v>Plaza One, 202 N. Division</v>
      </c>
      <c r="E2" s="12" t="str">
        <f>RIGHT(data!C100,100)</f>
        <v>Auburn</v>
      </c>
      <c r="F2" s="12" t="str">
        <f>RIGHT(data!C101,100)</f>
        <v>WA</v>
      </c>
      <c r="G2" s="12" t="str">
        <f>RIGHT(data!C102,100)</f>
        <v>98001</v>
      </c>
      <c r="H2" s="12" t="str">
        <f>RIGHT(data!C103,100)</f>
        <v>King</v>
      </c>
      <c r="I2" s="12" t="str">
        <f>LEFT(data!C104,49)</f>
        <v>Bill Robertson</v>
      </c>
      <c r="J2" s="12" t="str">
        <f>LEFT(data!C105,49)</f>
        <v>James Lee</v>
      </c>
      <c r="K2" s="12" t="str">
        <f>LEFT(data!C107,49)</f>
        <v>(253) 403-1000</v>
      </c>
      <c r="L2" s="12" t="str">
        <f>LEFT(data!C107,49)</f>
        <v>(253) 403-1000</v>
      </c>
      <c r="M2" s="12" t="str">
        <f>LEFT(data!C109,49)</f>
        <v>Dan Wickens</v>
      </c>
      <c r="N2" s="12" t="str">
        <f>LEFT(data!C110,49)</f>
        <v>dan.wickens@multicare.org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183</v>
      </c>
      <c r="B2" s="224" t="str">
        <f>RIGHT(data!C96,4)</f>
        <v>2021</v>
      </c>
      <c r="C2" s="16" t="s">
        <v>1123</v>
      </c>
      <c r="D2" s="223">
        <f>ROUND(data!C181,0)</f>
        <v>6063792</v>
      </c>
      <c r="E2" s="223">
        <f>ROUND(data!C182,0)</f>
        <v>0</v>
      </c>
      <c r="F2" s="223">
        <f>ROUND(data!C183,0)</f>
        <v>0</v>
      </c>
      <c r="G2" s="223">
        <f>ROUND(data!C184,0)</f>
        <v>9227834</v>
      </c>
      <c r="H2" s="223">
        <f>ROUND(data!C185,0)</f>
        <v>0</v>
      </c>
      <c r="I2" s="223">
        <f>ROUND(data!C186,0)</f>
        <v>0</v>
      </c>
      <c r="J2" s="223">
        <f>ROUND(data!C187+data!C188,0)</f>
        <v>4291198</v>
      </c>
      <c r="K2" s="223">
        <f>ROUND(data!C191,0)</f>
        <v>312565</v>
      </c>
      <c r="L2" s="223">
        <f>ROUND(data!C192,0)</f>
        <v>1091516</v>
      </c>
      <c r="M2" s="223">
        <f>ROUND(data!C195,0)</f>
        <v>1803176</v>
      </c>
      <c r="N2" s="223">
        <f>ROUND(data!C196,0)</f>
        <v>0</v>
      </c>
      <c r="O2" s="223">
        <f>ROUND(data!C199,0)</f>
        <v>110886</v>
      </c>
      <c r="P2" s="223">
        <f>ROUND(data!C200,0)</f>
        <v>1404582</v>
      </c>
      <c r="Q2" s="223">
        <f>ROUND(data!C201,0)</f>
        <v>0</v>
      </c>
      <c r="R2" s="223">
        <f>ROUND(data!C204,0)</f>
        <v>0</v>
      </c>
      <c r="S2" s="223">
        <f>ROUND(data!C205,0)</f>
        <v>3436426</v>
      </c>
      <c r="T2" s="223">
        <f>ROUND(data!B211,0)</f>
        <v>10662100</v>
      </c>
      <c r="U2" s="223">
        <f>ROUND(data!C211,0)</f>
        <v>102539</v>
      </c>
      <c r="V2" s="223">
        <f>ROUND(data!D211,0)</f>
        <v>0</v>
      </c>
      <c r="W2" s="223">
        <f>ROUND(data!B212,0)</f>
        <v>25230</v>
      </c>
      <c r="X2" s="223">
        <f>ROUND(data!C212,0)</f>
        <v>0</v>
      </c>
      <c r="Y2" s="223">
        <f>ROUND(data!D212,0)</f>
        <v>0</v>
      </c>
      <c r="Z2" s="223">
        <f>ROUND(data!B213,0)</f>
        <v>144312755</v>
      </c>
      <c r="AA2" s="223">
        <f>ROUND(data!C213,0)</f>
        <v>1847635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5923783</v>
      </c>
      <c r="AG2" s="223">
        <f>ROUND(data!C215,0)</f>
        <v>336345</v>
      </c>
      <c r="AH2" s="223">
        <f>ROUND(data!D215,0)</f>
        <v>0</v>
      </c>
      <c r="AI2" s="223">
        <f>ROUND(data!B216,0)</f>
        <v>44368499</v>
      </c>
      <c r="AJ2" s="223">
        <f>ROUND(data!C216,0)</f>
        <v>2425884</v>
      </c>
      <c r="AK2" s="223">
        <f>ROUND(data!D216,0)</f>
        <v>7154661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2243865</v>
      </c>
      <c r="AP2" s="223">
        <f>ROUND(data!C218,0)</f>
        <v>29772</v>
      </c>
      <c r="AQ2" s="223">
        <f>ROUND(data!D218,0)</f>
        <v>0</v>
      </c>
      <c r="AR2" s="223">
        <f>ROUND(data!B219,0)</f>
        <v>0</v>
      </c>
      <c r="AS2" s="223">
        <f>ROUND(data!C219,0)</f>
        <v>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17144</v>
      </c>
      <c r="AY2" s="223">
        <f>ROUND(data!C225,0)</f>
        <v>2770</v>
      </c>
      <c r="AZ2" s="223">
        <f>ROUND(data!D225,0)</f>
        <v>0</v>
      </c>
      <c r="BA2" s="223">
        <f>ROUND(data!B226,0)</f>
        <v>48067213</v>
      </c>
      <c r="BB2" s="223">
        <f>ROUND(data!C226,0)</f>
        <v>184554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1884536</v>
      </c>
      <c r="BH2" s="223">
        <f>ROUND(data!C228,0)</f>
        <v>468019</v>
      </c>
      <c r="BI2" s="223">
        <f>ROUND(data!D228,0)</f>
        <v>0</v>
      </c>
      <c r="BJ2" s="223">
        <f>ROUND(data!B229,0)</f>
        <v>33406180</v>
      </c>
      <c r="BK2" s="223">
        <f>ROUND(data!C229,0)</f>
        <v>1451381</v>
      </c>
      <c r="BL2" s="223">
        <f>ROUND(data!D229,0)</f>
        <v>6976137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1232321</v>
      </c>
      <c r="BQ2" s="223">
        <f>ROUND(data!C231,0)</f>
        <v>-48439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269274687</v>
      </c>
      <c r="BW2" s="223">
        <f>ROUND(data!C240,0)</f>
        <v>194092911</v>
      </c>
      <c r="BX2" s="223">
        <f>ROUND(data!C241,0)</f>
        <v>13979458</v>
      </c>
      <c r="BY2" s="223">
        <f>ROUND(data!C242,0)</f>
        <v>75893324</v>
      </c>
      <c r="BZ2" s="223">
        <f>ROUND(data!C243,0)</f>
        <v>0</v>
      </c>
      <c r="CA2" s="223">
        <f>ROUND(data!C244,0)</f>
        <v>99787180</v>
      </c>
      <c r="CB2" s="223">
        <f>ROUND(data!C247,0)</f>
        <v>4315</v>
      </c>
      <c r="CC2" s="223">
        <f>ROUND(data!C249,0)</f>
        <v>8980774</v>
      </c>
      <c r="CD2" s="223">
        <f>ROUND(data!C250,0)</f>
        <v>8415279</v>
      </c>
      <c r="CE2" s="223">
        <f>ROUND(data!C254+data!C255,0)</f>
        <v>10288687</v>
      </c>
      <c r="CF2" s="223">
        <f>data!D237</f>
        <v>8591050.290000001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183</v>
      </c>
      <c r="B2" s="16" t="str">
        <f>RIGHT(data!C96,4)</f>
        <v>2021</v>
      </c>
      <c r="C2" s="16" t="s">
        <v>1123</v>
      </c>
      <c r="D2" s="222">
        <f>ROUND(data!C127,0)</f>
        <v>7564</v>
      </c>
      <c r="E2" s="222">
        <f>ROUND(data!C128,0)</f>
        <v>0</v>
      </c>
      <c r="F2" s="222">
        <f>ROUND(data!C129,0)</f>
        <v>0</v>
      </c>
      <c r="G2" s="222">
        <f>ROUND(data!C130,0)</f>
        <v>1249</v>
      </c>
      <c r="H2" s="222">
        <f>ROUND(data!D127,0)</f>
        <v>52142</v>
      </c>
      <c r="I2" s="222">
        <f>ROUND(data!D128,0)</f>
        <v>0</v>
      </c>
      <c r="J2" s="222">
        <f>ROUND(data!D129,0)</f>
        <v>0</v>
      </c>
      <c r="K2" s="222">
        <f>ROUND(data!D130,0)</f>
        <v>1895</v>
      </c>
      <c r="L2" s="222">
        <f>ROUND(data!C132,0)</f>
        <v>22</v>
      </c>
      <c r="M2" s="222">
        <f>ROUND(data!C133,0)</f>
        <v>19</v>
      </c>
      <c r="N2" s="222">
        <f>ROUND(data!C134,0)</f>
        <v>32</v>
      </c>
      <c r="O2" s="222">
        <f>ROUND(data!C135,0)</f>
        <v>0</v>
      </c>
      <c r="P2" s="222">
        <f>ROUND(data!C136,0)</f>
        <v>35</v>
      </c>
      <c r="Q2" s="222">
        <f>ROUND(data!C137,0)</f>
        <v>0</v>
      </c>
      <c r="R2" s="222">
        <f>ROUND(data!C138,0)</f>
        <v>58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195</v>
      </c>
      <c r="X2" s="222">
        <f>ROUND(data!C145,0)</f>
        <v>0</v>
      </c>
      <c r="Y2" s="222">
        <f>ROUND(data!B154,0)</f>
        <v>3119</v>
      </c>
      <c r="Z2" s="222">
        <f>ROUND(data!B155,0)</f>
        <v>21501</v>
      </c>
      <c r="AA2" s="222">
        <f>ROUND(data!B156,0)</f>
        <v>20101</v>
      </c>
      <c r="AB2" s="222">
        <f>ROUND(data!B157,0)</f>
        <v>192447991</v>
      </c>
      <c r="AC2" s="222">
        <f>ROUND(data!B158,0)</f>
        <v>180330077</v>
      </c>
      <c r="AD2" s="222">
        <f>ROUND(data!C154,0)</f>
        <v>2248</v>
      </c>
      <c r="AE2" s="222">
        <f>ROUND(data!C155,0)</f>
        <v>15498</v>
      </c>
      <c r="AF2" s="222">
        <f>ROUND(data!C156,0)</f>
        <v>26211</v>
      </c>
      <c r="AG2" s="222">
        <f>ROUND(data!C157,0)</f>
        <v>138716310</v>
      </c>
      <c r="AH2" s="222">
        <f>ROUND(data!C158,0)</f>
        <v>129981730</v>
      </c>
      <c r="AI2" s="222">
        <f>ROUND(data!D154,0)</f>
        <v>2197</v>
      </c>
      <c r="AJ2" s="222">
        <f>ROUND(data!D155,0)</f>
        <v>15144</v>
      </c>
      <c r="AK2" s="222">
        <f>ROUND(data!D156,0)</f>
        <v>26578</v>
      </c>
      <c r="AL2" s="222">
        <f>ROUND(data!D157,0)</f>
        <v>135548124</v>
      </c>
      <c r="AM2" s="222">
        <f>ROUND(data!D158,0)</f>
        <v>127013036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183</v>
      </c>
      <c r="B2" s="224" t="str">
        <f>RIGHT(data!C96,4)</f>
        <v>2021</v>
      </c>
      <c r="C2" s="16" t="s">
        <v>1123</v>
      </c>
      <c r="D2" s="222">
        <f>ROUND(data!C266,0)</f>
        <v>0</v>
      </c>
      <c r="E2" s="222">
        <f>ROUND(data!C267,0)</f>
        <v>0</v>
      </c>
      <c r="F2" s="222">
        <f>ROUND(data!C268,0)</f>
        <v>40107993</v>
      </c>
      <c r="G2" s="222">
        <f>ROUND(data!C269,0)</f>
        <v>9070298</v>
      </c>
      <c r="H2" s="222">
        <f>ROUND(data!C270,0)</f>
        <v>0</v>
      </c>
      <c r="I2" s="222">
        <f>ROUND(data!C271,0)</f>
        <v>0</v>
      </c>
      <c r="J2" s="222">
        <f>ROUND(data!C272,0)</f>
        <v>0</v>
      </c>
      <c r="K2" s="222">
        <f>ROUND(data!C273,0)</f>
        <v>3918146</v>
      </c>
      <c r="L2" s="222">
        <f>ROUND(data!C274,0)</f>
        <v>892060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10764638</v>
      </c>
      <c r="R2" s="222">
        <f>ROUND(data!C284,0)</f>
        <v>25230</v>
      </c>
      <c r="S2" s="222">
        <f>ROUND(data!C285,0)</f>
        <v>146160390</v>
      </c>
      <c r="T2" s="222">
        <f>ROUND(data!C286,0)</f>
        <v>0</v>
      </c>
      <c r="U2" s="222">
        <f>ROUND(data!C287,0)</f>
        <v>6260128</v>
      </c>
      <c r="V2" s="222">
        <f>ROUND(data!C288,0)</f>
        <v>39639722</v>
      </c>
      <c r="W2" s="222">
        <f>ROUND(data!C289,0)</f>
        <v>2273638</v>
      </c>
      <c r="X2" s="222">
        <f>ROUND(data!C290,0)</f>
        <v>0</v>
      </c>
      <c r="Y2" s="222">
        <f>ROUND(data!C291,0)</f>
        <v>0</v>
      </c>
      <c r="Z2" s="222">
        <f>ROUND(data!C292,0)</f>
        <v>79689544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8232040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3419607</v>
      </c>
      <c r="AK2" s="222">
        <f>ROUND(data!C316,0)</f>
        <v>20494</v>
      </c>
      <c r="AL2" s="222">
        <f>ROUND(data!C317,0)</f>
        <v>0</v>
      </c>
      <c r="AM2" s="222">
        <f>ROUND(data!C318,0)</f>
        <v>0</v>
      </c>
      <c r="AN2" s="222">
        <f>ROUND(data!C319,0)</f>
        <v>500000</v>
      </c>
      <c r="AO2" s="222">
        <f>ROUND(data!C320,0)</f>
        <v>0</v>
      </c>
      <c r="AP2" s="222">
        <f>ROUND(data!C321,0)</f>
        <v>0</v>
      </c>
      <c r="AQ2" s="222">
        <f>ROUND(data!C322,0)</f>
        <v>1006942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308458746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-143891646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902.13</v>
      </c>
      <c r="BL2" s="222">
        <f>ROUND(data!C358,0)</f>
        <v>466712425</v>
      </c>
      <c r="BM2" s="222">
        <f>ROUND(data!C359,0)</f>
        <v>437324843</v>
      </c>
      <c r="BN2" s="222">
        <f>ROUND(data!C363,0)</f>
        <v>663316247</v>
      </c>
      <c r="BO2" s="222">
        <f>ROUND(data!C364,0)</f>
        <v>17396053</v>
      </c>
      <c r="BP2" s="222">
        <f>ROUND(data!C365,0)</f>
        <v>0</v>
      </c>
      <c r="BQ2" s="222">
        <f>ROUND(data!D381,0)</f>
        <v>9964125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9964125</v>
      </c>
      <c r="CC2" s="222">
        <f>ROUND(data!C382,0)</f>
        <v>0</v>
      </c>
      <c r="CD2" s="222">
        <f>ROUND(data!C389,0)</f>
        <v>120044133</v>
      </c>
      <c r="CE2" s="222">
        <f>ROUND(data!C390,0)</f>
        <v>19582824</v>
      </c>
      <c r="CF2" s="222">
        <f>ROUND(data!C391,0)</f>
        <v>12708328</v>
      </c>
      <c r="CG2" s="222">
        <f>ROUND(data!C392,0)</f>
        <v>28156087</v>
      </c>
      <c r="CH2" s="222">
        <f>ROUND(data!C393,0)</f>
        <v>1211673</v>
      </c>
      <c r="CI2" s="222">
        <f>ROUND(data!C394,0)</f>
        <v>62336248</v>
      </c>
      <c r="CJ2" s="222">
        <f>ROUND(data!C395,0)</f>
        <v>5867131</v>
      </c>
      <c r="CK2" s="222">
        <f>ROUND(data!C396,0)</f>
        <v>1404081</v>
      </c>
      <c r="CL2" s="222">
        <f>ROUND(data!C397,0)</f>
        <v>1803176</v>
      </c>
      <c r="CM2" s="222">
        <f>ROUND(data!C398,0)</f>
        <v>1515468</v>
      </c>
      <c r="CN2" s="222">
        <f>ROUND(data!C399,0)</f>
        <v>3436426</v>
      </c>
      <c r="CO2" s="222">
        <f>ROUND(data!C362,0)</f>
        <v>8591050</v>
      </c>
      <c r="CP2" s="222">
        <f>ROUND(data!D415,0)</f>
        <v>9269240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9269240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183</v>
      </c>
      <c r="B2" s="224" t="str">
        <f>RIGHT(data!$C$96,4)</f>
        <v>2021</v>
      </c>
      <c r="C2" s="16">
        <f>data!C$55</f>
        <v>6010</v>
      </c>
      <c r="D2" s="16" t="s">
        <v>1123</v>
      </c>
      <c r="E2" s="222">
        <f>ROUND(data!C59,0)</f>
        <v>6075</v>
      </c>
      <c r="F2" s="212">
        <f>ROUND(data!C60,2)</f>
        <v>58.59</v>
      </c>
      <c r="G2" s="222">
        <f>ROUND(data!C61,0)</f>
        <v>10458574</v>
      </c>
      <c r="H2" s="222">
        <f>ROUND(data!C62,0)</f>
        <v>1194301</v>
      </c>
      <c r="I2" s="222">
        <f>ROUND(data!C63,0)</f>
        <v>696804</v>
      </c>
      <c r="J2" s="222">
        <f>ROUND(data!C64,0)</f>
        <v>1038261</v>
      </c>
      <c r="K2" s="222">
        <f>ROUND(data!C65,0)</f>
        <v>52101</v>
      </c>
      <c r="L2" s="222">
        <f>ROUND(data!C66,0)</f>
        <v>288101</v>
      </c>
      <c r="M2" s="66">
        <f>ROUND(data!C67,0)</f>
        <v>204606</v>
      </c>
      <c r="N2" s="222">
        <f>ROUND(data!C68,0)</f>
        <v>101262</v>
      </c>
      <c r="O2" s="222">
        <f>ROUND(data!C69,0)</f>
        <v>62936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62936</v>
      </c>
      <c r="AD2" s="222">
        <f>ROUND(data!C84,0)</f>
        <v>0</v>
      </c>
      <c r="AE2" s="222">
        <f>ROUND(data!C89,0)</f>
        <v>31497320</v>
      </c>
      <c r="AF2" s="222">
        <f>ROUND(data!C87,0)</f>
        <v>31353432</v>
      </c>
      <c r="AG2" s="222">
        <f>IF(data!C90&gt;0,ROUND(data!C90,0),0)</f>
        <v>9577</v>
      </c>
      <c r="AH2" s="222">
        <f>IF(data!C91&gt;0,ROUND(data!C91,0),0)</f>
        <v>9983</v>
      </c>
      <c r="AI2" s="222">
        <f>IF(data!C92&gt;0,ROUND(data!C92,0),0)</f>
        <v>9742</v>
      </c>
      <c r="AJ2" s="222">
        <f>IF(data!C93&gt;0,ROUND(data!C93,0),0)</f>
        <v>70263</v>
      </c>
      <c r="AK2" s="212">
        <f>IF(data!C94&gt;0,ROUND(data!C94,2),0)</f>
        <v>41.56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183</v>
      </c>
      <c r="B3" s="224" t="str">
        <f>RIGHT(data!$C$96,4)</f>
        <v>2021</v>
      </c>
      <c r="C3" s="16">
        <f>data!D$55</f>
        <v>6030</v>
      </c>
      <c r="D3" s="16" t="s">
        <v>1123</v>
      </c>
      <c r="E3" s="222">
        <f>ROUND(data!D59,0)</f>
        <v>11162</v>
      </c>
      <c r="F3" s="212">
        <f>ROUND(data!D60,2)</f>
        <v>70.16</v>
      </c>
      <c r="G3" s="222">
        <f>ROUND(data!D61,0)</f>
        <v>11886950</v>
      </c>
      <c r="H3" s="222">
        <f>ROUND(data!D62,0)</f>
        <v>1136412</v>
      </c>
      <c r="I3" s="222">
        <f>ROUND(data!D63,0)</f>
        <v>4500</v>
      </c>
      <c r="J3" s="222">
        <f>ROUND(data!D64,0)</f>
        <v>911490</v>
      </c>
      <c r="K3" s="222">
        <f>ROUND(data!D65,0)</f>
        <v>63884</v>
      </c>
      <c r="L3" s="222">
        <f>ROUND(data!D66,0)</f>
        <v>449133</v>
      </c>
      <c r="M3" s="66">
        <f>ROUND(data!D67,0)</f>
        <v>231179</v>
      </c>
      <c r="N3" s="222">
        <f>ROUND(data!D68,0)</f>
        <v>172248</v>
      </c>
      <c r="O3" s="222">
        <f>ROUND(data!D69,0)</f>
        <v>138631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138631</v>
      </c>
      <c r="AD3" s="222">
        <f>ROUND(data!D84,0)</f>
        <v>0</v>
      </c>
      <c r="AE3" s="222">
        <f>ROUND(data!D89,0)</f>
        <v>46358420</v>
      </c>
      <c r="AF3" s="222">
        <f>ROUND(data!D87,0)</f>
        <v>45565779</v>
      </c>
      <c r="AG3" s="222">
        <f>IF(data!D90&gt;0,ROUND(data!D90,0),0)</f>
        <v>11941</v>
      </c>
      <c r="AH3" s="222">
        <f>IF(data!D91&gt;0,ROUND(data!D91,0),0)</f>
        <v>19381</v>
      </c>
      <c r="AI3" s="222">
        <f>IF(data!D92&gt;0,ROUND(data!D92,0),0)</f>
        <v>6682</v>
      </c>
      <c r="AJ3" s="222">
        <f>IF(data!D93&gt;0,ROUND(data!D93,0),0)</f>
        <v>121575</v>
      </c>
      <c r="AK3" s="212">
        <f>IF(data!D94&gt;0,ROUND(data!D94,2),0)</f>
        <v>44.14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183</v>
      </c>
      <c r="B4" s="224" t="str">
        <f>RIGHT(data!$C$96,4)</f>
        <v>2021</v>
      </c>
      <c r="C4" s="16">
        <f>data!E$55</f>
        <v>6070</v>
      </c>
      <c r="D4" s="16" t="s">
        <v>1123</v>
      </c>
      <c r="E4" s="222">
        <f>ROUND(data!E59,0)</f>
        <v>10696</v>
      </c>
      <c r="F4" s="212">
        <f>ROUND(data!E60,2)</f>
        <v>60.69</v>
      </c>
      <c r="G4" s="222">
        <f>ROUND(data!E61,0)</f>
        <v>7093092</v>
      </c>
      <c r="H4" s="222">
        <f>ROUND(data!E62,0)</f>
        <v>1441935</v>
      </c>
      <c r="I4" s="222">
        <f>ROUND(data!E63,0)</f>
        <v>3000</v>
      </c>
      <c r="J4" s="222">
        <f>ROUND(data!E64,0)</f>
        <v>843507</v>
      </c>
      <c r="K4" s="222">
        <f>ROUND(data!E65,0)</f>
        <v>112105</v>
      </c>
      <c r="L4" s="222">
        <f>ROUND(data!E66,0)</f>
        <v>706121</v>
      </c>
      <c r="M4" s="66">
        <f>ROUND(data!E67,0)</f>
        <v>349681</v>
      </c>
      <c r="N4" s="222">
        <f>ROUND(data!E68,0)</f>
        <v>259351</v>
      </c>
      <c r="O4" s="222">
        <f>ROUND(data!E69,0)</f>
        <v>141988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141988</v>
      </c>
      <c r="AD4" s="222">
        <f>ROUND(data!E84,0)</f>
        <v>0</v>
      </c>
      <c r="AE4" s="222">
        <f>ROUND(data!E89,0)</f>
        <v>29181462</v>
      </c>
      <c r="AF4" s="222">
        <f>ROUND(data!E87,0)</f>
        <v>28326443</v>
      </c>
      <c r="AG4" s="222">
        <f>IF(data!E90&gt;0,ROUND(data!E90,0),0)</f>
        <v>21064</v>
      </c>
      <c r="AH4" s="222">
        <f>IF(data!E91&gt;0,ROUND(data!E91,0),0)</f>
        <v>33988</v>
      </c>
      <c r="AI4" s="222">
        <f>IF(data!E92&gt;0,ROUND(data!E92,0),0)</f>
        <v>8994</v>
      </c>
      <c r="AJ4" s="222">
        <f>IF(data!E93&gt;0,ROUND(data!E93,0),0)</f>
        <v>112083</v>
      </c>
      <c r="AK4" s="212">
        <f>IF(data!E94&gt;0,ROUND(data!E94,2),0)</f>
        <v>31.36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183</v>
      </c>
      <c r="B5" s="224" t="str">
        <f>RIGHT(data!$C$96,4)</f>
        <v>2021</v>
      </c>
      <c r="C5" s="16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166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183</v>
      </c>
      <c r="B6" s="224" t="str">
        <f>RIGHT(data!$C$96,4)</f>
        <v>2021</v>
      </c>
      <c r="C6" s="16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183</v>
      </c>
      <c r="B7" s="224" t="str">
        <f>RIGHT(data!$C$96,4)</f>
        <v>2021</v>
      </c>
      <c r="C7" s="16">
        <f>data!H$55</f>
        <v>6140</v>
      </c>
      <c r="D7" s="16" t="s">
        <v>1123</v>
      </c>
      <c r="E7" s="222">
        <f>ROUND(data!H59,0)</f>
        <v>15872</v>
      </c>
      <c r="F7" s="212">
        <f>ROUND(data!H60,2)</f>
        <v>93.63</v>
      </c>
      <c r="G7" s="222">
        <f>ROUND(data!H61,0)</f>
        <v>10513975</v>
      </c>
      <c r="H7" s="222">
        <f>ROUND(data!H62,0)</f>
        <v>2209727</v>
      </c>
      <c r="I7" s="222">
        <f>ROUND(data!H63,0)</f>
        <v>1282778</v>
      </c>
      <c r="J7" s="222">
        <f>ROUND(data!H64,0)</f>
        <v>254983</v>
      </c>
      <c r="K7" s="222">
        <f>ROUND(data!H65,0)</f>
        <v>86859</v>
      </c>
      <c r="L7" s="222">
        <f>ROUND(data!H66,0)</f>
        <v>264384</v>
      </c>
      <c r="M7" s="66">
        <f>ROUND(data!H67,0)</f>
        <v>302693</v>
      </c>
      <c r="N7" s="222">
        <f>ROUND(data!H68,0)</f>
        <v>176</v>
      </c>
      <c r="O7" s="222">
        <f>ROUND(data!H69,0)</f>
        <v>70634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70634</v>
      </c>
      <c r="AD7" s="222">
        <f>ROUND(data!H84,0)</f>
        <v>915</v>
      </c>
      <c r="AE7" s="222">
        <f>ROUND(data!H89,0)</f>
        <v>84591935</v>
      </c>
      <c r="AF7" s="222">
        <f>ROUND(data!H87,0)</f>
        <v>83311764</v>
      </c>
      <c r="AG7" s="222">
        <f>IF(data!H90&gt;0,ROUND(data!H90,0),0)</f>
        <v>15891</v>
      </c>
      <c r="AH7" s="222">
        <f>IF(data!H91&gt;0,ROUND(data!H91,0),0)</f>
        <v>48909</v>
      </c>
      <c r="AI7" s="222">
        <f>IF(data!H92&gt;0,ROUND(data!H92,0),0)</f>
        <v>6271</v>
      </c>
      <c r="AJ7" s="222">
        <f>IF(data!H93&gt;0,ROUND(data!H93,0),0)</f>
        <v>76176</v>
      </c>
      <c r="AK7" s="212">
        <f>IF(data!H94&gt;0,ROUND(data!H94,2),0)</f>
        <v>34.270000000000003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183</v>
      </c>
      <c r="B8" s="224" t="str">
        <f>RIGHT(data!$C$96,4)</f>
        <v>2021</v>
      </c>
      <c r="C8" s="16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183</v>
      </c>
      <c r="B9" s="224" t="str">
        <f>RIGHT(data!$C$96,4)</f>
        <v>2021</v>
      </c>
      <c r="C9" s="16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183</v>
      </c>
      <c r="B10" s="224" t="str">
        <f>RIGHT(data!$C$96,4)</f>
        <v>2021</v>
      </c>
      <c r="C10" s="16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183</v>
      </c>
      <c r="B11" s="224" t="str">
        <f>RIGHT(data!$C$96,4)</f>
        <v>2021</v>
      </c>
      <c r="C11" s="16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183</v>
      </c>
      <c r="B12" s="224" t="str">
        <f>RIGHT(data!$C$96,4)</f>
        <v>2021</v>
      </c>
      <c r="C12" s="16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183</v>
      </c>
      <c r="B13" s="224" t="str">
        <f>RIGHT(data!$C$96,4)</f>
        <v>2021</v>
      </c>
      <c r="C13" s="16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183</v>
      </c>
      <c r="B14" s="224" t="str">
        <f>RIGHT(data!$C$96,4)</f>
        <v>2021</v>
      </c>
      <c r="C14" s="16">
        <f>data!O$55</f>
        <v>7010</v>
      </c>
      <c r="D14" s="16" t="s">
        <v>1123</v>
      </c>
      <c r="E14" s="222">
        <f>ROUND(data!O59,0)</f>
        <v>0</v>
      </c>
      <c r="F14" s="212">
        <f>ROUND(data!O60,2)</f>
        <v>48.58</v>
      </c>
      <c r="G14" s="222">
        <f>ROUND(data!O61,0)</f>
        <v>7209916</v>
      </c>
      <c r="H14" s="222">
        <f>ROUND(data!O62,0)</f>
        <v>1077421</v>
      </c>
      <c r="I14" s="222">
        <f>ROUND(data!O63,0)</f>
        <v>42450</v>
      </c>
      <c r="J14" s="222">
        <f>ROUND(data!O64,0)</f>
        <v>779280</v>
      </c>
      <c r="K14" s="222">
        <f>ROUND(data!O65,0)</f>
        <v>74579</v>
      </c>
      <c r="L14" s="222">
        <f>ROUND(data!O66,0)</f>
        <v>729486</v>
      </c>
      <c r="M14" s="66">
        <f>ROUND(data!O67,0)</f>
        <v>365270</v>
      </c>
      <c r="N14" s="222">
        <f>ROUND(data!O68,0)</f>
        <v>40227</v>
      </c>
      <c r="O14" s="222">
        <f>ROUND(data!O69,0)</f>
        <v>126000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126000</v>
      </c>
      <c r="AD14" s="222">
        <f>ROUND(data!O84,0)</f>
        <v>4530</v>
      </c>
      <c r="AE14" s="222">
        <f>ROUND(data!O89,0)</f>
        <v>26484528</v>
      </c>
      <c r="AF14" s="222">
        <f>ROUND(data!O87,0)</f>
        <v>25565698</v>
      </c>
      <c r="AG14" s="222">
        <f>IF(data!O90&gt;0,ROUND(data!O90,0),0)</f>
        <v>13892</v>
      </c>
      <c r="AH14" s="222">
        <f>IF(data!O91&gt;0,ROUND(data!O91,0),0)</f>
        <v>13067</v>
      </c>
      <c r="AI14" s="222">
        <f>IF(data!O92&gt;0,ROUND(data!O92,0),0)</f>
        <v>6648</v>
      </c>
      <c r="AJ14" s="222">
        <f>IF(data!O93&gt;0,ROUND(data!O93,0),0)</f>
        <v>99209</v>
      </c>
      <c r="AK14" s="212">
        <f>IF(data!O94&gt;0,ROUND(data!O94,2),0)</f>
        <v>31.66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183</v>
      </c>
      <c r="B15" s="224" t="str">
        <f>RIGHT(data!$C$96,4)</f>
        <v>2021</v>
      </c>
      <c r="C15" s="16">
        <f>data!P$55</f>
        <v>7020</v>
      </c>
      <c r="D15" s="16" t="s">
        <v>1123</v>
      </c>
      <c r="E15" s="222">
        <f>ROUND(data!P59,0)</f>
        <v>548100</v>
      </c>
      <c r="F15" s="212">
        <f>ROUND(data!P60,2)</f>
        <v>22.74</v>
      </c>
      <c r="G15" s="222">
        <f>ROUND(data!P61,0)</f>
        <v>3128395</v>
      </c>
      <c r="H15" s="222">
        <f>ROUND(data!P62,0)</f>
        <v>467806</v>
      </c>
      <c r="I15" s="222">
        <f>ROUND(data!P63,0)</f>
        <v>0</v>
      </c>
      <c r="J15" s="222">
        <f>ROUND(data!P64,0)</f>
        <v>8612189</v>
      </c>
      <c r="K15" s="222">
        <f>ROUND(data!P65,0)</f>
        <v>68720</v>
      </c>
      <c r="L15" s="222">
        <f>ROUND(data!P66,0)</f>
        <v>3493093</v>
      </c>
      <c r="M15" s="66">
        <f>ROUND(data!P67,0)</f>
        <v>701671</v>
      </c>
      <c r="N15" s="222">
        <f>ROUND(data!P68,0)</f>
        <v>417357</v>
      </c>
      <c r="O15" s="222">
        <f>ROUND(data!P69,0)</f>
        <v>108157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108157</v>
      </c>
      <c r="AD15" s="222">
        <f>ROUND(data!P84,0)</f>
        <v>0</v>
      </c>
      <c r="AE15" s="222">
        <f>ROUND(data!P89,0)</f>
        <v>137823158</v>
      </c>
      <c r="AF15" s="222">
        <f>ROUND(data!P87,0)</f>
        <v>37917714</v>
      </c>
      <c r="AG15" s="222">
        <f>IF(data!P90&gt;0,ROUND(data!P90,0),0)</f>
        <v>12954</v>
      </c>
      <c r="AH15" s="222">
        <f>IF(data!P91&gt;0,ROUND(data!P91,0),0)</f>
        <v>0</v>
      </c>
      <c r="AI15" s="222">
        <f>IF(data!P92&gt;0,ROUND(data!P92,0),0)</f>
        <v>7849</v>
      </c>
      <c r="AJ15" s="222">
        <f>IF(data!P93&gt;0,ROUND(data!P93,0),0)</f>
        <v>52603</v>
      </c>
      <c r="AK15" s="212">
        <f>IF(data!P94&gt;0,ROUND(data!P94,2),0)</f>
        <v>8.89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183</v>
      </c>
      <c r="B16" s="224" t="str">
        <f>RIGHT(data!$C$96,4)</f>
        <v>2021</v>
      </c>
      <c r="C16" s="16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183</v>
      </c>
      <c r="B17" s="224" t="str">
        <f>RIGHT(data!$C$96,4)</f>
        <v>2021</v>
      </c>
      <c r="C17" s="16">
        <f>data!R$55</f>
        <v>7040</v>
      </c>
      <c r="D17" s="16" t="s">
        <v>1123</v>
      </c>
      <c r="E17" s="222">
        <f>ROUND(data!R59,0)</f>
        <v>331605</v>
      </c>
      <c r="F17" s="212">
        <f>ROUND(data!R60,2)</f>
        <v>9.93</v>
      </c>
      <c r="G17" s="222">
        <f>ROUND(data!R61,0)</f>
        <v>1976403</v>
      </c>
      <c r="H17" s="222">
        <f>ROUND(data!R62,0)</f>
        <v>214452</v>
      </c>
      <c r="I17" s="222">
        <f>ROUND(data!R63,0)</f>
        <v>34064</v>
      </c>
      <c r="J17" s="222">
        <f>ROUND(data!R64,0)</f>
        <v>41495</v>
      </c>
      <c r="K17" s="222">
        <f>ROUND(data!R65,0)</f>
        <v>29445</v>
      </c>
      <c r="L17" s="222">
        <f>ROUND(data!R66,0)</f>
        <v>421542</v>
      </c>
      <c r="M17" s="66">
        <f>ROUND(data!R67,0)</f>
        <v>88890</v>
      </c>
      <c r="N17" s="222">
        <f>ROUND(data!R68,0)</f>
        <v>0</v>
      </c>
      <c r="O17" s="222">
        <f>ROUND(data!R69,0)</f>
        <v>-141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-141</v>
      </c>
      <c r="AD17" s="222">
        <f>ROUND(data!R84,0)</f>
        <v>0</v>
      </c>
      <c r="AE17" s="222">
        <f>ROUND(data!R89,0)</f>
        <v>17886894</v>
      </c>
      <c r="AF17" s="222">
        <f>ROUND(data!R87,0)</f>
        <v>4855561</v>
      </c>
      <c r="AG17" s="222">
        <f>IF(data!R90&gt;0,ROUND(data!R90,0),0)</f>
        <v>5420</v>
      </c>
      <c r="AH17" s="222">
        <f>IF(data!R91&gt;0,ROUND(data!R91,0),0)</f>
        <v>2950</v>
      </c>
      <c r="AI17" s="222">
        <f>IF(data!R92&gt;0,ROUND(data!R92,0),0)</f>
        <v>0</v>
      </c>
      <c r="AJ17" s="222">
        <f>IF(data!R93&gt;0,ROUND(data!R93,0),0)</f>
        <v>7397</v>
      </c>
      <c r="AK17" s="212">
        <f>IF(data!R94&gt;0,ROUND(data!R94,2),0)</f>
        <v>8.59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183</v>
      </c>
      <c r="B18" s="224" t="str">
        <f>RIGHT(data!$C$96,4)</f>
        <v>2021</v>
      </c>
      <c r="C18" s="16">
        <f>data!S$55</f>
        <v>7050</v>
      </c>
      <c r="D18" s="16" t="s">
        <v>1123</v>
      </c>
      <c r="E18" s="222"/>
      <c r="F18" s="212">
        <f>ROUND(data!S60,2)</f>
        <v>10.35</v>
      </c>
      <c r="G18" s="222">
        <f>ROUND(data!S61,0)</f>
        <v>797065</v>
      </c>
      <c r="H18" s="222">
        <f>ROUND(data!S62,0)</f>
        <v>218526</v>
      </c>
      <c r="I18" s="222">
        <f>ROUND(data!S63,0)</f>
        <v>0</v>
      </c>
      <c r="J18" s="222">
        <f>ROUND(data!S64,0)</f>
        <v>202459</v>
      </c>
      <c r="K18" s="222">
        <f>ROUND(data!S65,0)</f>
        <v>18309</v>
      </c>
      <c r="L18" s="222">
        <f>ROUND(data!S66,0)</f>
        <v>-1288086</v>
      </c>
      <c r="M18" s="66">
        <f>ROUND(data!S67,0)</f>
        <v>119550</v>
      </c>
      <c r="N18" s="222">
        <f>ROUND(data!S68,0)</f>
        <v>0</v>
      </c>
      <c r="O18" s="222">
        <f>ROUND(data!S69,0)</f>
        <v>11965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11965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3422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6855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183</v>
      </c>
      <c r="B19" s="224" t="str">
        <f>RIGHT(data!$C$96,4)</f>
        <v>2021</v>
      </c>
      <c r="C19" s="16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183</v>
      </c>
      <c r="B20" s="224" t="str">
        <f>RIGHT(data!$C$96,4)</f>
        <v>2021</v>
      </c>
      <c r="C20" s="16">
        <f>data!U$55</f>
        <v>7070</v>
      </c>
      <c r="D20" s="16" t="s">
        <v>1123</v>
      </c>
      <c r="E20" s="222">
        <f>ROUND(data!U59,0)</f>
        <v>0</v>
      </c>
      <c r="F20" s="212">
        <f>ROUND(data!U60,2)</f>
        <v>29.41</v>
      </c>
      <c r="G20" s="222">
        <f>ROUND(data!U61,0)</f>
        <v>3039372</v>
      </c>
      <c r="H20" s="222">
        <f>ROUND(data!U62,0)</f>
        <v>619633</v>
      </c>
      <c r="I20" s="222">
        <f>ROUND(data!U63,0)</f>
        <v>11235</v>
      </c>
      <c r="J20" s="222">
        <f>ROUND(data!U64,0)</f>
        <v>1461790</v>
      </c>
      <c r="K20" s="222">
        <f>ROUND(data!U65,0)</f>
        <v>28983</v>
      </c>
      <c r="L20" s="222">
        <f>ROUND(data!U66,0)</f>
        <v>7374919</v>
      </c>
      <c r="M20" s="66">
        <f>ROUND(data!U67,0)</f>
        <v>96384</v>
      </c>
      <c r="N20" s="222">
        <f>ROUND(data!U68,0)</f>
        <v>0</v>
      </c>
      <c r="O20" s="222">
        <f>ROUND(data!U69,0)</f>
        <v>69577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69577</v>
      </c>
      <c r="AD20" s="222">
        <f>ROUND(data!U84,0)</f>
        <v>7242673</v>
      </c>
      <c r="AE20" s="222">
        <f>ROUND(data!U89,0)</f>
        <v>34146295</v>
      </c>
      <c r="AF20" s="222">
        <f>ROUND(data!U87,0)</f>
        <v>18439488</v>
      </c>
      <c r="AG20" s="222">
        <f>IF(data!U90&gt;0,ROUND(data!U90,0),0)</f>
        <v>4878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0.04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183</v>
      </c>
      <c r="B21" s="224" t="str">
        <f>RIGHT(data!$C$96,4)</f>
        <v>2021</v>
      </c>
      <c r="C21" s="16">
        <f>data!V$55</f>
        <v>7110</v>
      </c>
      <c r="D21" s="16" t="s">
        <v>1123</v>
      </c>
      <c r="E21" s="222">
        <f>ROUND(data!V59,0)</f>
        <v>18381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19895</v>
      </c>
      <c r="K21" s="222">
        <f>ROUND(data!V65,0)</f>
        <v>0</v>
      </c>
      <c r="L21" s="222">
        <f>ROUND(data!V66,0)</f>
        <v>38946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5256959</v>
      </c>
      <c r="AF21" s="222">
        <f>ROUND(data!V87,0)</f>
        <v>1740458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183</v>
      </c>
      <c r="B22" s="224" t="str">
        <f>RIGHT(data!$C$96,4)</f>
        <v>2021</v>
      </c>
      <c r="C22" s="16">
        <f>data!W$55</f>
        <v>7120</v>
      </c>
      <c r="D22" s="16" t="s">
        <v>1123</v>
      </c>
      <c r="E22" s="222">
        <f>ROUND(data!W59,0)</f>
        <v>24317</v>
      </c>
      <c r="F22" s="212">
        <f>ROUND(data!W60,2)</f>
        <v>3.23</v>
      </c>
      <c r="G22" s="222">
        <f>ROUND(data!W61,0)</f>
        <v>458656</v>
      </c>
      <c r="H22" s="222">
        <f>ROUND(data!W62,0)</f>
        <v>92771</v>
      </c>
      <c r="I22" s="222">
        <f>ROUND(data!W63,0)</f>
        <v>0</v>
      </c>
      <c r="J22" s="222">
        <f>ROUND(data!W64,0)</f>
        <v>46780</v>
      </c>
      <c r="K22" s="222">
        <f>ROUND(data!W65,0)</f>
        <v>5738</v>
      </c>
      <c r="L22" s="222">
        <f>ROUND(data!W66,0)</f>
        <v>71786</v>
      </c>
      <c r="M22" s="66">
        <f>ROUND(data!W67,0)</f>
        <v>17888</v>
      </c>
      <c r="N22" s="222">
        <f>ROUND(data!W68,0)</f>
        <v>0</v>
      </c>
      <c r="O22" s="222">
        <f>ROUND(data!W69,0)</f>
        <v>444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444</v>
      </c>
      <c r="AD22" s="222">
        <f>ROUND(data!W84,0)</f>
        <v>0</v>
      </c>
      <c r="AE22" s="222">
        <f>ROUND(data!W89,0)</f>
        <v>13297752</v>
      </c>
      <c r="AF22" s="222">
        <f>ROUND(data!W87,0)</f>
        <v>4127566</v>
      </c>
      <c r="AG22" s="222">
        <f>IF(data!W90&gt;0,ROUND(data!W90,0),0)</f>
        <v>1029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183</v>
      </c>
      <c r="B23" s="224" t="str">
        <f>RIGHT(data!$C$96,4)</f>
        <v>2021</v>
      </c>
      <c r="C23" s="16">
        <f>data!X$55</f>
        <v>7130</v>
      </c>
      <c r="D23" s="16" t="s">
        <v>1123</v>
      </c>
      <c r="E23" s="222">
        <f>ROUND(data!X59,0)</f>
        <v>135207</v>
      </c>
      <c r="F23" s="212">
        <f>ROUND(data!X60,2)</f>
        <v>8.16</v>
      </c>
      <c r="G23" s="222">
        <f>ROUND(data!X61,0)</f>
        <v>1075137</v>
      </c>
      <c r="H23" s="222">
        <f>ROUND(data!X62,0)</f>
        <v>222828</v>
      </c>
      <c r="I23" s="222">
        <f>ROUND(data!X63,0)</f>
        <v>0</v>
      </c>
      <c r="J23" s="222">
        <f>ROUND(data!X64,0)</f>
        <v>255516</v>
      </c>
      <c r="K23" s="222">
        <f>ROUND(data!X65,0)</f>
        <v>10222</v>
      </c>
      <c r="L23" s="222">
        <f>ROUND(data!X66,0)</f>
        <v>380944</v>
      </c>
      <c r="M23" s="66">
        <f>ROUND(data!X67,0)</f>
        <v>274213</v>
      </c>
      <c r="N23" s="222">
        <f>ROUND(data!X68,0)</f>
        <v>-67</v>
      </c>
      <c r="O23" s="222">
        <f>ROUND(data!X69,0)</f>
        <v>6051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6051</v>
      </c>
      <c r="AD23" s="222">
        <f>ROUND(data!X84,0)</f>
        <v>0</v>
      </c>
      <c r="AE23" s="222">
        <f>ROUND(data!X89,0)</f>
        <v>76446604</v>
      </c>
      <c r="AF23" s="222">
        <f>ROUND(data!X87,0)</f>
        <v>21260625</v>
      </c>
      <c r="AG23" s="222">
        <f>IF(data!X90&gt;0,ROUND(data!X90,0),0)</f>
        <v>1929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183</v>
      </c>
      <c r="B24" s="224" t="str">
        <f>RIGHT(data!$C$96,4)</f>
        <v>2021</v>
      </c>
      <c r="C24" s="16">
        <f>data!Y$55</f>
        <v>7140</v>
      </c>
      <c r="D24" s="16" t="s">
        <v>1123</v>
      </c>
      <c r="E24" s="222">
        <f>ROUND(data!Y59,0)</f>
        <v>96742</v>
      </c>
      <c r="F24" s="212">
        <f>ROUND(data!Y60,2)</f>
        <v>33.729999999999997</v>
      </c>
      <c r="G24" s="222">
        <f>ROUND(data!Y61,0)</f>
        <v>3862427</v>
      </c>
      <c r="H24" s="222">
        <f>ROUND(data!Y62,0)</f>
        <v>841652</v>
      </c>
      <c r="I24" s="222">
        <f>ROUND(data!Y63,0)</f>
        <v>0</v>
      </c>
      <c r="J24" s="222">
        <f>ROUND(data!Y64,0)</f>
        <v>3290435</v>
      </c>
      <c r="K24" s="222">
        <f>ROUND(data!Y65,0)</f>
        <v>70768</v>
      </c>
      <c r="L24" s="222">
        <f>ROUND(data!Y66,0)</f>
        <v>-400122</v>
      </c>
      <c r="M24" s="66">
        <f>ROUND(data!Y67,0)</f>
        <v>623339</v>
      </c>
      <c r="N24" s="222">
        <f>ROUND(data!Y68,0)</f>
        <v>0</v>
      </c>
      <c r="O24" s="222">
        <f>ROUND(data!Y69,0)</f>
        <v>10263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10263</v>
      </c>
      <c r="AD24" s="222">
        <f>ROUND(data!Y84,0)</f>
        <v>0</v>
      </c>
      <c r="AE24" s="222">
        <f>ROUND(data!Y89,0)</f>
        <v>76599452</v>
      </c>
      <c r="AF24" s="222">
        <f>ROUND(data!Y87,0)</f>
        <v>27946622</v>
      </c>
      <c r="AG24" s="222">
        <f>IF(data!Y90&gt;0,ROUND(data!Y90,0),0)</f>
        <v>12750</v>
      </c>
      <c r="AH24" s="222">
        <f>IF(data!Y91&gt;0,ROUND(data!Y91,0),0)</f>
        <v>0</v>
      </c>
      <c r="AI24" s="222">
        <f>IF(data!Y92&gt;0,ROUND(data!Y92,0),0)</f>
        <v>3071</v>
      </c>
      <c r="AJ24" s="222">
        <f>IF(data!Y93&gt;0,ROUND(data!Y93,0),0)</f>
        <v>81838</v>
      </c>
      <c r="AK24" s="212">
        <f>IF(data!Y94&gt;0,ROUND(data!Y94,2),0)</f>
        <v>4.13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183</v>
      </c>
      <c r="B25" s="224" t="str">
        <f>RIGHT(data!$C$96,4)</f>
        <v>2021</v>
      </c>
      <c r="C25" s="16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884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91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183</v>
      </c>
      <c r="B26" s="224" t="str">
        <f>RIGHT(data!$C$96,4)</f>
        <v>2021</v>
      </c>
      <c r="C26" s="16">
        <f>data!AA$55</f>
        <v>7160</v>
      </c>
      <c r="D26" s="16" t="s">
        <v>1123</v>
      </c>
      <c r="E26" s="222">
        <f>ROUND(data!AA59,0)</f>
        <v>14275</v>
      </c>
      <c r="F26" s="212">
        <f>ROUND(data!AA60,2)</f>
        <v>2.34</v>
      </c>
      <c r="G26" s="222">
        <f>ROUND(data!AA61,0)</f>
        <v>320983</v>
      </c>
      <c r="H26" s="222">
        <f>ROUND(data!AA62,0)</f>
        <v>63822</v>
      </c>
      <c r="I26" s="222">
        <f>ROUND(data!AA63,0)</f>
        <v>0</v>
      </c>
      <c r="J26" s="222">
        <f>ROUND(data!AA64,0)</f>
        <v>200970</v>
      </c>
      <c r="K26" s="222">
        <f>ROUND(data!AA65,0)</f>
        <v>14628</v>
      </c>
      <c r="L26" s="222">
        <f>ROUND(data!AA66,0)</f>
        <v>35792</v>
      </c>
      <c r="M26" s="66">
        <f>ROUND(data!AA67,0)</f>
        <v>51527</v>
      </c>
      <c r="N26" s="222">
        <f>ROUND(data!AA68,0)</f>
        <v>0</v>
      </c>
      <c r="O26" s="222">
        <f>ROUND(data!AA69,0)</f>
        <v>1182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1182</v>
      </c>
      <c r="AD26" s="222">
        <f>ROUND(data!AA84,0)</f>
        <v>0</v>
      </c>
      <c r="AE26" s="222">
        <f>ROUND(data!AA89,0)</f>
        <v>5674379</v>
      </c>
      <c r="AF26" s="222">
        <f>ROUND(data!AA87,0)</f>
        <v>1355162</v>
      </c>
      <c r="AG26" s="222">
        <f>IF(data!AA90&gt;0,ROUND(data!AA90,0),0)</f>
        <v>2737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5495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183</v>
      </c>
      <c r="B27" s="224" t="str">
        <f>RIGHT(data!$C$96,4)</f>
        <v>2021</v>
      </c>
      <c r="C27" s="16">
        <f>data!AB$55</f>
        <v>7170</v>
      </c>
      <c r="D27" s="16" t="s">
        <v>1123</v>
      </c>
      <c r="E27" s="222"/>
      <c r="F27" s="212">
        <f>ROUND(data!AB60,2)</f>
        <v>34.54</v>
      </c>
      <c r="G27" s="222">
        <f>ROUND(data!AB61,0)</f>
        <v>4225319</v>
      </c>
      <c r="H27" s="222">
        <f>ROUND(data!AB62,0)</f>
        <v>903059</v>
      </c>
      <c r="I27" s="222">
        <f>ROUND(data!AB63,0)</f>
        <v>0</v>
      </c>
      <c r="J27" s="222">
        <f>ROUND(data!AB64,0)</f>
        <v>5341159</v>
      </c>
      <c r="K27" s="222">
        <f>ROUND(data!AB65,0)</f>
        <v>12108</v>
      </c>
      <c r="L27" s="222">
        <f>ROUND(data!AB66,0)</f>
        <v>169068</v>
      </c>
      <c r="M27" s="66">
        <f>ROUND(data!AB67,0)</f>
        <v>62214</v>
      </c>
      <c r="N27" s="222">
        <f>ROUND(data!AB68,0)</f>
        <v>0</v>
      </c>
      <c r="O27" s="222">
        <f>ROUND(data!AB69,0)</f>
        <v>29842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29842</v>
      </c>
      <c r="AD27" s="222">
        <f>ROUND(data!AB84,0)</f>
        <v>3111</v>
      </c>
      <c r="AE27" s="222">
        <f>ROUND(data!AB89,0)</f>
        <v>48013818</v>
      </c>
      <c r="AF27" s="222">
        <f>ROUND(data!AB87,0)</f>
        <v>34545302</v>
      </c>
      <c r="AG27" s="222">
        <f>IF(data!AB90&gt;0,ROUND(data!AB90,0),0)</f>
        <v>1110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2295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183</v>
      </c>
      <c r="B28" s="224" t="str">
        <f>RIGHT(data!$C$96,4)</f>
        <v>2021</v>
      </c>
      <c r="C28" s="16">
        <f>data!AC$55</f>
        <v>7180</v>
      </c>
      <c r="D28" s="16" t="s">
        <v>1123</v>
      </c>
      <c r="E28" s="222">
        <f>ROUND(data!AC59,0)</f>
        <v>63684</v>
      </c>
      <c r="F28" s="212">
        <f>ROUND(data!AC60,2)</f>
        <v>17.82</v>
      </c>
      <c r="G28" s="222">
        <f>ROUND(data!AC61,0)</f>
        <v>2245817</v>
      </c>
      <c r="H28" s="222">
        <f>ROUND(data!AC62,0)</f>
        <v>419557</v>
      </c>
      <c r="I28" s="222">
        <f>ROUND(data!AC63,0)</f>
        <v>0</v>
      </c>
      <c r="J28" s="222">
        <f>ROUND(data!AC64,0)</f>
        <v>222573</v>
      </c>
      <c r="K28" s="222">
        <f>ROUND(data!AC65,0)</f>
        <v>7167</v>
      </c>
      <c r="L28" s="222">
        <f>ROUND(data!AC66,0)</f>
        <v>53560</v>
      </c>
      <c r="M28" s="66">
        <f>ROUND(data!AC67,0)</f>
        <v>74700</v>
      </c>
      <c r="N28" s="222">
        <f>ROUND(data!AC68,0)</f>
        <v>2709</v>
      </c>
      <c r="O28" s="222">
        <f>ROUND(data!AC69,0)</f>
        <v>20352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20352</v>
      </c>
      <c r="AD28" s="222">
        <f>ROUND(data!AC84,0)</f>
        <v>0</v>
      </c>
      <c r="AE28" s="222">
        <f>ROUND(data!AC89,0)</f>
        <v>29689356</v>
      </c>
      <c r="AF28" s="222">
        <f>ROUND(data!AC87,0)</f>
        <v>27406176</v>
      </c>
      <c r="AG28" s="222">
        <f>IF(data!AC90&gt;0,ROUND(data!AC90,0),0)</f>
        <v>1292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3988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183</v>
      </c>
      <c r="B29" s="224" t="str">
        <f>RIGHT(data!$C$96,4)</f>
        <v>2021</v>
      </c>
      <c r="C29" s="16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1102</v>
      </c>
      <c r="L29" s="222">
        <f>ROUND(data!AD66,0)</f>
        <v>1177963</v>
      </c>
      <c r="M29" s="66">
        <f>ROUND(data!AD67,0)</f>
        <v>3457</v>
      </c>
      <c r="N29" s="222">
        <f>ROUND(data!AD68,0)</f>
        <v>0</v>
      </c>
      <c r="O29" s="222">
        <f>ROUND(data!AD69,0)</f>
        <v>91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91</v>
      </c>
      <c r="AD29" s="222">
        <f>ROUND(data!AD84,0)</f>
        <v>0</v>
      </c>
      <c r="AE29" s="222">
        <f>ROUND(data!AD89,0)</f>
        <v>2179164</v>
      </c>
      <c r="AF29" s="222">
        <f>ROUND(data!AD87,0)</f>
        <v>2130730</v>
      </c>
      <c r="AG29" s="222">
        <f>IF(data!AD90&gt;0,ROUND(data!AD90,0),0)</f>
        <v>211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183</v>
      </c>
      <c r="B30" s="224" t="str">
        <f>RIGHT(data!$C$96,4)</f>
        <v>2021</v>
      </c>
      <c r="C30" s="16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0</v>
      </c>
      <c r="AF30" s="222">
        <f>ROUND(data!AE87,0)</f>
        <v>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183</v>
      </c>
      <c r="B31" s="224" t="str">
        <f>RIGHT(data!$C$96,4)</f>
        <v>2021</v>
      </c>
      <c r="C31" s="16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183</v>
      </c>
      <c r="B32" s="224" t="str">
        <f>RIGHT(data!$C$96,4)</f>
        <v>2021</v>
      </c>
      <c r="C32" s="16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121.58</v>
      </c>
      <c r="G32" s="222">
        <f>ROUND(data!AG61,0)</f>
        <v>20772907</v>
      </c>
      <c r="H32" s="222">
        <f>ROUND(data!AG62,0)</f>
        <v>1989854</v>
      </c>
      <c r="I32" s="222">
        <f>ROUND(data!AG63,0)</f>
        <v>279672</v>
      </c>
      <c r="J32" s="222">
        <f>ROUND(data!AG64,0)</f>
        <v>1915984</v>
      </c>
      <c r="K32" s="222">
        <f>ROUND(data!AG65,0)</f>
        <v>111639</v>
      </c>
      <c r="L32" s="222">
        <f>ROUND(data!AG66,0)</f>
        <v>1154732</v>
      </c>
      <c r="M32" s="66">
        <f>ROUND(data!AG67,0)</f>
        <v>499989</v>
      </c>
      <c r="N32" s="222">
        <f>ROUND(data!AG68,0)</f>
        <v>35021</v>
      </c>
      <c r="O32" s="222">
        <f>ROUND(data!AG69,0)</f>
        <v>37652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37652</v>
      </c>
      <c r="AD32" s="222">
        <f>ROUND(data!AG84,0)</f>
        <v>28447</v>
      </c>
      <c r="AE32" s="222">
        <f>ROUND(data!AG89,0)</f>
        <v>192577978</v>
      </c>
      <c r="AF32" s="222">
        <f>ROUND(data!AG87,0)</f>
        <v>53306500</v>
      </c>
      <c r="AG32" s="222">
        <f>IF(data!AG90&gt;0,ROUND(data!AG90,0),0)</f>
        <v>20650</v>
      </c>
      <c r="AH32" s="222">
        <f>IF(data!AG91&gt;0,ROUND(data!AG91,0),0)</f>
        <v>16293</v>
      </c>
      <c r="AI32" s="222">
        <f>IF(data!AG92&gt;0,ROUND(data!AG92,0),0)</f>
        <v>2972</v>
      </c>
      <c r="AJ32" s="222">
        <f>IF(data!AG93&gt;0,ROUND(data!AG93,0),0)</f>
        <v>177535</v>
      </c>
      <c r="AK32" s="212">
        <f>IF(data!AG94&gt;0,ROUND(data!AG94,2),0)</f>
        <v>66.319999999999993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183</v>
      </c>
      <c r="B33" s="224" t="str">
        <f>RIGHT(data!$C$96,4)</f>
        <v>2021</v>
      </c>
      <c r="C33" s="16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183</v>
      </c>
      <c r="B34" s="224" t="str">
        <f>RIGHT(data!$C$96,4)</f>
        <v>2021</v>
      </c>
      <c r="C34" s="16">
        <f>data!AI$55</f>
        <v>7250</v>
      </c>
      <c r="D34" s="16" t="s">
        <v>1123</v>
      </c>
      <c r="E34" s="222">
        <f>ROUND(data!AI59,0)</f>
        <v>726405</v>
      </c>
      <c r="F34" s="212">
        <f>ROUND(data!AI60,2)</f>
        <v>10.02</v>
      </c>
      <c r="G34" s="222">
        <f>ROUND(data!AI61,0)</f>
        <v>1481881</v>
      </c>
      <c r="H34" s="222">
        <f>ROUND(data!AI62,0)</f>
        <v>222613</v>
      </c>
      <c r="I34" s="222">
        <f>ROUND(data!AI63,0)</f>
        <v>0</v>
      </c>
      <c r="J34" s="222">
        <f>ROUND(data!AI64,0)</f>
        <v>236783</v>
      </c>
      <c r="K34" s="222">
        <f>ROUND(data!AI65,0)</f>
        <v>1408</v>
      </c>
      <c r="L34" s="222">
        <f>ROUND(data!AI66,0)</f>
        <v>98696</v>
      </c>
      <c r="M34" s="66">
        <f>ROUND(data!AI67,0)</f>
        <v>17753</v>
      </c>
      <c r="N34" s="222">
        <f>ROUND(data!AI68,0)</f>
        <v>0</v>
      </c>
      <c r="O34" s="222">
        <f>ROUND(data!AI69,0)</f>
        <v>457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457</v>
      </c>
      <c r="AD34" s="222">
        <f>ROUND(data!AI84,0)</f>
        <v>0</v>
      </c>
      <c r="AE34" s="222">
        <f>ROUND(data!AI89,0)</f>
        <v>5672104</v>
      </c>
      <c r="AF34" s="222">
        <f>ROUND(data!AI87,0)</f>
        <v>1857321</v>
      </c>
      <c r="AG34" s="222">
        <f>IF(data!AI90&gt;0,ROUND(data!AI90,0),0)</f>
        <v>109</v>
      </c>
      <c r="AH34" s="222">
        <f>IF(data!AI91&gt;0,ROUND(data!AI91,0),0)</f>
        <v>653</v>
      </c>
      <c r="AI34" s="222">
        <f>IF(data!AI92&gt;0,ROUND(data!AI92,0),0)</f>
        <v>0</v>
      </c>
      <c r="AJ34" s="222">
        <f>IF(data!AI93&gt;0,ROUND(data!AI93,0),0)</f>
        <v>37388</v>
      </c>
      <c r="AK34" s="212">
        <f>IF(data!AI94&gt;0,ROUND(data!AI94,2),0)</f>
        <v>7.69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183</v>
      </c>
      <c r="B35" s="224" t="str">
        <f>RIGHT(data!$C$96,4)</f>
        <v>2021</v>
      </c>
      <c r="C35" s="16">
        <f>data!AJ$55</f>
        <v>7260</v>
      </c>
      <c r="D35" s="16" t="s">
        <v>1123</v>
      </c>
      <c r="E35" s="222">
        <f>ROUND(data!AJ59,0)</f>
        <v>14269</v>
      </c>
      <c r="F35" s="212">
        <f>ROUND(data!AJ60,2)</f>
        <v>9.16</v>
      </c>
      <c r="G35" s="222">
        <f>ROUND(data!AJ61,0)</f>
        <v>1033864</v>
      </c>
      <c r="H35" s="222">
        <f>ROUND(data!AJ62,0)</f>
        <v>238586</v>
      </c>
      <c r="I35" s="222">
        <f>ROUND(data!AJ63,0)</f>
        <v>0</v>
      </c>
      <c r="J35" s="222">
        <f>ROUND(data!AJ64,0)</f>
        <v>135435</v>
      </c>
      <c r="K35" s="222">
        <f>ROUND(data!AJ65,0)</f>
        <v>574</v>
      </c>
      <c r="L35" s="222">
        <f>ROUND(data!AJ66,0)</f>
        <v>-709199</v>
      </c>
      <c r="M35" s="66">
        <f>ROUND(data!AJ67,0)</f>
        <v>58002</v>
      </c>
      <c r="N35" s="222">
        <f>ROUND(data!AJ68,0)</f>
        <v>127274</v>
      </c>
      <c r="O35" s="222">
        <f>ROUND(data!AJ69,0)</f>
        <v>2133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2133</v>
      </c>
      <c r="AD35" s="222">
        <f>ROUND(data!AJ84,0)</f>
        <v>0</v>
      </c>
      <c r="AE35" s="222">
        <f>ROUND(data!AJ89,0)</f>
        <v>4617610</v>
      </c>
      <c r="AF35" s="222">
        <f>ROUND(data!AJ87,0)</f>
        <v>-3176</v>
      </c>
      <c r="AG35" s="222">
        <f>IF(data!AJ90&gt;0,ROUND(data!AJ90,0),0)</f>
        <v>83</v>
      </c>
      <c r="AH35" s="222">
        <f>IF(data!AJ91&gt;0,ROUND(data!AJ91,0),0)</f>
        <v>0</v>
      </c>
      <c r="AI35" s="222">
        <f>IF(data!AJ92&gt;0,ROUND(data!AJ92,0),0)</f>
        <v>17243</v>
      </c>
      <c r="AJ35" s="222">
        <f>IF(data!AJ93&gt;0,ROUND(data!AJ93,0),0)</f>
        <v>0</v>
      </c>
      <c r="AK35" s="212">
        <f>IF(data!AJ94&gt;0,ROUND(data!AJ94,2),0)</f>
        <v>2.91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183</v>
      </c>
      <c r="B36" s="224" t="str">
        <f>RIGHT(data!$C$96,4)</f>
        <v>2021</v>
      </c>
      <c r="C36" s="16">
        <f>data!AK$55</f>
        <v>7310</v>
      </c>
      <c r="D36" s="16" t="s">
        <v>1123</v>
      </c>
      <c r="E36" s="222">
        <f>ROUND(data!AK59,0)</f>
        <v>824</v>
      </c>
      <c r="F36" s="212">
        <f>ROUND(data!AK60,2)</f>
        <v>0.16</v>
      </c>
      <c r="G36" s="222">
        <f>ROUND(data!AK61,0)</f>
        <v>4670</v>
      </c>
      <c r="H36" s="222">
        <f>ROUND(data!AK62,0)</f>
        <v>4004</v>
      </c>
      <c r="I36" s="222">
        <f>ROUND(data!AK63,0)</f>
        <v>0</v>
      </c>
      <c r="J36" s="222">
        <f>ROUND(data!AK64,0)</f>
        <v>201</v>
      </c>
      <c r="K36" s="222">
        <f>ROUND(data!AK65,0)</f>
        <v>250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66070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183</v>
      </c>
      <c r="B37" s="224" t="str">
        <f>RIGHT(data!$C$96,4)</f>
        <v>2021</v>
      </c>
      <c r="C37" s="16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31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183</v>
      </c>
      <c r="B38" s="224" t="str">
        <f>RIGHT(data!$C$96,4)</f>
        <v>2021</v>
      </c>
      <c r="C38" s="16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183</v>
      </c>
      <c r="B39" s="224" t="str">
        <f>RIGHT(data!$C$96,4)</f>
        <v>2021</v>
      </c>
      <c r="C39" s="16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183</v>
      </c>
      <c r="B40" s="224" t="str">
        <f>RIGHT(data!$C$96,4)</f>
        <v>2021</v>
      </c>
      <c r="C40" s="16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114</v>
      </c>
      <c r="H40" s="222">
        <f>ROUND(data!AO62,0)</f>
        <v>1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-5349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2263</v>
      </c>
      <c r="AF40" s="222">
        <f>ROUND(data!AO87,0)</f>
        <v>2263</v>
      </c>
      <c r="AG40" s="222">
        <f>IF(data!AO90&gt;0,ROUND(data!AO90,0),0)</f>
        <v>0</v>
      </c>
      <c r="AH40" s="222">
        <f>IF(data!AO91&gt;0,ROUND(data!AO91,0),0)</f>
        <v>14620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183</v>
      </c>
      <c r="B41" s="224" t="str">
        <f>RIGHT(data!$C$96,4)</f>
        <v>2021</v>
      </c>
      <c r="C41" s="16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183</v>
      </c>
      <c r="B42" s="224" t="str">
        <f>RIGHT(data!$C$96,4)</f>
        <v>2021</v>
      </c>
      <c r="C42" s="16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183</v>
      </c>
      <c r="B43" s="224" t="str">
        <f>RIGHT(data!$C$96,4)</f>
        <v>2021</v>
      </c>
      <c r="C43" s="16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183</v>
      </c>
      <c r="B44" s="224" t="str">
        <f>RIGHT(data!$C$96,4)</f>
        <v>2021</v>
      </c>
      <c r="C44" s="16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183</v>
      </c>
      <c r="B45" s="224" t="str">
        <f>RIGHT(data!$C$96,4)</f>
        <v>2021</v>
      </c>
      <c r="C45" s="16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183</v>
      </c>
      <c r="B46" s="224" t="str">
        <f>RIGHT(data!$C$96,4)</f>
        <v>2021</v>
      </c>
      <c r="C46" s="16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183</v>
      </c>
      <c r="B47" s="224" t="str">
        <f>RIGHT(data!$C$96,4)</f>
        <v>2021</v>
      </c>
      <c r="C47" s="16">
        <f>data!AV$55</f>
        <v>7490</v>
      </c>
      <c r="D47" s="16" t="s">
        <v>1123</v>
      </c>
      <c r="E47" s="222"/>
      <c r="F47" s="212">
        <f>ROUND(data!AV60,2)</f>
        <v>43.79</v>
      </c>
      <c r="G47" s="222">
        <f>ROUND(data!AV61,0)</f>
        <v>6170701</v>
      </c>
      <c r="H47" s="222">
        <f>ROUND(data!AV62,0)</f>
        <v>1128877</v>
      </c>
      <c r="I47" s="222">
        <f>ROUND(data!AV63,0)</f>
        <v>1126383</v>
      </c>
      <c r="J47" s="222">
        <f>ROUND(data!AV64,0)</f>
        <v>641510</v>
      </c>
      <c r="K47" s="222">
        <f>ROUND(data!AV65,0)</f>
        <v>36788</v>
      </c>
      <c r="L47" s="222">
        <f>ROUND(data!AV66,0)</f>
        <v>-321829</v>
      </c>
      <c r="M47" s="66">
        <f>ROUND(data!AV67,0)</f>
        <v>251180</v>
      </c>
      <c r="N47" s="222">
        <f>ROUND(data!AV68,0)</f>
        <v>257364</v>
      </c>
      <c r="O47" s="222">
        <f>ROUND(data!AV69,0)</f>
        <v>56742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56742</v>
      </c>
      <c r="AD47" s="222">
        <f>ROUND(data!AV84,0)</f>
        <v>12939</v>
      </c>
      <c r="AE47" s="222">
        <f>ROUND(data!AV89,0)</f>
        <v>35973655</v>
      </c>
      <c r="AF47" s="222">
        <f>ROUND(data!AV87,0)</f>
        <v>15700996</v>
      </c>
      <c r="AG47" s="222">
        <f>IF(data!AV90&gt;0,ROUND(data!AV90,0),0)</f>
        <v>4090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6793</v>
      </c>
      <c r="AK47" s="212">
        <f>IF(data!AV94&gt;0,ROUND(data!AV94,2),0)</f>
        <v>10.25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183</v>
      </c>
      <c r="B48" s="224" t="str">
        <f>RIGHT(data!$C$96,4)</f>
        <v>2021</v>
      </c>
      <c r="C48" s="16">
        <f>data!AW$55</f>
        <v>8200</v>
      </c>
      <c r="D48" s="16" t="s">
        <v>1123</v>
      </c>
      <c r="E48" s="222"/>
      <c r="F48" s="212">
        <f>ROUND(data!AW60,2)</f>
        <v>27.64</v>
      </c>
      <c r="G48" s="222">
        <f>ROUND(data!AW61,0)</f>
        <v>3484768</v>
      </c>
      <c r="H48" s="222">
        <f>ROUND(data!AW62,0)</f>
        <v>507548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504</v>
      </c>
      <c r="M48" s="66">
        <f>ROUND(data!AW67,0)</f>
        <v>0</v>
      </c>
      <c r="N48" s="222">
        <f>ROUND(data!AW68,0)</f>
        <v>0</v>
      </c>
      <c r="O48" s="222">
        <f>ROUND(data!AW69,0)</f>
        <v>2500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2500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8.3699999999999992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183</v>
      </c>
      <c r="B49" s="224" t="str">
        <f>RIGHT(data!$C$96,4)</f>
        <v>2021</v>
      </c>
      <c r="C49" s="16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183</v>
      </c>
      <c r="B50" s="224" t="str">
        <f>RIGHT(data!$C$96,4)</f>
        <v>2021</v>
      </c>
      <c r="C50" s="16">
        <f>data!AY$55</f>
        <v>8320</v>
      </c>
      <c r="D50" s="16" t="s">
        <v>1123</v>
      </c>
      <c r="E50" s="222">
        <f>ROUND(data!AY59,0)</f>
        <v>160041</v>
      </c>
      <c r="F50" s="212">
        <f>ROUND(data!AY60,2)</f>
        <v>29.65</v>
      </c>
      <c r="G50" s="222">
        <f>ROUND(data!AY61,0)</f>
        <v>1838132</v>
      </c>
      <c r="H50" s="222">
        <f>ROUND(data!AY62,0)</f>
        <v>641007</v>
      </c>
      <c r="I50" s="222">
        <f>ROUND(data!AY63,0)</f>
        <v>0</v>
      </c>
      <c r="J50" s="222">
        <f>ROUND(data!AY64,0)</f>
        <v>640467</v>
      </c>
      <c r="K50" s="222">
        <f>ROUND(data!AY65,0)</f>
        <v>31687</v>
      </c>
      <c r="L50" s="222">
        <f>ROUND(data!AY66,0)</f>
        <v>61828</v>
      </c>
      <c r="M50" s="66">
        <f>ROUND(data!AY67,0)</f>
        <v>120660</v>
      </c>
      <c r="N50" s="222">
        <f>ROUND(data!AY68,0)</f>
        <v>0</v>
      </c>
      <c r="O50" s="222">
        <f>ROUND(data!AY69,0)</f>
        <v>19071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19071</v>
      </c>
      <c r="AD50" s="222">
        <f>ROUND(data!AY84,0)</f>
        <v>722708</v>
      </c>
      <c r="AE50" s="222"/>
      <c r="AF50" s="222"/>
      <c r="AG50" s="222">
        <f>IF(data!AY90&gt;0,ROUND(data!AY90,0),0)</f>
        <v>5981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183</v>
      </c>
      <c r="B51" s="224" t="str">
        <f>RIGHT(data!$C$96,4)</f>
        <v>2021</v>
      </c>
      <c r="C51" s="16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183</v>
      </c>
      <c r="B52" s="224" t="str">
        <f>RIGHT(data!$C$96,4)</f>
        <v>2021</v>
      </c>
      <c r="C52" s="16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1.2</v>
      </c>
      <c r="G52" s="222">
        <f>ROUND(data!BA61,0)</f>
        <v>52018</v>
      </c>
      <c r="H52" s="222">
        <f>ROUND(data!BA62,0)</f>
        <v>24792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-62367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183</v>
      </c>
      <c r="B53" s="224" t="str">
        <f>RIGHT(data!$C$96,4)</f>
        <v>2021</v>
      </c>
      <c r="C53" s="16">
        <f>data!BB$55</f>
        <v>8360</v>
      </c>
      <c r="D53" s="16" t="s">
        <v>1123</v>
      </c>
      <c r="E53" s="222"/>
      <c r="F53" s="212">
        <f>ROUND(data!BB60,2)</f>
        <v>9.65</v>
      </c>
      <c r="G53" s="222">
        <f>ROUND(data!BB61,0)</f>
        <v>1066104</v>
      </c>
      <c r="H53" s="222">
        <f>ROUND(data!BB62,0)</f>
        <v>248401</v>
      </c>
      <c r="I53" s="222">
        <f>ROUND(data!BB63,0)</f>
        <v>0</v>
      </c>
      <c r="J53" s="222">
        <f>ROUND(data!BB64,0)</f>
        <v>0</v>
      </c>
      <c r="K53" s="222">
        <f>ROUND(data!BB65,0)</f>
        <v>579</v>
      </c>
      <c r="L53" s="222">
        <f>ROUND(data!BB66,0)</f>
        <v>12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183</v>
      </c>
      <c r="B54" s="224" t="str">
        <f>RIGHT(data!$C$96,4)</f>
        <v>2021</v>
      </c>
      <c r="C54" s="16">
        <f>data!BC$55</f>
        <v>8370</v>
      </c>
      <c r="D54" s="16" t="s">
        <v>1123</v>
      </c>
      <c r="E54" s="222"/>
      <c r="F54" s="212">
        <f>ROUND(data!BC60,2)</f>
        <v>6.2</v>
      </c>
      <c r="G54" s="222">
        <f>ROUND(data!BC61,0)</f>
        <v>288727</v>
      </c>
      <c r="H54" s="222">
        <f>ROUND(data!BC62,0)</f>
        <v>126712</v>
      </c>
      <c r="I54" s="222">
        <f>ROUND(data!BC63,0)</f>
        <v>0</v>
      </c>
      <c r="J54" s="222">
        <f>ROUND(data!BC64,0)</f>
        <v>4035</v>
      </c>
      <c r="K54" s="222">
        <f>ROUND(data!BC65,0)</f>
        <v>8722</v>
      </c>
      <c r="L54" s="222">
        <f>ROUND(data!BC66,0)</f>
        <v>504</v>
      </c>
      <c r="M54" s="66">
        <f>ROUND(data!BC67,0)</f>
        <v>20809</v>
      </c>
      <c r="N54" s="222">
        <f>ROUND(data!BC68,0)</f>
        <v>0</v>
      </c>
      <c r="O54" s="222">
        <f>ROUND(data!BC69,0)</f>
        <v>336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336</v>
      </c>
      <c r="AD54" s="222">
        <f>ROUND(data!BC84,0)</f>
        <v>0</v>
      </c>
      <c r="AE54" s="222"/>
      <c r="AF54" s="222"/>
      <c r="AG54" s="222">
        <f>IF(data!BC90&gt;0,ROUND(data!BC90,0),0)</f>
        <v>778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183</v>
      </c>
      <c r="B55" s="224" t="str">
        <f>RIGHT(data!$C$96,4)</f>
        <v>2021</v>
      </c>
      <c r="C55" s="16">
        <f>data!BD$55</f>
        <v>8420</v>
      </c>
      <c r="D55" s="16" t="s">
        <v>1123</v>
      </c>
      <c r="E55" s="222"/>
      <c r="F55" s="212">
        <f>ROUND(data!BD60,2)</f>
        <v>10.18</v>
      </c>
      <c r="G55" s="222">
        <f>ROUND(data!BD61,0)</f>
        <v>553797</v>
      </c>
      <c r="H55" s="222">
        <f>ROUND(data!BD62,0)</f>
        <v>214250</v>
      </c>
      <c r="I55" s="222">
        <f>ROUND(data!BD63,0)</f>
        <v>0</v>
      </c>
      <c r="J55" s="222">
        <f>ROUND(data!BD64,0)</f>
        <v>-244</v>
      </c>
      <c r="K55" s="222">
        <f>ROUND(data!BD65,0)</f>
        <v>6171</v>
      </c>
      <c r="L55" s="222">
        <f>ROUND(data!BD66,0)</f>
        <v>5093</v>
      </c>
      <c r="M55" s="66">
        <f>ROUND(data!BD67,0)</f>
        <v>19251</v>
      </c>
      <c r="N55" s="222">
        <f>ROUND(data!BD68,0)</f>
        <v>689</v>
      </c>
      <c r="O55" s="222">
        <f>ROUND(data!BD69,0)</f>
        <v>507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507</v>
      </c>
      <c r="AD55" s="222">
        <f>ROUND(data!BD84,0)</f>
        <v>0</v>
      </c>
      <c r="AE55" s="222"/>
      <c r="AF55" s="222"/>
      <c r="AG55" s="222">
        <f>IF(data!BD90&gt;0,ROUND(data!BD90,0),0)</f>
        <v>1174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4492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183</v>
      </c>
      <c r="B56" s="224" t="str">
        <f>RIGHT(data!$C$96,4)</f>
        <v>2021</v>
      </c>
      <c r="C56" s="16">
        <f>data!BE$55</f>
        <v>8430</v>
      </c>
      <c r="D56" s="16" t="s">
        <v>1123</v>
      </c>
      <c r="E56" s="222">
        <f>ROUND(data!BE59,0)</f>
        <v>218919</v>
      </c>
      <c r="F56" s="212">
        <f>ROUND(data!BE60,2)</f>
        <v>10.73</v>
      </c>
      <c r="G56" s="222">
        <f>ROUND(data!BE61,0)</f>
        <v>1146557</v>
      </c>
      <c r="H56" s="222">
        <f>ROUND(data!BE62,0)</f>
        <v>275502</v>
      </c>
      <c r="I56" s="222">
        <f>ROUND(data!BE63,0)</f>
        <v>0</v>
      </c>
      <c r="J56" s="222">
        <f>ROUND(data!BE64,0)</f>
        <v>10037</v>
      </c>
      <c r="K56" s="222">
        <f>ROUND(data!BE65,0)</f>
        <v>256951</v>
      </c>
      <c r="L56" s="222">
        <f>ROUND(data!BE66,0)</f>
        <v>660338</v>
      </c>
      <c r="M56" s="66">
        <f>ROUND(data!BE67,0)</f>
        <v>835398</v>
      </c>
      <c r="N56" s="222">
        <f>ROUND(data!BE68,0)</f>
        <v>-11294</v>
      </c>
      <c r="O56" s="222">
        <f>ROUND(data!BE69,0)</f>
        <v>35484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35484</v>
      </c>
      <c r="AD56" s="222">
        <f>ROUND(data!BE84,0)</f>
        <v>0</v>
      </c>
      <c r="AE56" s="222"/>
      <c r="AF56" s="222"/>
      <c r="AG56" s="222">
        <f>IF(data!BE90&gt;0,ROUND(data!BE90,0),0)</f>
        <v>50282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183</v>
      </c>
      <c r="B57" s="224" t="str">
        <f>RIGHT(data!$C$96,4)</f>
        <v>2021</v>
      </c>
      <c r="C57" s="16">
        <f>data!BF$55</f>
        <v>8460</v>
      </c>
      <c r="D57" s="16" t="s">
        <v>1123</v>
      </c>
      <c r="E57" s="222"/>
      <c r="F57" s="212">
        <f>ROUND(data!BF60,2)</f>
        <v>33.799999999999997</v>
      </c>
      <c r="G57" s="222">
        <f>ROUND(data!BF61,0)</f>
        <v>1967209</v>
      </c>
      <c r="H57" s="222">
        <f>ROUND(data!BF62,0)</f>
        <v>700596</v>
      </c>
      <c r="I57" s="222">
        <f>ROUND(data!BF63,0)</f>
        <v>0</v>
      </c>
      <c r="J57" s="222">
        <f>ROUND(data!BF64,0)</f>
        <v>150958</v>
      </c>
      <c r="K57" s="222">
        <f>ROUND(data!BF65,0)</f>
        <v>16358</v>
      </c>
      <c r="L57" s="222">
        <f>ROUND(data!BF66,0)</f>
        <v>148113</v>
      </c>
      <c r="M57" s="66">
        <f>ROUND(data!BF67,0)</f>
        <v>41023</v>
      </c>
      <c r="N57" s="222">
        <f>ROUND(data!BF68,0)</f>
        <v>0</v>
      </c>
      <c r="O57" s="222">
        <f>ROUND(data!BF69,0)</f>
        <v>194955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194955</v>
      </c>
      <c r="AD57" s="222">
        <f>ROUND(data!BF84,0)</f>
        <v>0</v>
      </c>
      <c r="AE57" s="222"/>
      <c r="AF57" s="222"/>
      <c r="AG57" s="222">
        <f>IF(data!BF90&gt;0,ROUND(data!BF90,0),0)</f>
        <v>2235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48929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183</v>
      </c>
      <c r="B58" s="224" t="str">
        <f>RIGHT(data!$C$96,4)</f>
        <v>2021</v>
      </c>
      <c r="C58" s="16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183</v>
      </c>
      <c r="B59" s="224" t="str">
        <f>RIGHT(data!$C$96,4)</f>
        <v>2021</v>
      </c>
      <c r="C59" s="16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183</v>
      </c>
      <c r="B60" s="224" t="str">
        <f>RIGHT(data!$C$96,4)</f>
        <v>2021</v>
      </c>
      <c r="C60" s="16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183</v>
      </c>
      <c r="B61" s="224" t="str">
        <f>RIGHT(data!$C$96,4)</f>
        <v>2021</v>
      </c>
      <c r="C61" s="16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183</v>
      </c>
      <c r="B62" s="224" t="str">
        <f>RIGHT(data!$C$96,4)</f>
        <v>2021</v>
      </c>
      <c r="C62" s="16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183</v>
      </c>
      <c r="B63" s="224" t="str">
        <f>RIGHT(data!$C$96,4)</f>
        <v>2021</v>
      </c>
      <c r="C63" s="16">
        <f>data!BL$55</f>
        <v>8560</v>
      </c>
      <c r="D63" s="16" t="s">
        <v>1123</v>
      </c>
      <c r="E63" s="222"/>
      <c r="F63" s="212">
        <f>ROUND(data!BL60,2)</f>
        <v>14.82</v>
      </c>
      <c r="G63" s="222">
        <f>ROUND(data!BL61,0)</f>
        <v>874601</v>
      </c>
      <c r="H63" s="222">
        <f>ROUND(data!BL62,0)</f>
        <v>320617</v>
      </c>
      <c r="I63" s="222">
        <f>ROUND(data!BL63,0)</f>
        <v>0</v>
      </c>
      <c r="J63" s="222">
        <f>ROUND(data!BL64,0)</f>
        <v>32485</v>
      </c>
      <c r="K63" s="222">
        <f>ROUND(data!BL65,0)</f>
        <v>0</v>
      </c>
      <c r="L63" s="222">
        <f>ROUND(data!BL66,0)</f>
        <v>0</v>
      </c>
      <c r="M63" s="66">
        <f>ROUND(data!BL67,0)</f>
        <v>1359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183</v>
      </c>
      <c r="B64" s="224" t="str">
        <f>RIGHT(data!$C$96,4)</f>
        <v>2021</v>
      </c>
      <c r="C64" s="16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183</v>
      </c>
      <c r="B65" s="224" t="str">
        <f>RIGHT(data!$C$96,4)</f>
        <v>2021</v>
      </c>
      <c r="C65" s="16">
        <f>data!BN$55</f>
        <v>8610</v>
      </c>
      <c r="D65" s="16" t="s">
        <v>1123</v>
      </c>
      <c r="E65" s="222"/>
      <c r="F65" s="212">
        <f>ROUND(data!BN60,2)</f>
        <v>12.51</v>
      </c>
      <c r="G65" s="222">
        <f>ROUND(data!BN61,0)</f>
        <v>2760139</v>
      </c>
      <c r="H65" s="222">
        <f>ROUND(data!BN62,0)</f>
        <v>483862</v>
      </c>
      <c r="I65" s="222">
        <f>ROUND(data!BN63,0)</f>
        <v>2263214</v>
      </c>
      <c r="J65" s="222">
        <f>ROUND(data!BN64,0)</f>
        <v>75172</v>
      </c>
      <c r="K65" s="222">
        <f>ROUND(data!BN65,0)</f>
        <v>34302</v>
      </c>
      <c r="L65" s="222">
        <f>ROUND(data!BN66,0)</f>
        <v>-1539116</v>
      </c>
      <c r="M65" s="66">
        <f>ROUND(data!BN67,0)</f>
        <v>266221</v>
      </c>
      <c r="N65" s="222">
        <f>ROUND(data!BN68,0)</f>
        <v>0</v>
      </c>
      <c r="O65" s="222">
        <f>ROUND(data!BN69,0)</f>
        <v>178847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178847</v>
      </c>
      <c r="AD65" s="222">
        <f>ROUND(data!BN84,0)</f>
        <v>360862</v>
      </c>
      <c r="AE65" s="222"/>
      <c r="AF65" s="222"/>
      <c r="AG65" s="222">
        <f>IF(data!BN90&gt;0,ROUND(data!BN90,0),0)</f>
        <v>5969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183</v>
      </c>
      <c r="B66" s="224" t="str">
        <f>RIGHT(data!$C$96,4)</f>
        <v>2021</v>
      </c>
      <c r="C66" s="16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183</v>
      </c>
      <c r="B67" s="224" t="str">
        <f>RIGHT(data!$C$96,4)</f>
        <v>2021</v>
      </c>
      <c r="C67" s="16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183</v>
      </c>
      <c r="B68" s="224" t="str">
        <f>RIGHT(data!$C$96,4)</f>
        <v>2021</v>
      </c>
      <c r="C68" s="16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183</v>
      </c>
      <c r="B69" s="224" t="str">
        <f>RIGHT(data!$C$96,4)</f>
        <v>2021</v>
      </c>
      <c r="C69" s="16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183</v>
      </c>
      <c r="B70" s="224" t="str">
        <f>RIGHT(data!$C$96,4)</f>
        <v>2021</v>
      </c>
      <c r="C70" s="16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183</v>
      </c>
      <c r="B71" s="224" t="str">
        <f>RIGHT(data!$C$96,4)</f>
        <v>2021</v>
      </c>
      <c r="C71" s="16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183</v>
      </c>
      <c r="B72" s="224" t="str">
        <f>RIGHT(data!$C$96,4)</f>
        <v>2021</v>
      </c>
      <c r="C72" s="16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183</v>
      </c>
      <c r="B73" s="224" t="str">
        <f>RIGHT(data!$C$96,4)</f>
        <v>2021</v>
      </c>
      <c r="C73" s="16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183</v>
      </c>
      <c r="B74" s="224" t="str">
        <f>RIGHT(data!$C$96,4)</f>
        <v>2021</v>
      </c>
      <c r="C74" s="16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183</v>
      </c>
      <c r="B75" s="224" t="str">
        <f>RIGHT(data!$C$96,4)</f>
        <v>2021</v>
      </c>
      <c r="C75" s="16">
        <f>data!BX$55</f>
        <v>8710</v>
      </c>
      <c r="D75" s="16" t="s">
        <v>1123</v>
      </c>
      <c r="E75" s="222"/>
      <c r="F75" s="212">
        <f>ROUND(data!BX60,2)</f>
        <v>11.1</v>
      </c>
      <c r="G75" s="222">
        <f>ROUND(data!BX61,0)</f>
        <v>1625844</v>
      </c>
      <c r="H75" s="222">
        <f>ROUND(data!BX62,0)</f>
        <v>225186</v>
      </c>
      <c r="I75" s="222">
        <f>ROUND(data!BX63,0)</f>
        <v>22193</v>
      </c>
      <c r="J75" s="222">
        <f>ROUND(data!BX64,0)</f>
        <v>5225</v>
      </c>
      <c r="K75" s="222">
        <f>ROUND(data!BX65,0)</f>
        <v>1944</v>
      </c>
      <c r="L75" s="222">
        <f>ROUND(data!BX66,0)</f>
        <v>35740</v>
      </c>
      <c r="M75" s="66">
        <f>ROUND(data!BX67,0)</f>
        <v>2807</v>
      </c>
      <c r="N75" s="222">
        <f>ROUND(data!BX68,0)</f>
        <v>0</v>
      </c>
      <c r="O75" s="222">
        <f>ROUND(data!BX69,0)</f>
        <v>16896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16896</v>
      </c>
      <c r="AD75" s="222">
        <f>ROUND(data!BX84,0)</f>
        <v>26692</v>
      </c>
      <c r="AE75" s="222"/>
      <c r="AF75" s="222"/>
      <c r="AG75" s="222">
        <f>IF(data!BX90&gt;0,ROUND(data!BX90,0),0)</f>
        <v>171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1.82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183</v>
      </c>
      <c r="B76" s="224" t="str">
        <f>RIGHT(data!$C$96,4)</f>
        <v>2021</v>
      </c>
      <c r="C76" s="16">
        <f>data!BY$55</f>
        <v>8720</v>
      </c>
      <c r="D76" s="16" t="s">
        <v>1123</v>
      </c>
      <c r="E76" s="222"/>
      <c r="F76" s="212">
        <f>ROUND(data!BY60,2)</f>
        <v>5.71</v>
      </c>
      <c r="G76" s="222">
        <f>ROUND(data!BY61,0)</f>
        <v>830536</v>
      </c>
      <c r="H76" s="222">
        <f>ROUND(data!BY62,0)</f>
        <v>128799</v>
      </c>
      <c r="I76" s="222">
        <f>ROUND(data!BY63,0)</f>
        <v>164265</v>
      </c>
      <c r="J76" s="222">
        <f>ROUND(data!BY64,0)</f>
        <v>2874</v>
      </c>
      <c r="K76" s="222">
        <f>ROUND(data!BY65,0)</f>
        <v>3830</v>
      </c>
      <c r="L76" s="222">
        <f>ROUND(data!BY66,0)</f>
        <v>132860</v>
      </c>
      <c r="M76" s="66">
        <f>ROUND(data!BY67,0)</f>
        <v>45964</v>
      </c>
      <c r="N76" s="222">
        <f>ROUND(data!BY68,0)</f>
        <v>0</v>
      </c>
      <c r="O76" s="222">
        <f>ROUND(data!BY69,0)</f>
        <v>79942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79942</v>
      </c>
      <c r="AD76" s="222">
        <f>ROUND(data!BY84,0)</f>
        <v>0</v>
      </c>
      <c r="AE76" s="222"/>
      <c r="AF76" s="222"/>
      <c r="AG76" s="222">
        <f>IF(data!BY90&gt;0,ROUND(data!BY90,0),0)</f>
        <v>549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1.18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183</v>
      </c>
      <c r="B77" s="224" t="str">
        <f>RIGHT(data!$C$96,4)</f>
        <v>2021</v>
      </c>
      <c r="C77" s="16">
        <f>data!BZ$55</f>
        <v>8730</v>
      </c>
      <c r="D77" s="16" t="s">
        <v>1123</v>
      </c>
      <c r="E77" s="222"/>
      <c r="F77" s="212">
        <f>ROUND(data!BZ60,2)</f>
        <v>4.6100000000000003</v>
      </c>
      <c r="G77" s="222">
        <f>ROUND(data!BZ61,0)</f>
        <v>746896</v>
      </c>
      <c r="H77" s="222">
        <f>ROUND(data!BZ62,0)</f>
        <v>97833</v>
      </c>
      <c r="I77" s="222">
        <f>ROUND(data!BZ63,0)</f>
        <v>0</v>
      </c>
      <c r="J77" s="222">
        <f>ROUND(data!BZ64,0)</f>
        <v>260</v>
      </c>
      <c r="K77" s="222">
        <f>ROUND(data!BZ65,0)</f>
        <v>999</v>
      </c>
      <c r="L77" s="222">
        <f>ROUND(data!BZ66,0)</f>
        <v>-738642</v>
      </c>
      <c r="M77" s="66">
        <f>ROUND(data!BZ67,0)</f>
        <v>2034</v>
      </c>
      <c r="N77" s="222">
        <f>ROUND(data!BZ68,0)</f>
        <v>0</v>
      </c>
      <c r="O77" s="222">
        <f>ROUND(data!BZ69,0)</f>
        <v>19637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19637</v>
      </c>
      <c r="AD77" s="222">
        <f>ROUND(data!BZ84,0)</f>
        <v>0</v>
      </c>
      <c r="AE77" s="222"/>
      <c r="AF77" s="222"/>
      <c r="AG77" s="222">
        <f>IF(data!BZ90&gt;0,ROUND(data!BZ90,0),0)</f>
        <v>124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5.97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183</v>
      </c>
      <c r="B78" s="224" t="str">
        <f>RIGHT(data!$C$96,4)</f>
        <v>2021</v>
      </c>
      <c r="C78" s="16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183</v>
      </c>
      <c r="B79" s="224" t="str">
        <f>RIGHT(data!$C$96,4)</f>
        <v>2021</v>
      </c>
      <c r="C79" s="16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183</v>
      </c>
      <c r="B80" s="224" t="str">
        <f>RIGHT(data!$C$96,4)</f>
        <v>2021</v>
      </c>
      <c r="C80" s="16">
        <f>data!CC$55</f>
        <v>8790</v>
      </c>
      <c r="D80" s="16" t="s">
        <v>1123</v>
      </c>
      <c r="E80" s="222"/>
      <c r="F80" s="212">
        <f>ROUND(data!CC60,2)</f>
        <v>35.74</v>
      </c>
      <c r="G80" s="222">
        <f>ROUND(data!CC61,0)</f>
        <v>5052588</v>
      </c>
      <c r="H80" s="222">
        <f>ROUND(data!CC62,0)</f>
        <v>879882</v>
      </c>
      <c r="I80" s="222">
        <f>ROUND(data!CC63,0)</f>
        <v>6777771</v>
      </c>
      <c r="J80" s="222">
        <f>ROUND(data!CC64,0)</f>
        <v>781242</v>
      </c>
      <c r="K80" s="222">
        <f>ROUND(data!CC65,0)</f>
        <v>42756</v>
      </c>
      <c r="L80" s="222">
        <f>ROUND(data!CC66,0)</f>
        <v>49442350</v>
      </c>
      <c r="M80" s="66">
        <f>ROUND(data!CC67,0)</f>
        <v>117419</v>
      </c>
      <c r="N80" s="222">
        <f>ROUND(data!CC68,0)</f>
        <v>7112</v>
      </c>
      <c r="O80" s="222">
        <f>ROUND(data!CC69,0)</f>
        <v>7826113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7826113</v>
      </c>
      <c r="AD80" s="222">
        <f>ROUND(data!CC84,0)</f>
        <v>1561248</v>
      </c>
      <c r="AE80" s="222"/>
      <c r="AF80" s="222"/>
      <c r="AG80" s="222">
        <f>IF(data!CC90&gt;0,ROUND(data!CC90,0),0)</f>
        <v>6628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791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Auburn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H-183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Plaza One, 202 N. Division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Auburn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12/31/2021.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183</v>
      </c>
      <c r="B12" s="275" t="str">
        <f>RIGHT('Prior Year'!C97,4)</f>
        <v>2021</v>
      </c>
      <c r="C12" s="275" t="str">
        <f>RIGHT(data!C96,4)</f>
        <v>2021</v>
      </c>
      <c r="D12" s="1" t="str">
        <f>RIGHT('Prior Year'!C97,4)</f>
        <v>2021</v>
      </c>
      <c r="E12" s="275" t="str">
        <f>RIGHT(data!C96,4)</f>
        <v>2021</v>
      </c>
      <c r="F12" s="1" t="str">
        <f>RIGHT('Prior Year'!C97,4)</f>
        <v>2021</v>
      </c>
      <c r="G12" s="275" t="str">
        <f>RIGHT(data!C96,4)</f>
        <v>2021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12816878.630000001</v>
      </c>
      <c r="C15" s="275">
        <f>data!C85</f>
        <v>14096945.500000002</v>
      </c>
      <c r="D15" s="275">
        <f>'Prior Year'!C60</f>
        <v>6313</v>
      </c>
      <c r="E15" s="1">
        <f>data!C59</f>
        <v>6075</v>
      </c>
      <c r="F15" s="238">
        <f t="shared" ref="F15:F59" si="0">IF(B15=0,"",IF(D15=0,"",B15/D15))</f>
        <v>2030.2358038967211</v>
      </c>
      <c r="G15" s="238">
        <f t="shared" ref="G15:G29" si="1">IF(C15=0,"",IF(E15=0,"",C15/E15))</f>
        <v>2320.4848559670786</v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11876198.350000001</v>
      </c>
      <c r="C16" s="275">
        <f>data!D85</f>
        <v>14994426.660000002</v>
      </c>
      <c r="D16" s="275">
        <f>'Prior Year'!D60</f>
        <v>11108</v>
      </c>
      <c r="E16" s="1">
        <f>data!D59</f>
        <v>11162</v>
      </c>
      <c r="F16" s="238">
        <f t="shared" si="0"/>
        <v>1069.1572155203457</v>
      </c>
      <c r="G16" s="238">
        <f t="shared" si="1"/>
        <v>1343.3458752911667</v>
      </c>
      <c r="H16" s="6">
        <f t="shared" si="2"/>
        <v>0.25645307892102354</v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8748564.9199999999</v>
      </c>
      <c r="C17" s="275">
        <f>data!E85</f>
        <v>10950778.98</v>
      </c>
      <c r="D17" s="275">
        <f>'Prior Year'!E60</f>
        <v>10121</v>
      </c>
      <c r="E17" s="1">
        <f>data!E59</f>
        <v>10696</v>
      </c>
      <c r="F17" s="238">
        <f t="shared" si="0"/>
        <v>864.39728485327532</v>
      </c>
      <c r="G17" s="238">
        <f t="shared" si="1"/>
        <v>1023.8200243081526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12335147.880000003</v>
      </c>
      <c r="C20" s="275">
        <f>data!H85</f>
        <v>14985294.15</v>
      </c>
      <c r="D20" s="275">
        <f>'Prior Year'!H60</f>
        <v>0</v>
      </c>
      <c r="E20" s="1">
        <f>data!H59</f>
        <v>15872</v>
      </c>
      <c r="F20" s="238" t="str">
        <f t="shared" si="0"/>
        <v/>
      </c>
      <c r="G20" s="238">
        <f t="shared" si="1"/>
        <v>944.13395602318553</v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7638516.0500000007</v>
      </c>
      <c r="C27" s="275">
        <f>data!O85</f>
        <v>10440099.49</v>
      </c>
      <c r="D27" s="275">
        <f>'Prior Year'!O60</f>
        <v>558800</v>
      </c>
      <c r="E27" s="1">
        <f>data!O59</f>
        <v>0</v>
      </c>
      <c r="F27" s="238">
        <f t="shared" si="0"/>
        <v>13.669499015748032</v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12786601.420000002</v>
      </c>
      <c r="C28" s="275">
        <f>data!P85</f>
        <v>16997388.27</v>
      </c>
      <c r="D28" s="275">
        <f>'Prior Year'!P60</f>
        <v>0</v>
      </c>
      <c r="E28" s="1">
        <f>data!P59</f>
        <v>548100</v>
      </c>
      <c r="F28" s="238" t="str">
        <f t="shared" si="0"/>
        <v/>
      </c>
      <c r="G28" s="238">
        <f t="shared" si="1"/>
        <v>31.011472851669403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326925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2004258.4600000002</v>
      </c>
      <c r="C30" s="275">
        <f>data!R85</f>
        <v>2806148.9099999997</v>
      </c>
      <c r="D30" s="275">
        <f>'Prior Year'!R60</f>
        <v>0</v>
      </c>
      <c r="E30" s="1">
        <f>data!R59</f>
        <v>331605</v>
      </c>
      <c r="F30" s="238" t="str">
        <f t="shared" si="0"/>
        <v/>
      </c>
      <c r="G30" s="238">
        <f>IFERROR(IF(C30=0,"",IF(E30=0,"",C30/E30)),"")</f>
        <v>8.4623238793142441</v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1341279.8299999998</v>
      </c>
      <c r="C31" s="275">
        <f>data!S85</f>
        <v>79786.459999999963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4650809.29</v>
      </c>
      <c r="C33" s="275">
        <f>data!U85</f>
        <v>5459220.75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58841.13</v>
      </c>
      <c r="D34" s="275">
        <f>'Prior Year'!V60</f>
        <v>17208</v>
      </c>
      <c r="E34" s="1">
        <f>data!V59</f>
        <v>18381</v>
      </c>
      <c r="F34" s="238" t="str">
        <f t="shared" si="0"/>
        <v/>
      </c>
      <c r="G34" s="238">
        <f t="shared" si="5"/>
        <v>3.201193079810674</v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551801.32999999996</v>
      </c>
      <c r="C35" s="275">
        <f>data!W85</f>
        <v>694062.05</v>
      </c>
      <c r="D35" s="275">
        <f>'Prior Year'!W60</f>
        <v>22511.059999999998</v>
      </c>
      <c r="E35" s="1">
        <f>data!W59</f>
        <v>24316.78</v>
      </c>
      <c r="F35" s="238">
        <f t="shared" si="0"/>
        <v>24.512454322453053</v>
      </c>
      <c r="G35" s="238">
        <f t="shared" si="5"/>
        <v>28.542514675051553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1681615.2000000002</v>
      </c>
      <c r="C36" s="275">
        <f>data!X85</f>
        <v>2224843.7299999995</v>
      </c>
      <c r="D36" s="275">
        <f>'Prior Year'!X60</f>
        <v>121347.20999999999</v>
      </c>
      <c r="E36" s="1">
        <f>data!X59</f>
        <v>135207.47</v>
      </c>
      <c r="F36" s="238">
        <f t="shared" si="0"/>
        <v>13.857881034100416</v>
      </c>
      <c r="G36" s="238">
        <f t="shared" si="5"/>
        <v>16.455035583462951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7567220.0700000012</v>
      </c>
      <c r="C37" s="275">
        <f>data!Y85</f>
        <v>8298762.0999999996</v>
      </c>
      <c r="D37" s="275">
        <f>'Prior Year'!Y60</f>
        <v>83833.350000000006</v>
      </c>
      <c r="E37" s="1">
        <f>data!Y59</f>
        <v>96741.560000000012</v>
      </c>
      <c r="F37" s="238">
        <f t="shared" si="0"/>
        <v>90.265032591444822</v>
      </c>
      <c r="G37" s="238">
        <f t="shared" si="5"/>
        <v>85.782802137984945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9206.0299999999988</v>
      </c>
      <c r="C38" s="275">
        <f>data!Z85</f>
        <v>883.92</v>
      </c>
      <c r="D38" s="275">
        <f>'Prior Year'!Z60</f>
        <v>19.62</v>
      </c>
      <c r="E38" s="1">
        <f>data!Z59</f>
        <v>0</v>
      </c>
      <c r="F38" s="238">
        <f t="shared" si="0"/>
        <v>469.21661569826699</v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633559.3899999999</v>
      </c>
      <c r="C39" s="275">
        <f>data!AA85</f>
        <v>688903.3600000001</v>
      </c>
      <c r="D39" s="275">
        <f>'Prior Year'!AA60</f>
        <v>14582.200000000003</v>
      </c>
      <c r="E39" s="1">
        <f>data!AA59</f>
        <v>14274.71</v>
      </c>
      <c r="F39" s="238">
        <f t="shared" si="0"/>
        <v>43.447448944603678</v>
      </c>
      <c r="G39" s="238">
        <f t="shared" si="5"/>
        <v>48.260410193972426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10802782.560000001</v>
      </c>
      <c r="C40" s="275">
        <f>data!AB85</f>
        <v>10739658.91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2980343.0900000003</v>
      </c>
      <c r="C41" s="275">
        <f>data!AC85</f>
        <v>3046433.8699999996</v>
      </c>
      <c r="D41" s="275">
        <f>'Prior Year'!AC60</f>
        <v>72762.929999999993</v>
      </c>
      <c r="E41" s="1">
        <f>data!AC59</f>
        <v>63683.73000000001</v>
      </c>
      <c r="F41" s="238">
        <f t="shared" si="0"/>
        <v>40.959635490214602</v>
      </c>
      <c r="G41" s="238">
        <f t="shared" si="5"/>
        <v>47.836925852176044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1097005.33</v>
      </c>
      <c r="C42" s="275">
        <f>data!AD85</f>
        <v>1182612.95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0</v>
      </c>
      <c r="C43" s="275">
        <f>data!AE85</f>
        <v>0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19278076.84</v>
      </c>
      <c r="C45" s="275">
        <f>data!AG85</f>
        <v>26769002.90000001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1499838.74</v>
      </c>
      <c r="C47" s="275">
        <f>data!AI85</f>
        <v>2059589.82</v>
      </c>
      <c r="D47" s="275">
        <f>'Prior Year'!AI60</f>
        <v>687600</v>
      </c>
      <c r="E47" s="1">
        <f>data!AI59</f>
        <v>726405.00000000012</v>
      </c>
      <c r="F47" s="238">
        <f t="shared" si="0"/>
        <v>2.1812663467132052</v>
      </c>
      <c r="G47" s="238">
        <f t="shared" si="5"/>
        <v>2.8353188923534387</v>
      </c>
      <c r="H47" s="6">
        <f t="shared" si="2"/>
        <v>0.29984992278718225</v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2271154.0899999994</v>
      </c>
      <c r="C48" s="275">
        <f>data!AJ85</f>
        <v>886668.76000000024</v>
      </c>
      <c r="D48" s="275">
        <f>'Prior Year'!AJ60</f>
        <v>15098</v>
      </c>
      <c r="E48" s="1">
        <f>data!AJ59</f>
        <v>14269</v>
      </c>
      <c r="F48" s="238">
        <f t="shared" si="0"/>
        <v>150.42747979864879</v>
      </c>
      <c r="G48" s="238">
        <f t="shared" si="5"/>
        <v>62.139516434228064</v>
      </c>
      <c r="H48" s="6">
        <f t="shared" si="2"/>
        <v>-0.58691379715060399</v>
      </c>
      <c r="I48" s="275" t="str">
        <f t="shared" si="6"/>
        <v/>
      </c>
      <c r="M48" s="7"/>
    </row>
    <row r="49" spans="1:13" x14ac:dyDescent="0.35">
      <c r="A49" s="1" t="s">
        <v>743</v>
      </c>
      <c r="B49" s="275">
        <f>'Prior Year'!AK86</f>
        <v>42256.42</v>
      </c>
      <c r="C49" s="275">
        <f>data!AK85</f>
        <v>9124.67</v>
      </c>
      <c r="D49" s="275">
        <f>'Prior Year'!AK60</f>
        <v>1671</v>
      </c>
      <c r="E49" s="1">
        <f>data!AK59</f>
        <v>824</v>
      </c>
      <c r="F49" s="238">
        <f t="shared" si="0"/>
        <v>25.288102932375821</v>
      </c>
      <c r="G49" s="238">
        <f t="shared" si="5"/>
        <v>11.073628640776699</v>
      </c>
      <c r="H49" s="6">
        <f t="shared" si="2"/>
        <v>-0.56210125091671603</v>
      </c>
      <c r="I49" s="275" t="str">
        <f t="shared" si="6"/>
        <v/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36041.85</v>
      </c>
      <c r="C53" s="275">
        <f>data!AO85</f>
        <v>-5233.329999999999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8836095.1100000013</v>
      </c>
      <c r="C60" s="275">
        <f>data!AV85</f>
        <v>9334776.2299999986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1101022.32</v>
      </c>
      <c r="C61" s="275">
        <f>data!AW85</f>
        <v>3995319.3999999994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2211830.0999999996</v>
      </c>
      <c r="C63" s="275">
        <f>data!AY85</f>
        <v>2630143.44</v>
      </c>
      <c r="D63" s="275">
        <f>'Prior Year'!AY60</f>
        <v>151205</v>
      </c>
      <c r="E63" s="1">
        <f>data!AY59</f>
        <v>160041</v>
      </c>
      <c r="F63" s="238">
        <f>IF(B63=0,"",IF(D63=0,"",B63/D63))</f>
        <v>14.628022221487383</v>
      </c>
      <c r="G63" s="238">
        <f t="shared" si="5"/>
        <v>16.434185240032242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52127.659999999996</v>
      </c>
      <c r="C65" s="275">
        <f>data!BA85</f>
        <v>14443.439999999995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1252649.5199999996</v>
      </c>
      <c r="C66" s="275">
        <f>data!BB85</f>
        <v>1315095.3599999999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443528.97000000003</v>
      </c>
      <c r="C67" s="275">
        <f>data!BC85</f>
        <v>449844.90000000008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897108.39999999991</v>
      </c>
      <c r="C68" s="275">
        <f>data!BD85</f>
        <v>799513.46999999986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2096626.9500000002</v>
      </c>
      <c r="C69" s="275">
        <f>data!BE85</f>
        <v>3208973.3000000003</v>
      </c>
      <c r="D69" s="275">
        <f>'Prior Year'!BE60</f>
        <v>209867.57499999995</v>
      </c>
      <c r="E69" s="1">
        <f>data!BE59</f>
        <v>218918.75999999998</v>
      </c>
      <c r="F69" s="238">
        <f>IF(B69=0,"",IF(D69=0,"",B69/D69))</f>
        <v>9.9902376534345549</v>
      </c>
      <c r="G69" s="238">
        <f t="shared" si="5"/>
        <v>14.658283739593632</v>
      </c>
      <c r="H69" s="6">
        <f>IF(B69=0,"",IF(C69=0,"",IF(D69=0,"",IF(E69=0,"",IF(G69/F69-1&lt;-0.25,G69/F69-1,IF(G69/F69-1&gt;0.25,G69/F69-1,""))))))</f>
        <v>0.46726076476811773</v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2839792.61</v>
      </c>
      <c r="C70" s="275">
        <f>data!BF85</f>
        <v>3219211.8099999996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1187904.7000000002</v>
      </c>
      <c r="C76" s="275">
        <f>data!BL85</f>
        <v>1229062.3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5838541.8899999997</v>
      </c>
      <c r="C78" s="275">
        <f>data!BN85</f>
        <v>4161779.55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0</v>
      </c>
      <c r="C86" s="275">
        <f>data!BV85</f>
        <v>0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1346516.9400000002</v>
      </c>
      <c r="C88" s="275">
        <f>data!BX85</f>
        <v>1909143.39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1321363.93</v>
      </c>
      <c r="C89" s="275">
        <f>data!BY85</f>
        <v>1389069.26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1144844.53</v>
      </c>
      <c r="C90" s="275">
        <f>data!BZ85</f>
        <v>129016.68999999992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59463630.420000002</v>
      </c>
      <c r="C93" s="275">
        <f>data!CC85</f>
        <v>69365983.019999996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7706267.5300000012</v>
      </c>
      <c r="C94" s="275">
        <f>data!CD85</f>
        <v>6755069.7200000007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1" t="s">
        <v>1348</v>
      </c>
    </row>
    <row r="3" spans="1:4" x14ac:dyDescent="0.35">
      <c r="A3" s="11" t="s">
        <v>789</v>
      </c>
    </row>
    <row r="4" spans="1:4" x14ac:dyDescent="0.35">
      <c r="A4" s="319" t="s">
        <v>1346</v>
      </c>
    </row>
    <row r="5" spans="1:4" x14ac:dyDescent="0.35">
      <c r="A5" s="320" t="s">
        <v>1344</v>
      </c>
    </row>
    <row r="6" spans="1:4" x14ac:dyDescent="0.35">
      <c r="A6" s="318"/>
    </row>
    <row r="7" spans="1:4" x14ac:dyDescent="0.35">
      <c r="A7" s="319" t="s">
        <v>1347</v>
      </c>
    </row>
    <row r="8" spans="1:4" x14ac:dyDescent="0.35">
      <c r="A8" s="320" t="s">
        <v>1345</v>
      </c>
    </row>
    <row r="11" spans="1:4" x14ac:dyDescent="0.35">
      <c r="A11" s="13" t="s">
        <v>790</v>
      </c>
      <c r="D11" s="276">
        <f>data!C380</f>
        <v>9964124.8999999985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9269240.2300000004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12/31/2021</v>
      </c>
      <c r="C4" s="78"/>
      <c r="D4" s="79"/>
      <c r="E4" s="80"/>
      <c r="F4" s="78" t="str">
        <f>"License Number:  "&amp;"H-"&amp;FIXED(data!C97,0)</f>
        <v>License Number:  H-183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Auburn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98001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Bill Robertson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James Lee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(253) 403-1000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(253) 459-7859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7564</v>
      </c>
      <c r="G23" s="81">
        <f>data!D127</f>
        <v>52142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1249</v>
      </c>
      <c r="G26" s="81">
        <f>data!D130</f>
        <v>1895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22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19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32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35</v>
      </c>
      <c r="E34" s="78" t="s">
        <v>324</v>
      </c>
      <c r="F34" s="81"/>
      <c r="G34" s="81">
        <f>data!E143</f>
        <v>166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58</v>
      </c>
      <c r="E36" s="78" t="s">
        <v>325</v>
      </c>
      <c r="F36" s="81"/>
      <c r="G36" s="81">
        <f>data!C144</f>
        <v>195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Auburn Medical Center</v>
      </c>
      <c r="G2" s="4" t="s">
        <v>824</v>
      </c>
    </row>
    <row r="3" spans="1:7" ht="20.149999999999999" customHeight="1" x14ac:dyDescent="0.35">
      <c r="G3" s="4" t="str">
        <f>"FYE: "&amp;data!C96</f>
        <v>FYE: 12/31/2021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3119.0011790365984</v>
      </c>
      <c r="C7" s="141">
        <f>data!B155</f>
        <v>21501.480364844578</v>
      </c>
      <c r="D7" s="141">
        <f>data!B156</f>
        <v>20101</v>
      </c>
      <c r="E7" s="141">
        <f>data!B157</f>
        <v>192447991.08453208</v>
      </c>
      <c r="F7" s="141">
        <f>data!B158</f>
        <v>180330076.93509725</v>
      </c>
      <c r="G7" s="141">
        <f>data!B157+data!B158</f>
        <v>372778068.01962936</v>
      </c>
    </row>
    <row r="8" spans="1:7" ht="20.149999999999999" customHeight="1" x14ac:dyDescent="0.35">
      <c r="A8" s="77" t="s">
        <v>331</v>
      </c>
      <c r="B8" s="141">
        <f>data!C154</f>
        <v>2248.1727728020132</v>
      </c>
      <c r="C8" s="141">
        <f>data!C155</f>
        <v>15498.244455974112</v>
      </c>
      <c r="D8" s="141">
        <f>data!C156</f>
        <v>26211</v>
      </c>
      <c r="E8" s="141">
        <f>data!C157</f>
        <v>138716309.77399284</v>
      </c>
      <c r="F8" s="141">
        <f>data!C158</f>
        <v>129981729.98703469</v>
      </c>
      <c r="G8" s="141">
        <f>data!C157+data!C158</f>
        <v>268698039.76102751</v>
      </c>
    </row>
    <row r="9" spans="1:7" ht="20.149999999999999" customHeight="1" x14ac:dyDescent="0.35">
      <c r="A9" s="77" t="s">
        <v>829</v>
      </c>
      <c r="B9" s="141">
        <f>data!D154</f>
        <v>2196.826048161387</v>
      </c>
      <c r="C9" s="141">
        <f>data!D155</f>
        <v>15144.275179181303</v>
      </c>
      <c r="D9" s="141">
        <f>data!D156</f>
        <v>26578</v>
      </c>
      <c r="E9" s="141">
        <f>data!D157</f>
        <v>135548124.37147516</v>
      </c>
      <c r="F9" s="141">
        <f>data!D158</f>
        <v>127013036.39786798</v>
      </c>
      <c r="G9" s="141">
        <f>data!D157+data!D158</f>
        <v>262561160.76934314</v>
      </c>
    </row>
    <row r="10" spans="1:7" ht="20.149999999999999" customHeight="1" x14ac:dyDescent="0.35">
      <c r="A10" s="92" t="s">
        <v>215</v>
      </c>
      <c r="B10" s="141">
        <f>data!E154</f>
        <v>7563.9999999999982</v>
      </c>
      <c r="C10" s="141">
        <f>data!E155</f>
        <v>52144</v>
      </c>
      <c r="D10" s="141">
        <f>data!E156</f>
        <v>72890</v>
      </c>
      <c r="E10" s="141">
        <f>data!E157</f>
        <v>466712425.23000008</v>
      </c>
      <c r="F10" s="141">
        <f>data!E158</f>
        <v>437324843.31999993</v>
      </c>
      <c r="G10" s="141">
        <f>E10+F10</f>
        <v>904037268.54999995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Auburn Medical Center</v>
      </c>
      <c r="B3" s="83"/>
      <c r="C3" s="156" t="str">
        <f>"FYE: "&amp;data!C96</f>
        <v>FYE: 12/31/2021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6063791.5099999998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9227834.4100000001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0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4247201.7300000004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43995.86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19582823.509999998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312565.15000000002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1091515.6099999999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1404080.7599999998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1803176.35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1803176.35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110885.75999999999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1404581.8899999997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1515467.6499999997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3436425.72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3436425.72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Auburn Medical Center</v>
      </c>
      <c r="F3" s="156" t="str">
        <f>"FYE: "&amp;data!C96</f>
        <v>FYE: 12/31/2021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10662099.630000001</v>
      </c>
      <c r="D7" s="81">
        <f>data!C225</f>
        <v>2769.7899999999995</v>
      </c>
      <c r="E7" s="81">
        <f>data!D225</f>
        <v>0</v>
      </c>
      <c r="F7" s="81">
        <f>data!E211</f>
        <v>10764638.130000001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25229.74</v>
      </c>
      <c r="D8" s="81">
        <f>data!C226</f>
        <v>184554.45000000019</v>
      </c>
      <c r="E8" s="81">
        <f>data!D226</f>
        <v>0</v>
      </c>
      <c r="F8" s="81">
        <f>data!E212</f>
        <v>25229.74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144312755.22</v>
      </c>
      <c r="D9" s="81">
        <f>data!C227</f>
        <v>0</v>
      </c>
      <c r="E9" s="81">
        <f>data!D227</f>
        <v>0</v>
      </c>
      <c r="F9" s="81">
        <f>data!E213</f>
        <v>146160390.16999999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468019.20000000071</v>
      </c>
      <c r="E10" s="81">
        <f>data!D228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5923782.7600000007</v>
      </c>
      <c r="D11" s="81">
        <f>data!C229</f>
        <v>1451380.9999999939</v>
      </c>
      <c r="E11" s="81">
        <f>data!D229</f>
        <v>6976136.6100000003</v>
      </c>
      <c r="F11" s="81">
        <f>data!E215</f>
        <v>6260127.5000000009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44368499.480000004</v>
      </c>
      <c r="D12" s="81">
        <f>data!C230</f>
        <v>0</v>
      </c>
      <c r="E12" s="81">
        <f>data!D230</f>
        <v>0</v>
      </c>
      <c r="F12" s="81">
        <f>data!E216</f>
        <v>39639722.460000008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-48438.750000000015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2243865.39</v>
      </c>
      <c r="D14" s="81">
        <f>data!C232</f>
        <v>0</v>
      </c>
      <c r="E14" s="81">
        <f>data!D232</f>
        <v>0</v>
      </c>
      <c r="F14" s="81">
        <f>data!E218</f>
        <v>2273637.64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0</v>
      </c>
      <c r="D15" s="81">
        <f>data!C233</f>
        <v>2058285.6899999948</v>
      </c>
      <c r="E15" s="81">
        <f>data!D233</f>
        <v>6976136.6100000003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207536232.21999997</v>
      </c>
      <c r="D16" s="81">
        <f>data!C234</f>
        <v>0</v>
      </c>
      <c r="E16" s="81">
        <f>data!D234</f>
        <v>0</v>
      </c>
      <c r="F16" s="81">
        <f>data!E220</f>
        <v>205123745.63999999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17144.330000000002</v>
      </c>
      <c r="D24" s="81">
        <f>data!C225</f>
        <v>2769.7899999999995</v>
      </c>
      <c r="E24" s="81">
        <f>data!D225</f>
        <v>0</v>
      </c>
      <c r="F24" s="81">
        <f>data!E225</f>
        <v>19914.120000000003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48067213.289999999</v>
      </c>
      <c r="D25" s="81">
        <f>data!C226</f>
        <v>184554.45000000019</v>
      </c>
      <c r="E25" s="81">
        <f>data!D226</f>
        <v>0</v>
      </c>
      <c r="F25" s="81">
        <f>data!E226</f>
        <v>48251767.740000002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1884536.02</v>
      </c>
      <c r="D27" s="81">
        <f>data!C228</f>
        <v>468019.20000000071</v>
      </c>
      <c r="E27" s="81">
        <f>data!D228</f>
        <v>0</v>
      </c>
      <c r="F27" s="81">
        <f>data!E228</f>
        <v>2352555.2200000007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33406179.890000004</v>
      </c>
      <c r="D28" s="81">
        <f>data!C229</f>
        <v>1451380.9999999939</v>
      </c>
      <c r="E28" s="81">
        <f>data!D229</f>
        <v>6976136.6100000003</v>
      </c>
      <c r="F28" s="81">
        <f>data!E229</f>
        <v>27881424.280000001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1232321.48</v>
      </c>
      <c r="D30" s="81">
        <f>data!C231</f>
        <v>-48438.750000000015</v>
      </c>
      <c r="E30" s="81">
        <f>data!D231</f>
        <v>0</v>
      </c>
      <c r="F30" s="81">
        <f>data!E231</f>
        <v>1183882.73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84607395.010000005</v>
      </c>
      <c r="D32" s="81">
        <f>data!C233</f>
        <v>2058285.6899999948</v>
      </c>
      <c r="E32" s="81">
        <f>data!D233</f>
        <v>6976136.6100000003</v>
      </c>
      <c r="F32" s="81">
        <f>data!E233</f>
        <v>79689544.090000004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Auburn Medical Center</v>
      </c>
      <c r="B2" s="83"/>
      <c r="C2" s="83"/>
      <c r="D2" s="156" t="str">
        <f>"FYE: "&amp;data!C96</f>
        <v>FYE: 12/31/2021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8591050.290000001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269274686.72172701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194092911.26961607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13979458.24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75893324.437281027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99787179.581375703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653027560.24999988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4315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8980773.6091208067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8415279.3008791916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17396052.909999996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10288687.08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10288687.08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2023-07-05T20:36:46Z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