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HOFIDAR\MFT\from_HOS\Yearly\"/>
    </mc:Choice>
  </mc:AlternateContent>
  <xr:revisionPtr revIDLastSave="0" documentId="13_ncr:1_{700E908F-BEF7-4591-B223-9444C9B242B8}" xr6:coauthVersionLast="47" xr6:coauthVersionMax="47" xr10:uidLastSave="{00000000-0000-0000-0000-000000000000}"/>
  <workbookProtection workbookAlgorithmName="SHA-512" workbookHashValue="y+/IgbQ5uh/IoDrfTcVJqMMitMbdp9yWmdM4RLrMq1bYC/EKOk2B0vn+VhfE7/HjpR85ngdlGK5cizdz9cBUSQ==" workbookSaltValue="VSDMVQRaRstJkUpyV548tg==" workbookSpinCount="100000" lockStructure="1"/>
  <bookViews>
    <workbookView xWindow="28680" yWindow="-120" windowWidth="29040" windowHeight="15840" tabRatio="838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D7" i="6"/>
  <c r="E7" i="6"/>
  <c r="D9" i="3" l="1"/>
  <c r="D8" i="3"/>
  <c r="D7" i="3"/>
  <c r="D6" i="3"/>
  <c r="D158" i="24" l="1"/>
  <c r="C158" i="24"/>
  <c r="B158" i="24"/>
  <c r="D154" i="24" l="1"/>
  <c r="C154" i="24"/>
  <c r="B154" i="24"/>
  <c r="B47" i="24" l="1"/>
  <c r="AV87" i="24"/>
  <c r="AV88" i="24"/>
  <c r="AB88" i="24"/>
  <c r="AB87" i="24"/>
  <c r="T87" i="24"/>
  <c r="CC83" i="24"/>
  <c r="AB66" i="24"/>
  <c r="P66" i="24"/>
  <c r="BX64" i="24"/>
  <c r="AB64" i="24"/>
  <c r="P64" i="24"/>
  <c r="Y83" i="24" l="1"/>
  <c r="Y47" i="24"/>
  <c r="C334" i="24"/>
  <c r="C331" i="24"/>
  <c r="C317" i="24"/>
  <c r="C323" i="24"/>
  <c r="C316" i="24"/>
  <c r="C315" i="24"/>
  <c r="C298" i="24"/>
  <c r="C288" i="24"/>
  <c r="C269" i="24"/>
  <c r="H269" i="24" s="1"/>
  <c r="C226" i="24"/>
  <c r="B226" i="24"/>
  <c r="D219" i="24"/>
  <c r="D216" i="24"/>
  <c r="C219" i="24"/>
  <c r="B219" i="24"/>
  <c r="B213" i="24"/>
  <c r="C200" i="24" l="1"/>
  <c r="C184" i="24"/>
  <c r="U83" i="24"/>
  <c r="D17" i="17"/>
  <c r="C363" i="24" l="1"/>
  <c r="C362" i="24"/>
  <c r="C359" i="24"/>
  <c r="C244" i="24"/>
  <c r="C237" i="24"/>
  <c r="C239" i="24"/>
  <c r="C240" i="24"/>
  <c r="C242" i="24"/>
  <c r="C241" i="24"/>
  <c r="B156" i="24" l="1"/>
  <c r="C156" i="24"/>
  <c r="D156" i="24"/>
  <c r="D127" i="24"/>
  <c r="D155" i="24"/>
  <c r="C155" i="24"/>
  <c r="B155" i="24"/>
  <c r="D157" i="24"/>
  <c r="C157" i="24"/>
  <c r="B157" i="24"/>
  <c r="BD64" i="24" l="1"/>
  <c r="E77" i="24"/>
  <c r="AB83" i="24"/>
  <c r="U88" i="24"/>
  <c r="U87" i="24"/>
  <c r="C87" i="24"/>
  <c r="E63" i="24"/>
  <c r="E71" i="24"/>
  <c r="CE63" i="24"/>
  <c r="O63" i="24"/>
  <c r="O64" i="24"/>
  <c r="BG64" i="24"/>
  <c r="U64" i="24"/>
  <c r="E61" i="24"/>
  <c r="P61" i="24"/>
  <c r="CC90" i="24" l="1"/>
  <c r="BE59" i="24"/>
  <c r="E59" i="24" l="1"/>
  <c r="P93" i="24" l="1"/>
  <c r="O91" i="24" l="1"/>
  <c r="P90" i="24" l="1"/>
  <c r="BT90" i="24"/>
  <c r="P47" i="24" l="1"/>
  <c r="CE85" i="25" l="1"/>
  <c r="B28" i="27"/>
  <c r="CE83" i="24"/>
  <c r="CE84" i="24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E30" i="31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5" i="32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48" i="3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H308" i="24" s="1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C236" i="32" l="1"/>
  <c r="F16" i="6"/>
  <c r="E414" i="24"/>
  <c r="I378" i="32"/>
  <c r="E76" i="32"/>
  <c r="E236" i="32"/>
  <c r="I12" i="32"/>
  <c r="D76" i="32"/>
  <c r="G76" i="32"/>
  <c r="H71" i="31"/>
  <c r="H39" i="31"/>
  <c r="E332" i="32"/>
  <c r="G268" i="32"/>
  <c r="D44" i="32"/>
  <c r="H43" i="31"/>
  <c r="F44" i="32"/>
  <c r="C44" i="32"/>
  <c r="D204" i="32"/>
  <c r="D300" i="32"/>
  <c r="C12" i="32"/>
  <c r="H23" i="31"/>
  <c r="H37" i="31"/>
  <c r="F300" i="32"/>
  <c r="G236" i="32"/>
  <c r="H35" i="31"/>
  <c r="BX52" i="24"/>
  <c r="BX67" i="24" s="1"/>
  <c r="G332" i="32"/>
  <c r="H73" i="31"/>
  <c r="H65" i="31"/>
  <c r="H268" i="32"/>
  <c r="I76" i="32"/>
  <c r="E12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B50" i="15" s="1"/>
  <c r="AD53" i="25"/>
  <c r="AD68" i="25" s="1"/>
  <c r="AD86" i="25" s="1"/>
  <c r="V53" i="25"/>
  <c r="V68" i="25" s="1"/>
  <c r="V86" i="25" s="1"/>
  <c r="N53" i="25"/>
  <c r="N68" i="25" s="1"/>
  <c r="N86" i="25" s="1"/>
  <c r="B26" i="15" s="1"/>
  <c r="F53" i="25"/>
  <c r="F68" i="25" s="1"/>
  <c r="F86" i="25" s="1"/>
  <c r="CC53" i="25"/>
  <c r="CC68" i="25" s="1"/>
  <c r="CC86" i="25" s="1"/>
  <c r="AW53" i="25"/>
  <c r="AW68" i="25" s="1"/>
  <c r="AW86" i="25" s="1"/>
  <c r="I53" i="25"/>
  <c r="I68" i="25" s="1"/>
  <c r="I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U53" i="25"/>
  <c r="BU68" i="25" s="1"/>
  <c r="BU86" i="25" s="1"/>
  <c r="C642" i="25" s="1"/>
  <c r="Y53" i="25"/>
  <c r="Y68" i="25" s="1"/>
  <c r="Y86" i="25" s="1"/>
  <c r="C691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B47" i="15" s="1"/>
  <c r="AA53" i="25"/>
  <c r="AA68" i="25" s="1"/>
  <c r="AA86" i="25" s="1"/>
  <c r="S53" i="25"/>
  <c r="S68" i="25" s="1"/>
  <c r="S86" i="25" s="1"/>
  <c r="K53" i="25"/>
  <c r="K68" i="25" s="1"/>
  <c r="K86" i="25" s="1"/>
  <c r="C53" i="25"/>
  <c r="BE53" i="25"/>
  <c r="BE68" i="25" s="1"/>
  <c r="BE86" i="25" s="1"/>
  <c r="AO53" i="25"/>
  <c r="AO68" i="25" s="1"/>
  <c r="AO86" i="25" s="1"/>
  <c r="B53" i="15" s="1"/>
  <c r="Q53" i="25"/>
  <c r="Q68" i="25" s="1"/>
  <c r="Q86" i="25" s="1"/>
  <c r="C683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M53" i="25"/>
  <c r="BM68" i="25" s="1"/>
  <c r="BM86" i="25" s="1"/>
  <c r="AG53" i="25"/>
  <c r="AG68" i="25" s="1"/>
  <c r="AG86" i="25" s="1"/>
  <c r="CB53" i="25"/>
  <c r="CB68" i="25" s="1"/>
  <c r="CB86" i="25" s="1"/>
  <c r="B92" i="1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H350" i="24" s="1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B54" i="15" l="1"/>
  <c r="F54" i="15" s="1"/>
  <c r="S85" i="24"/>
  <c r="C684" i="24" s="1"/>
  <c r="E85" i="24"/>
  <c r="C670" i="24" s="1"/>
  <c r="E17" i="32"/>
  <c r="M61" i="31"/>
  <c r="B21" i="15"/>
  <c r="H21" i="15" s="1"/>
  <c r="C675" i="25"/>
  <c r="C707" i="25"/>
  <c r="C699" i="25"/>
  <c r="B45" i="15"/>
  <c r="B72" i="15"/>
  <c r="F72" i="15" s="1"/>
  <c r="C637" i="25"/>
  <c r="C633" i="25"/>
  <c r="B66" i="15"/>
  <c r="B77" i="15"/>
  <c r="F77" i="15" s="1"/>
  <c r="C639" i="25"/>
  <c r="C670" i="25"/>
  <c r="B16" i="15"/>
  <c r="H16" i="15" s="1"/>
  <c r="C634" i="25"/>
  <c r="B67" i="15"/>
  <c r="C676" i="25"/>
  <c r="B22" i="15"/>
  <c r="B86" i="15"/>
  <c r="F86" i="15" s="1"/>
  <c r="C643" i="25"/>
  <c r="C693" i="25"/>
  <c r="B39" i="15"/>
  <c r="C678" i="25"/>
  <c r="B24" i="15"/>
  <c r="H24" i="15" s="1"/>
  <c r="I24" i="15" s="1"/>
  <c r="C645" i="25"/>
  <c r="B88" i="15"/>
  <c r="F88" i="15" s="1"/>
  <c r="C711" i="25"/>
  <c r="B57" i="15"/>
  <c r="F57" i="15" s="1"/>
  <c r="C672" i="25"/>
  <c r="B18" i="15"/>
  <c r="H18" i="15" s="1"/>
  <c r="C627" i="25"/>
  <c r="B82" i="15"/>
  <c r="F82" i="15" s="1"/>
  <c r="B36" i="15"/>
  <c r="F36" i="15" s="1"/>
  <c r="C690" i="25"/>
  <c r="C695" i="25"/>
  <c r="B41" i="15"/>
  <c r="F41" i="15" s="1"/>
  <c r="C685" i="25"/>
  <c r="B31" i="15"/>
  <c r="C618" i="25"/>
  <c r="B74" i="15"/>
  <c r="H74" i="15" s="1"/>
  <c r="I74" i="15" s="1"/>
  <c r="B52" i="15"/>
  <c r="F52" i="15" s="1"/>
  <c r="C706" i="25"/>
  <c r="C636" i="25"/>
  <c r="B75" i="15"/>
  <c r="F75" i="15" s="1"/>
  <c r="C714" i="25"/>
  <c r="B60" i="15"/>
  <c r="B30" i="15"/>
  <c r="F30" i="15" s="1"/>
  <c r="C684" i="25"/>
  <c r="B32" i="15"/>
  <c r="F32" i="15" s="1"/>
  <c r="C686" i="25"/>
  <c r="C631" i="25"/>
  <c r="B65" i="15"/>
  <c r="F65" i="15" s="1"/>
  <c r="C647" i="25"/>
  <c r="B90" i="15"/>
  <c r="B70" i="15"/>
  <c r="F70" i="15" s="1"/>
  <c r="C630" i="25"/>
  <c r="B78" i="15"/>
  <c r="F78" i="15" s="1"/>
  <c r="C620" i="25"/>
  <c r="C673" i="25"/>
  <c r="B19" i="15"/>
  <c r="C640" i="25"/>
  <c r="B83" i="15"/>
  <c r="C625" i="25"/>
  <c r="B68" i="15"/>
  <c r="B38" i="15"/>
  <c r="C692" i="25"/>
  <c r="C709" i="25"/>
  <c r="B55" i="15"/>
  <c r="F55" i="15" s="1"/>
  <c r="C694" i="25"/>
  <c r="B40" i="15"/>
  <c r="C635" i="25"/>
  <c r="B73" i="15"/>
  <c r="F73" i="15" s="1"/>
  <c r="C688" i="25"/>
  <c r="B34" i="15"/>
  <c r="F34" i="15" s="1"/>
  <c r="C632" i="25"/>
  <c r="B61" i="15"/>
  <c r="C698" i="25"/>
  <c r="B44" i="15"/>
  <c r="B49" i="15"/>
  <c r="F49" i="15" s="1"/>
  <c r="C703" i="25"/>
  <c r="B27" i="15"/>
  <c r="C681" i="25"/>
  <c r="B91" i="15"/>
  <c r="F91" i="15" s="1"/>
  <c r="C648" i="25"/>
  <c r="C638" i="25"/>
  <c r="B76" i="15"/>
  <c r="C700" i="25"/>
  <c r="B46" i="15"/>
  <c r="F46" i="15" s="1"/>
  <c r="C626" i="25"/>
  <c r="B63" i="15"/>
  <c r="F63" i="15" s="1"/>
  <c r="C702" i="25"/>
  <c r="B48" i="15"/>
  <c r="F48" i="15" s="1"/>
  <c r="C671" i="25"/>
  <c r="B17" i="15"/>
  <c r="C696" i="25"/>
  <c r="B42" i="15"/>
  <c r="F42" i="15" s="1"/>
  <c r="C677" i="25"/>
  <c r="B23" i="15"/>
  <c r="H23" i="15" s="1"/>
  <c r="I23" i="15" s="1"/>
  <c r="C713" i="25"/>
  <c r="B59" i="15"/>
  <c r="F59" i="15" s="1"/>
  <c r="C622" i="25"/>
  <c r="B80" i="15"/>
  <c r="B35" i="15"/>
  <c r="C689" i="25"/>
  <c r="B20" i="15"/>
  <c r="C674" i="25"/>
  <c r="B84" i="15"/>
  <c r="C641" i="25"/>
  <c r="C615" i="25"/>
  <c r="B69" i="15"/>
  <c r="B71" i="15"/>
  <c r="F71" i="15" s="1"/>
  <c r="C619" i="25"/>
  <c r="C710" i="25"/>
  <c r="B56" i="15"/>
  <c r="F56" i="15" s="1"/>
  <c r="C679" i="25"/>
  <c r="B25" i="15"/>
  <c r="H25" i="15" s="1"/>
  <c r="I25" i="15" s="1"/>
  <c r="B89" i="15"/>
  <c r="C646" i="25"/>
  <c r="C705" i="25"/>
  <c r="B51" i="15"/>
  <c r="F51" i="15" s="1"/>
  <c r="C644" i="25"/>
  <c r="B87" i="15"/>
  <c r="F87" i="15" s="1"/>
  <c r="B93" i="15"/>
  <c r="F93" i="15" s="1"/>
  <c r="C621" i="25"/>
  <c r="C697" i="25"/>
  <c r="B43" i="15"/>
  <c r="B62" i="15"/>
  <c r="C617" i="25"/>
  <c r="C628" i="25"/>
  <c r="B79" i="15"/>
  <c r="F79" i="15" s="1"/>
  <c r="C687" i="25"/>
  <c r="B33" i="15"/>
  <c r="F33" i="15" s="1"/>
  <c r="B58" i="15"/>
  <c r="C712" i="25"/>
  <c r="C704" i="25"/>
  <c r="C680" i="25"/>
  <c r="C701" i="25"/>
  <c r="B37" i="15"/>
  <c r="F37" i="15" s="1"/>
  <c r="C623" i="25"/>
  <c r="B29" i="15"/>
  <c r="F29" i="15" s="1"/>
  <c r="B28" i="15"/>
  <c r="B85" i="15"/>
  <c r="B64" i="15"/>
  <c r="F64" i="15" s="1"/>
  <c r="B81" i="15"/>
  <c r="F81" i="15" s="1"/>
  <c r="C68" i="25"/>
  <c r="CE68" i="25" s="1"/>
  <c r="CE53" i="25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F83" i="15"/>
  <c r="F50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I16" i="15"/>
  <c r="F16" i="15"/>
  <c r="H81" i="15"/>
  <c r="I81" i="15" s="1"/>
  <c r="M59" i="31"/>
  <c r="D273" i="32"/>
  <c r="BH85" i="24"/>
  <c r="F43" i="15"/>
  <c r="M60" i="31"/>
  <c r="E273" i="32"/>
  <c r="BI85" i="24"/>
  <c r="M32" i="31"/>
  <c r="E145" i="32"/>
  <c r="AG85" i="24"/>
  <c r="M68" i="31"/>
  <c r="F305" i="32"/>
  <c r="BQ85" i="24"/>
  <c r="F28" i="15"/>
  <c r="H26" i="15"/>
  <c r="I26" i="15" s="1"/>
  <c r="F26" i="15"/>
  <c r="M76" i="31"/>
  <c r="G337" i="32"/>
  <c r="BY85" i="24"/>
  <c r="M31" i="31"/>
  <c r="D145" i="32"/>
  <c r="AF85" i="24"/>
  <c r="M45" i="31"/>
  <c r="D209" i="32"/>
  <c r="AT85" i="24"/>
  <c r="F45" i="15"/>
  <c r="M19" i="31"/>
  <c r="F81" i="32"/>
  <c r="T85" i="24"/>
  <c r="M17" i="31"/>
  <c r="D81" i="32"/>
  <c r="R85" i="24"/>
  <c r="F40" i="15"/>
  <c r="M5" i="31"/>
  <c r="F17" i="32"/>
  <c r="F85" i="24"/>
  <c r="F47" i="15"/>
  <c r="H47" i="15"/>
  <c r="I47" i="15" s="1"/>
  <c r="M12" i="31"/>
  <c r="F49" i="32"/>
  <c r="M85" i="24"/>
  <c r="F39" i="15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F31" i="15"/>
  <c r="F53" i="15"/>
  <c r="H53" i="15"/>
  <c r="I53" i="15" s="1"/>
  <c r="C67" i="24"/>
  <c r="CE52" i="24"/>
  <c r="E85" i="32"/>
  <c r="C31" i="15"/>
  <c r="G31" i="15" s="1"/>
  <c r="M62" i="31"/>
  <c r="G273" i="32"/>
  <c r="BK85" i="24"/>
  <c r="F85" i="15"/>
  <c r="H85" i="15"/>
  <c r="I85" i="15" s="1"/>
  <c r="M50" i="31"/>
  <c r="I209" i="32"/>
  <c r="AY85" i="24"/>
  <c r="H94" i="15"/>
  <c r="I94" i="15" s="1"/>
  <c r="G94" i="15"/>
  <c r="I21" i="15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H51" i="15"/>
  <c r="I51" i="15" s="1"/>
  <c r="M26" i="31"/>
  <c r="F113" i="32"/>
  <c r="AA85" i="24"/>
  <c r="M25" i="31"/>
  <c r="E113" i="32"/>
  <c r="Z85" i="24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F92" i="15"/>
  <c r="F89" i="15"/>
  <c r="F90" i="15"/>
  <c r="M51" i="31"/>
  <c r="C241" i="32"/>
  <c r="AZ85" i="24"/>
  <c r="M58" i="31"/>
  <c r="C273" i="32"/>
  <c r="BG85" i="24"/>
  <c r="M42" i="31"/>
  <c r="H177" i="32"/>
  <c r="AQ85" i="24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F44" i="15"/>
  <c r="H44" i="15"/>
  <c r="I44" i="15" s="1"/>
  <c r="CE63" i="25"/>
  <c r="M9" i="31"/>
  <c r="C49" i="32"/>
  <c r="J85" i="24"/>
  <c r="I18" i="15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H19" i="15" l="1"/>
  <c r="I19" i="15" s="1"/>
  <c r="E21" i="32"/>
  <c r="C17" i="15"/>
  <c r="C74" i="15"/>
  <c r="G74" i="15" s="1"/>
  <c r="C42" i="15"/>
  <c r="G42" i="15" s="1"/>
  <c r="H277" i="32"/>
  <c r="I117" i="32"/>
  <c r="H36" i="15"/>
  <c r="I36" i="15" s="1"/>
  <c r="C86" i="25"/>
  <c r="C669" i="25" s="1"/>
  <c r="C716" i="25" s="1"/>
  <c r="C649" i="25"/>
  <c r="M717" i="25" s="1"/>
  <c r="H59" i="15"/>
  <c r="I59" i="15" s="1"/>
  <c r="F20" i="15"/>
  <c r="H46" i="15"/>
  <c r="I46" i="15" s="1"/>
  <c r="F23" i="15"/>
  <c r="F74" i="15"/>
  <c r="H52" i="15"/>
  <c r="I52" i="15" s="1"/>
  <c r="F27" i="15"/>
  <c r="H27" i="15" s="1"/>
  <c r="I27" i="15" s="1"/>
  <c r="H87" i="15"/>
  <c r="I87" i="15" s="1"/>
  <c r="H79" i="15"/>
  <c r="I79" i="15" s="1"/>
  <c r="F22" i="15"/>
  <c r="F19" i="15"/>
  <c r="H77" i="15"/>
  <c r="I77" i="15" s="1"/>
  <c r="H55" i="15"/>
  <c r="I55" i="15" s="1"/>
  <c r="H57" i="15"/>
  <c r="I57" i="15" s="1"/>
  <c r="F84" i="15"/>
  <c r="H84" i="15" s="1"/>
  <c r="I84" i="15" s="1"/>
  <c r="F25" i="15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CE86" i="25" l="1"/>
  <c r="C717" i="25" s="1"/>
  <c r="B15" i="15"/>
  <c r="G17" i="15"/>
  <c r="H17" i="15" s="1"/>
  <c r="I17" i="15" s="1"/>
  <c r="H91" i="15"/>
  <c r="I91" i="15" s="1"/>
  <c r="G83" i="15"/>
  <c r="H83" i="15"/>
  <c r="I83" i="15" s="1"/>
  <c r="G72" i="15"/>
  <c r="H72" i="15" s="1"/>
  <c r="I72" i="15" s="1"/>
  <c r="G30" i="15"/>
  <c r="H30" i="15"/>
  <c r="I30" i="15" s="1"/>
  <c r="G71" i="15"/>
  <c r="H71" i="15" s="1"/>
  <c r="I71" i="15" s="1"/>
  <c r="H22" i="15"/>
  <c r="I22" i="15" s="1"/>
  <c r="H76" i="15"/>
  <c r="I76" i="15" s="1"/>
  <c r="H69" i="15"/>
  <c r="I69" i="15" s="1"/>
  <c r="H20" i="15"/>
  <c r="I20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G15" i="15" l="1"/>
  <c r="H15" i="15" s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<sst xmlns="http://schemas.openxmlformats.org/spreadsheetml/2006/main" count="5777" uniqueCount="1392">
  <si>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</si>
  <si>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</si>
  <si>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</si>
  <si>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</si>
  <si>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</si>
  <si>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</si>
  <si>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</si>
  <si>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</si>
  <si>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</si>
  <si>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</si>
  <si>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</si>
  <si>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</si>
  <si>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</si>
  <si>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</si>
  <si>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</si>
  <si>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</si>
  <si>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</si>
  <si>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</si>
  <si>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</si>
  <si>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</si>
  <si>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</si>
  <si>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</si>
  <si>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</si>
  <si>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</si>
  <si>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</si>
  <si>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</si>
  <si>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</si>
  <si>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</si>
  <si>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</si>
  <si>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</si>
  <si>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</si>
  <si>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</si>
  <si>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</si>
  <si>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</si>
  <si>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</si>
  <si>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</si>
  <si>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</si>
  <si>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</si>
  <si>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</si>
  <si>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</si>
  <si>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</si>
  <si>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</si>
  <si>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</si>
  <si>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</si>
  <si>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</si>
  <si>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</si>
  <si>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</si>
  <si>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</si>
  <si>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</si>
  <si>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</si>
  <si>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</si>
  <si>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</si>
  <si>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</si>
  <si>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</si>
  <si>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</si>
  <si>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</si>
  <si>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</si>
  <si>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</si>
  <si>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</si>
  <si>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</si>
  <si>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</si>
  <si>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</si>
  <si>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</si>
  <si>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</si>
  <si>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</si>
  <si>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</si>
  <si>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</si>
  <si>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</si>
  <si>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</si>
  <si>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</si>
  <si>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</si>
  <si>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</si>
  <si>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</si>
  <si>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</si>
  <si>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</si>
  <si>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</si>
  <si>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</si>
  <si>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</si>
  <si>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</si>
  <si>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</si>
  <si>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</si>
  <si>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</si>
  <si>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</si>
  <si>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</si>
  <si>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</si>
  <si>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</si>
  <si>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</si>
  <si>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</si>
  <si>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</si>
  <si>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</si>
  <si>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</si>
  <si>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</si>
  <si>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</si>
  <si>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</si>
  <si>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</si>
  <si>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</si>
  <si>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</si>
  <si>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</si>
  <si>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</si>
  <si>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</si>
  <si>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</si>
  <si>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</si>
  <si>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</si>
  <si>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</si>
  <si>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</si>
  <si>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</si>
  <si>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</si>
  <si>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</si>
  <si>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</si>
  <si>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</si>
  <si>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</si>
  <si>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</si>
  <si>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</si>
  <si>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</si>
  <si>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</si>
  <si>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</si>
  <si>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</si>
  <si>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</si>
  <si>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</si>
  <si>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</si>
  <si>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</si>
  <si>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</si>
  <si>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</si>
  <si>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</si>
  <si>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</si>
  <si>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</si>
  <si>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</si>
  <si>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</si>
  <si>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</si>
  <si>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</si>
  <si>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</si>
  <si>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</si>
  <si>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</si>
  <si>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</si>
  <si>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</si>
  <si>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</si>
  <si>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</si>
  <si>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</si>
  <si>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</si>
  <si>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</si>
  <si>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</si>
  <si>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</si>
  <si>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</si>
  <si>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</si>
  <si>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</si>
  <si>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</si>
  <si>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</si>
  <si>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</si>
  <si>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</si>
  <si>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</si>
  <si>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</si>
  <si>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</si>
  <si>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</si>
  <si>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</si>
  <si>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</si>
  <si>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</si>
  <si>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</si>
  <si>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</si>
  <si>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</si>
  <si>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</si>
  <si>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</si>
  <si>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</si>
  <si>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</si>
  <si>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</si>
  <si>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</si>
  <si>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</si>
  <si>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</si>
  <si>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</si>
  <si>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</si>
  <si>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</si>
  <si>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</si>
  <si>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</si>
  <si>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</si>
  <si>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</si>
  <si>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</si>
  <si>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</si>
  <si>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</si>
  <si>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</si>
  <si>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</si>
  <si>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</si>
  <si>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</si>
  <si>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</si>
  <si>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</si>
  <si>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</si>
  <si>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</si>
  <si>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</si>
  <si>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</si>
  <si>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</si>
  <si>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</si>
  <si>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</si>
  <si>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</si>
  <si>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</si>
  <si>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</si>
  <si>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</si>
  <si>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</si>
  <si>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</si>
  <si>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</si>
  <si>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</si>
  <si>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</si>
  <si>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</si>
  <si>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</si>
  <si>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</si>
  <si>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</si>
  <si>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</si>
  <si>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</si>
  <si>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</si>
  <si>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</si>
  <si>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</si>
  <si>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</si>
  <si>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</si>
  <si>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</si>
  <si>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</si>
  <si>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</si>
  <si>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</si>
  <si>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</si>
  <si>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</si>
  <si>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</si>
  <si>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</si>
  <si>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</si>
  <si>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</si>
  <si>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</si>
  <si>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</si>
  <si>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</si>
  <si>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</si>
  <si>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</si>
  <si>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</si>
  <si>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</si>
  <si>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</si>
  <si>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</si>
  <si>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</si>
  <si>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</si>
  <si>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</si>
  <si>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</si>
  <si>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</si>
  <si>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</si>
  <si>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</si>
  <si>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</si>
  <si>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</si>
  <si>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</si>
  <si>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</si>
  <si>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</si>
  <si>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</si>
  <si>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</si>
  <si>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</si>
  <si>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</si>
  <si>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</si>
  <si>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</si>
  <si>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</si>
  <si>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</si>
  <si>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</si>
  <si>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</si>
  <si>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</si>
  <si>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</si>
  <si>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</si>
  <si>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</si>
  <si>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</si>
  <si>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</si>
  <si>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</si>
  <si>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</si>
  <si>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</si>
  <si>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</si>
  <si>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</si>
  <si>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</si>
  <si>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</si>
  <si>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</si>
  <si>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</si>
  <si>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</si>
  <si>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</si>
  <si>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</si>
  <si>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</si>
  <si>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</si>
  <si>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</si>
  <si>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</si>
  <si>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</si>
  <si>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</si>
  <si>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</si>
  <si>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</si>
  <si>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</si>
  <si>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</si>
  <si>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</si>
  <si>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</si>
  <si>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</si>
  <si>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</si>
  <si>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</si>
  <si>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</si>
  <si>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</si>
  <si>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</si>
  <si>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</si>
  <si>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</si>
  <si>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</si>
  <si>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</si>
  <si>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</si>
  <si>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</si>
  <si>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</si>
  <si>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</si>
  <si>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</si>
  <si>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</si>
  <si>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</si>
  <si>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</si>
  <si>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</si>
  <si>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</si>
  <si>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</si>
  <si>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</si>
  <si>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</si>
  <si>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</si>
  <si>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</si>
  <si>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</si>
  <si>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</si>
  <si>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</si>
  <si>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</si>
  <si>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</si>
  <si>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</si>
  <si>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</si>
  <si>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</si>
  <si>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</si>
  <si>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</si>
  <si>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</si>
  <si>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</si>
  <si>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</si>
  <si>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</si>
  <si>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</si>
  <si>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</si>
  <si>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</si>
  <si>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</si>
  <si>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</si>
  <si>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</si>
  <si>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</si>
  <si>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</si>
  <si>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</si>
  <si>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</si>
  <si>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</si>
  <si>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</si>
  <si>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</si>
  <si>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</si>
  <si>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</si>
  <si>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</si>
  <si>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</si>
  <si>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</si>
  <si>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</si>
  <si>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</si>
  <si>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</si>
  <si>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</si>
  <si>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</si>
  <si>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</si>
  <si>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</si>
  <si>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</si>
  <si>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</si>
  <si>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</si>
  <si>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</si>
  <si>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</si>
  <si>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</si>
  <si>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</si>
  <si>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</si>
  <si>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</si>
  <si>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</si>
  <si>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</si>
  <si>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</si>
  <si>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</si>
  <si>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</si>
  <si>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</si>
  <si>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</si>
  <si>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</si>
  <si>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</si>
  <si>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</si>
  <si>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</si>
  <si>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</si>
  <si>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</si>
  <si>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</si>
  <si>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</si>
  <si>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</si>
  <si>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</si>
  <si>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</si>
  <si>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</si>
  <si>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</si>
  <si>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</si>
  <si>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</si>
  <si>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</si>
  <si>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</si>
  <si>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</si>
  <si>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</si>
  <si>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</si>
  <si>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</si>
  <si>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</si>
  <si>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</si>
  <si>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</si>
  <si>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</si>
  <si>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</si>
  <si>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</si>
  <si>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</si>
  <si>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</si>
  <si>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</si>
  <si>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</si>
  <si>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</si>
  <si>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</si>
  <si>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</si>
  <si>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</si>
  <si>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</si>
  <si>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</si>
  <si>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</si>
  <si>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</si>
  <si>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</si>
  <si>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</si>
  <si>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</si>
  <si>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</si>
  <si>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</si>
  <si>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</si>
  <si>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</si>
  <si>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</si>
  <si>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</si>
  <si>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</si>
  <si>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</si>
  <si>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</si>
  <si>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</si>
  <si>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</si>
  <si>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</si>
  <si>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</si>
  <si>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</si>
  <si>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</si>
  <si>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</si>
  <si>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</si>
  <si>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</si>
  <si>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</si>
  <si>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</si>
  <si>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</si>
  <si>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</si>
  <si>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</si>
  <si>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</si>
  <si>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</si>
  <si>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</si>
  <si>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</si>
  <si>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</si>
  <si>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</si>
  <si>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</si>
  <si>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</si>
  <si>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</si>
  <si>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</si>
  <si>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</si>
  <si>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</si>
  <si>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</si>
  <si>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</si>
  <si>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</si>
  <si>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</si>
  <si>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</si>
  <si>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</si>
  <si>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</si>
  <si>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</si>
  <si>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</si>
  <si>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</si>
  <si>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</si>
  <si>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</si>
  <si>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</si>
  <si>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</si>
  <si>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</si>
  <si>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</si>
  <si>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</si>
  <si>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</si>
  <si>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</si>
  <si>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</si>
  <si>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</si>
  <si>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</si>
  <si>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</si>
  <si>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</si>
  <si>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</si>
  <si>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</si>
  <si>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</si>
  <si>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</si>
  <si>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</si>
  <si>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</si>
  <si>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</si>
  <si>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</si>
  <si>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</si>
  <si>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</si>
  <si>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</si>
  <si>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</si>
  <si>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</si>
  <si>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</si>
  <si>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</si>
  <si>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</si>
  <si>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</si>
  <si>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</si>
  <si>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</si>
  <si>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</si>
  <si>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</si>
  <si>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</si>
  <si>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</si>
  <si>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</si>
  <si>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</si>
  <si>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</si>
  <si>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</si>
  <si>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</si>
  <si>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</si>
  <si>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</si>
  <si>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</si>
  <si>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</si>
  <si>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</si>
  <si>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</si>
  <si>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</si>
  <si>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</si>
  <si>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</si>
  <si>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</si>
  <si>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</si>
  <si>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</si>
  <si>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</si>
  <si>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</si>
  <si>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</si>
  <si>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</si>
  <si>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</si>
  <si>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</si>
  <si>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</si>
  <si>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</si>
  <si>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</si>
  <si>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</si>
  <si>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</si>
  <si>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</si>
  <si>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</si>
  <si>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</si>
  <si>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</si>
  <si>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</si>
  <si>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</si>
  <si>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</si>
  <si>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</si>
  <si>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</si>
  <si>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</si>
  <si>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</si>
  <si>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</si>
  <si>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</si>
  <si>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</si>
  <si>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</si>
  <si>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</si>
  <si>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</si>
  <si>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</si>
  <si>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</si>
  <si>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</si>
  <si>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</si>
  <si>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</si>
  <si>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</si>
  <si>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</si>
  <si>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</si>
  <si>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</si>
  <si>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</si>
  <si>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</si>
  <si>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</si>
  <si>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</si>
  <si>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</si>
  <si>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</si>
  <si>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</si>
  <si>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</si>
  <si>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</si>
  <si>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</si>
  <si>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</si>
  <si>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</si>
  <si>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</si>
  <si>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</si>
  <si>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</si>
  <si>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</si>
  <si>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</si>
  <si>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</si>
  <si>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</si>
  <si>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</si>
  <si>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</si>
  <si>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</si>
  <si>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</si>
  <si>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</si>
  <si>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</si>
  <si>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</si>
  <si>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</si>
  <si>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</si>
  <si>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</si>
  <si>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</si>
  <si>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</si>
  <si>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</si>
  <si>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</si>
  <si>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</si>
  <si>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</si>
  <si>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</si>
  <si>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</si>
  <si>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</si>
  <si>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</si>
  <si>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</si>
  <si>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</si>
  <si>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</si>
  <si>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</si>
  <si>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</si>
  <si>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</si>
  <si>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</si>
  <si>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</si>
  <si>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</si>
  <si>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</si>
  <si>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</si>
  <si>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</si>
  <si>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</si>
  <si>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</si>
  <si>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</si>
  <si>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</si>
  <si>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</si>
  <si>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</si>
  <si>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</si>
  <si>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</si>
  <si>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</si>
  <si>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</si>
  <si>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</si>
  <si>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</si>
  <si>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</si>
  <si>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</si>
  <si>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</si>
  <si>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</si>
  <si>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</si>
  <si>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</si>
  <si>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</si>
  <si>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</si>
  <si>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</si>
  <si>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</si>
  <si>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</si>
  <si>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</si>
  <si>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</si>
  <si>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</si>
  <si>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</si>
  <si>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</si>
  <si>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</si>
  <si>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</si>
  <si>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</si>
  <si>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</si>
  <si>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</si>
  <si>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</si>
  <si>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</si>
  <si>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</si>
  <si>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</si>
  <si>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</si>
  <si>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</si>
  <si>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</si>
  <si>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</si>
  <si>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</si>
  <si>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</si>
  <si>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</si>
  <si>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</si>
  <si>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</si>
  <si>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</si>
  <si>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</si>
  <si>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</si>
  <si>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</si>
  <si>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</si>
  <si>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</si>
  <si>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</si>
  <si>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</si>
  <si>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</si>
  <si>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</si>
  <si>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</si>
  <si>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</si>
  <si>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</si>
  <si>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</si>
  <si>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</si>
  <si>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</si>
  <si>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</si>
  <si>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</si>
  <si>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</si>
  <si>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</si>
  <si>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</si>
  <si>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</si>
  <si>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</si>
  <si>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</si>
  <si>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</si>
  <si>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</si>
  <si>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</si>
  <si>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</si>
  <si>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</si>
  <si>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</si>
  <si>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</si>
  <si>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</si>
  <si>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</si>
  <si>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</si>
  <si>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</si>
  <si>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</si>
  <si>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</si>
  <si>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</si>
  <si>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</si>
  <si>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</si>
  <si>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</si>
  <si>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</si>
  <si>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</si>
  <si>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</si>
  <si>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</si>
  <si>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</si>
  <si>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</si>
  <si>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</si>
  <si>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</si>
  <si>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</si>
  <si>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</si>
  <si>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</si>
  <si>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</si>
  <si>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</si>
  <si>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</si>
  <si>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</si>
  <si>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</si>
  <si>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</si>
  <si>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</si>
  <si>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</si>
  <si>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</si>
  <si>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</si>
  <si>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</si>
  <si>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</si>
  <si>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</si>
  <si>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</si>
  <si>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</si>
  <si>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</si>
  <si>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</si>
  <si>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</si>
  <si>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</si>
  <si>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</si>
  <si>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</si>
  <si>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</si>
  <si>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</si>
  <si>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</si>
  <si>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</si>
  <si>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</si>
  <si>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</si>
  <si>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</si>
  <si>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</si>
  <si>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</si>
  <si>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</si>
  <si>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</si>
  <si>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</si>
  <si>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</si>
  <si>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</si>
  <si>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</si>
  <si>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</si>
  <si>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</si>
  <si>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</si>
  <si>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</si>
  <si>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</si>
  <si>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</si>
  <si>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</si>
  <si>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</si>
  <si>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</si>
  <si>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</si>
  <si>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</si>
  <si>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</si>
  <si>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</si>
  <si>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</si>
  <si>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</si>
  <si>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</si>
  <si>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</si>
  <si>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</si>
  <si>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</si>
  <si>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</si>
  <si>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</si>
  <si>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</si>
  <si>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</si>
  <si>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</si>
  <si>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</si>
  <si>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</si>
  <si>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</si>
  <si>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</si>
  <si>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</si>
  <si>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</si>
  <si>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</si>
  <si>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</si>
  <si>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</si>
  <si>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</si>
  <si>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</si>
  <si>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</si>
  <si>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</si>
  <si>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</si>
  <si>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</si>
  <si>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</si>
  <si>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</si>
  <si>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</si>
  <si>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</si>
  <si>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</si>
  <si>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</si>
  <si>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</si>
  <si>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</si>
  <si>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</si>
  <si>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</si>
  <si>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</si>
  <si>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</si>
  <si>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</si>
  <si>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</si>
  <si>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</si>
  <si>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</si>
  <si>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</si>
  <si>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</si>
  <si>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</si>
  <si>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</si>
  <si>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</si>
  <si>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</si>
  <si>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</si>
  <si>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</si>
  <si>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</si>
  <si>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</si>
  <si>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</si>
  <si>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</si>
  <si>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</si>
  <si>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</si>
  <si>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</si>
  <si>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</si>
  <si>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</si>
  <si>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</si>
  <si>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</si>
  <si>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</si>
  <si>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</si>
  <si>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</si>
  <si>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</si>
  <si>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</si>
  <si>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</si>
  <si>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</si>
  <si>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</si>
  <si>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</si>
  <si>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</si>
  <si>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</si>
  <si>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</si>
  <si>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</si>
  <si>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</si>
  <si>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</si>
  <si>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</si>
  <si>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</si>
  <si>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</si>
  <si>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</si>
  <si>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</si>
  <si>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</si>
  <si>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</si>
  <si>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</si>
  <si>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</si>
  <si>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</si>
  <si>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</si>
  <si>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</si>
  <si>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</si>
  <si>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</si>
  <si>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</si>
  <si>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</si>
  <si>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</si>
  <si>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</si>
  <si>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</si>
  <si>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</si>
  <si>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</si>
  <si>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</si>
  <si>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</si>
  <si>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</si>
  <si>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</si>
  <si>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</si>
  <si>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</si>
  <si>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</si>
  <si>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</si>
  <si>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</si>
  <si>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</si>
  <si>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</si>
  <si>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</si>
  <si>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</si>
  <si>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</si>
  <si>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</si>
  <si>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</si>
  <si>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</si>
  <si>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</si>
  <si>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</si>
  <si>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</si>
  <si>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</si>
  <si>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</si>
  <si>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</si>
  <si>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</si>
  <si>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</si>
  <si>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</si>
  <si>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</si>
  <si>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</si>
  <si>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</si>
  <si>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</si>
  <si>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</si>
  <si>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</si>
  <si>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</si>
  <si>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</si>
  <si>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</si>
  <si>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</si>
  <si>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</si>
  <si>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</si>
  <si>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</si>
  <si>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</si>
  <si>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</si>
  <si>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</si>
  <si>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</si>
  <si>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</si>
  <si>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</si>
  <si>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</si>
  <si>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</si>
  <si>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</si>
  <si>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</si>
  <si>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</si>
  <si>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</si>
  <si>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</si>
  <si>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</si>
  <si>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</si>
  <si>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</si>
  <si>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</si>
  <si>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</si>
  <si>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</si>
  <si>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</si>
  <si>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</si>
  <si>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</si>
  <si>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</si>
  <si>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</si>
  <si>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</si>
  <si>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</si>
  <si>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</si>
  <si>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</si>
  <si>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</si>
  <si>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</si>
  <si>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</si>
  <si>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</si>
  <si>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</si>
  <si>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</si>
  <si>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</si>
  <si>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</si>
  <si>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</si>
  <si>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</si>
  <si>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</si>
  <si>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</si>
  <si>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</si>
  <si>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</si>
  <si>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</si>
  <si>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</si>
  <si>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</si>
  <si>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</si>
  <si>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</si>
  <si>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</si>
  <si>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</si>
  <si>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</si>
  <si>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</si>
  <si>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</si>
  <si>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</si>
  <si>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</si>
  <si>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</si>
  <si>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</si>
  <si>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</si>
  <si>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</si>
  <si>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</si>
  <si>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</si>
  <si>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</si>
  <si>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</si>
  <si>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</si>
  <si>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</si>
  <si>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</si>
  <si>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</si>
  <si>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</si>
  <si>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</si>
  <si>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</si>
  <si>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</si>
  <si>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</si>
  <si>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</si>
  <si>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</si>
  <si>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</si>
  <si>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</si>
  <si>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</si>
  <si>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</si>
  <si>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</si>
  <si>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</si>
  <si>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</si>
  <si>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</si>
  <si>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</si>
  <si>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</si>
  <si>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</si>
  <si>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</si>
  <si>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</si>
  <si>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</si>
  <si>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</si>
  <si>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</si>
  <si>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</si>
  <si>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</si>
  <si>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</si>
  <si>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</si>
  <si>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</si>
  <si>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</si>
  <si>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</si>
  <si>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</si>
  <si>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</si>
  <si>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</si>
  <si>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</si>
  <si>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</si>
  <si>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</si>
  <si>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</si>
  <si>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</si>
  <si>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</si>
  <si>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</si>
  <si>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</si>
  <si>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</si>
  <si>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</si>
  <si>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</si>
  <si>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</si>
  <si>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</si>
  <si>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</si>
  <si>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</si>
  <si>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</si>
  <si>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</si>
  <si>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</si>
  <si>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</si>
  <si>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</si>
  <si>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</si>
  <si>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</si>
  <si>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</si>
  <si>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</si>
  <si>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</si>
  <si>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</si>
  <si>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</si>
  <si>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</si>
  <si>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</si>
  <si>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</si>
  <si>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</si>
  <si>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</si>
  <si>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</si>
  <si>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</si>
  <si>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</si>
  <si>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</si>
  <si>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</si>
  <si>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</si>
  <si>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</si>
  <si>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</si>
  <si>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</si>
  <si>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</si>
  <si>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</si>
  <si>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</si>
  <si>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</si>
  <si>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</si>
  <si>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</si>
  <si>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</si>
  <si>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</si>
  <si>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</si>
  <si>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</si>
  <si>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</si>
  <si>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</si>
  <si>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</si>
  <si>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</si>
  <si>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</si>
  <si>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</si>
  <si>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</si>
  <si>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</si>
  <si>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</si>
  <si>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</si>
  <si>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</si>
  <si>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</si>
  <si>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</si>
  <si>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</si>
  <si>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</si>
  <si>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</si>
  <si>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</si>
  <si>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</si>
  <si>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</si>
  <si>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</si>
  <si>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</si>
  <si>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</si>
  <si>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</si>
  <si>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</si>
  <si>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</si>
  <si>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</si>
  <si>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</si>
  <si>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</si>
  <si>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</si>
  <si>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</si>
  <si>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</si>
  <si>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</si>
  <si>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</si>
  <si>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</si>
  <si>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</si>
  <si>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</si>
  <si>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</si>
  <si>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</si>
  <si>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</si>
  <si>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</si>
  <si>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</si>
  <si>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</si>
  <si>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</si>
  <si>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</si>
  <si>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</si>
  <si>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</si>
  <si>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</si>
  <si>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</si>
  <si>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</si>
  <si>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</si>
  <si>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</si>
  <si>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</si>
  <si>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</si>
  <si>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</si>
  <si>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</si>
  <si>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</si>
  <si>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</si>
  <si>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</si>
  <si>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</si>
  <si>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</si>
  <si>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</si>
  <si>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</si>
  <si>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</si>
  <si>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</si>
  <si>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</si>
  <si>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</si>
  <si>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</si>
  <si>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</si>
  <si>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</si>
  <si>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</si>
  <si>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</si>
  <si>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</si>
  <si>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</si>
  <si>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</si>
  <si>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</si>
  <si>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</si>
  <si>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</si>
  <si>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</si>
  <si>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</si>
  <si>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</si>
  <si>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</si>
  <si>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</si>
  <si>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</si>
  <si>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</si>
  <si>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</si>
  <si>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</si>
  <si>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</si>
  <si>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</si>
  <si>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</si>
  <si>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</si>
  <si>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</si>
  <si>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</si>
  <si>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</si>
  <si>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</si>
  <si>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</si>
  <si>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</si>
  <si>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</si>
  <si>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</si>
  <si>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</si>
  <si>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</si>
  <si>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</si>
  <si>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</si>
  <si>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</si>
  <si>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</si>
  <si>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</si>
  <si>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</si>
  <si>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</si>
  <si>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</si>
  <si>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</si>
  <si>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</si>
  <si>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</si>
  <si>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</si>
  <si>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</si>
  <si>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</si>
  <si>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</si>
  <si>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</si>
  <si>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</si>
  <si>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</si>
  <si>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</si>
  <si>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</si>
  <si>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</si>
  <si>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</si>
  <si>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</si>
  <si>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</si>
  <si>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</si>
  <si>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</si>
  <si>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</si>
  <si>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</si>
  <si>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</si>
  <si>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</si>
  <si>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</si>
  <si>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</si>
  <si>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</si>
  <si>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</si>
  <si>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</si>
  <si>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</si>
  <si>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</si>
  <si>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</si>
  <si>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</si>
  <si>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</si>
  <si>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</si>
  <si>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</si>
  <si>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</si>
  <si>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</si>
  <si>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</si>
  <si>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</si>
  <si>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</si>
  <si>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</si>
  <si>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</si>
  <si>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</si>
  <si>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</si>
  <si>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</si>
  <si>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</si>
  <si>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</si>
  <si>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</si>
  <si>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</si>
  <si>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</si>
  <si>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</si>
  <si>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</si>
  <si>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</si>
  <si>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</si>
  <si>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</si>
  <si>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</si>
  <si>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</si>
  <si>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</si>
  <si>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</si>
  <si>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</si>
  <si>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</si>
  <si>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</si>
  <si>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</si>
  <si>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</si>
  <si>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</si>
  <si>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</si>
  <si>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</si>
  <si>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</si>
  <si>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</si>
  <si>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</si>
  <si>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</si>
  <si>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</si>
  <si>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</si>
  <si>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</si>
  <si>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</si>
  <si>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</si>
  <si>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</si>
  <si>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</si>
  <si>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</si>
  <si>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</si>
  <si>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</si>
  <si>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</si>
  <si>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</si>
  <si>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</si>
  <si>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</si>
  <si>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</si>
  <si>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</si>
  <si>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</si>
  <si>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</si>
  <si>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</si>
  <si>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</si>
  <si>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</si>
  <si>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</si>
  <si>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</si>
  <si>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</si>
  <si>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</si>
  <si>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</si>
  <si>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</si>
  <si>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</si>
  <si>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</si>
  <si>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</si>
  <si>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</si>
  <si>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</si>
  <si>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</si>
  <si>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</si>
  <si>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</si>
  <si>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</si>
  <si>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</si>
  <si>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</si>
  <si>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</si>
  <si>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</si>
  <si>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</si>
  <si>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</si>
  <si>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</si>
  <si>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</si>
  <si>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</si>
  <si>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</si>
  <si>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</si>
  <si>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</si>
  <si>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</si>
  <si>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</si>
  <si>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</si>
  <si>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</si>
  <si>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</si>
  <si>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</si>
  <si>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</si>
  <si>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</si>
  <si>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</si>
  <si>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</si>
  <si>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</si>
  <si>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</si>
  <si>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</si>
  <si>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</si>
  <si>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</si>
  <si>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</si>
  <si>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</si>
  <si>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</si>
  <si>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</si>
  <si>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</si>
  <si>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</si>
  <si>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</si>
  <si>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</si>
  <si>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</si>
  <si>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</si>
  <si>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</si>
  <si>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</si>
  <si>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</si>
  <si>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</si>
  <si>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</si>
  <si>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</si>
  <si>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</si>
  <si>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</si>
  <si>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</si>
  <si>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</si>
  <si>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</si>
  <si>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</si>
  <si>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</si>
  <si>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</si>
  <si>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</si>
  <si>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</si>
  <si>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</si>
  <si>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</si>
  <si>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</si>
  <si>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</si>
  <si>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</si>
  <si>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</si>
  <si>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</si>
  <si>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</si>
  <si>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</si>
  <si>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</si>
  <si>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</si>
  <si>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</si>
  <si>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</si>
  <si>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</si>
  <si>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</si>
  <si>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</si>
  <si>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</si>
  <si>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</si>
  <si>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</si>
  <si>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</si>
  <si>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</si>
  <si>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</si>
  <si>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</si>
  <si>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</si>
  <si>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</si>
  <si>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</si>
  <si>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</si>
  <si>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</si>
  <si>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</si>
  <si>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</si>
  <si>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</si>
  <si>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</si>
  <si>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</si>
  <si>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</si>
  <si>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</si>
  <si>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</si>
  <si>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</si>
  <si>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</si>
  <si>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</si>
  <si>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</si>
  <si>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</si>
  <si>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</si>
  <si>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</si>
  <si>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</si>
  <si>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</si>
  <si>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</si>
  <si>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</si>
  <si>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</si>
  <si>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</si>
  <si>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</si>
  <si>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</si>
  <si>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</si>
  <si>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</si>
  <si>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</si>
  <si>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</si>
  <si>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</si>
  <si>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</si>
  <si>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</si>
  <si>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</si>
  <si>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</si>
  <si>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</si>
  <si>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</si>
  <si>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</si>
  <si>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</si>
  <si>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</si>
  <si>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</si>
  <si>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</si>
  <si>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</si>
  <si>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</si>
  <si>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</si>
  <si>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</si>
  <si>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</si>
  <si>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199</t>
  </si>
  <si>
    <t>ASTRIA TOPPENISH HOSPITAL</t>
  </si>
  <si>
    <t>Toppenish</t>
  </si>
  <si>
    <t>WA</t>
  </si>
  <si>
    <t>Yakima</t>
  </si>
  <si>
    <t>Brian Gibbons</t>
  </si>
  <si>
    <t>Maxwell Owens</t>
  </si>
  <si>
    <t>Mary Ann Bliesner</t>
  </si>
  <si>
    <t>509-865-3105</t>
  </si>
  <si>
    <t>509-865-1519</t>
  </si>
  <si>
    <t>Oth Op Rev - Sales Him Copies</t>
  </si>
  <si>
    <t>Oth Op Rev - Service Vending Machine</t>
  </si>
  <si>
    <t>Oth Dir - Dues/Subscription</t>
  </si>
  <si>
    <t>Oth Dir - Travel/Mtgs</t>
  </si>
  <si>
    <t>Oth Dir -  Education</t>
  </si>
  <si>
    <t>Oth Dir - Miscellaneous</t>
  </si>
  <si>
    <t>Oth Dir - Freight</t>
  </si>
  <si>
    <t>Oth Dir - Physician Recruitment</t>
  </si>
  <si>
    <t>Oth Dir - Emp Relocation</t>
  </si>
  <si>
    <t>Oth Dir - Postage</t>
  </si>
  <si>
    <t>Oth Dir - Indirect Bank Fees</t>
  </si>
  <si>
    <t>Oth Dir - Inventory Adj</t>
  </si>
  <si>
    <t>Washington</t>
  </si>
  <si>
    <t>12/31/2022</t>
  </si>
  <si>
    <t>502 W 4th Ave</t>
  </si>
  <si>
    <t>Oth Op Rev - Miscellaneous - PPP Loan Forgiveness</t>
  </si>
  <si>
    <t>Oth Op Rev - Miscellaneous - Interest</t>
  </si>
  <si>
    <t>Oth Op Rev - Miscellaneous - Tax refund</t>
  </si>
  <si>
    <t>Oth Op Rev - Miscellaneous -  Vending</t>
  </si>
  <si>
    <t>Bertha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</si>
</sst>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1" fillId="3" borderId="0" xfId="0" quotePrefix="1" applyNumberFormat="1" applyFont="1" applyFill="1" applyAlignment="1">
      <alignment horizontal="center"/>
    </xf>
    <xf numFmtId="38" fontId="15" fillId="4" borderId="14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" transitionEvaluation="1" transitionEntry="1" codeName="Sheet1">
    <tabColor rgb="FF92D050"/>
    <pageSetUpPr autoPageBreaks="0" fitToPage="1"/>
  </sheetPr>
  <dimension ref="A1:CF716"/>
  <sheetViews>
    <sheetView topLeftCell="A19" zoomScale="85" zoomScaleNormal="85" workbookViewId="0">
      <selection activeCell="D131" sqref="D131"/>
    </sheetView>
  </sheetViews>
  <sheetFormatPr defaultColWidth="11.77734375" defaultRowHeight="15" x14ac:dyDescent="0.25"/>
  <cols>
    <col min="1" max="1" width="44.44140625" style="12" customWidth="1"/>
    <col min="2" max="2" width="13.5546875" style="12" customWidth="1"/>
    <col min="3" max="3" width="11.33203125" style="12" customWidth="1"/>
    <col min="4" max="4" width="11.109375" style="12" customWidth="1"/>
    <col min="5" max="5" width="11.77734375" style="12" customWidth="1"/>
    <col min="6" max="6" width="11.5546875" style="12" customWidth="1"/>
    <col min="7" max="7" width="11.77734375" style="12" customWidth="1"/>
    <col min="8" max="8" width="13.5546875" style="12" customWidth="1"/>
    <col min="9" max="9" width="9.21875" style="12" customWidth="1"/>
    <col min="10" max="10" width="13.5546875" style="12" customWidth="1"/>
    <col min="11" max="14" width="9.33203125" style="12" customWidth="1"/>
    <col min="15" max="19" width="13.5546875" style="12" customWidth="1"/>
    <col min="20" max="20" width="12.77734375" style="12" customWidth="1"/>
    <col min="21" max="25" width="13.5546875" style="12" customWidth="1"/>
    <col min="26" max="26" width="1.88671875" style="12" customWidth="1"/>
    <col min="27" max="27" width="2.21875" style="12" customWidth="1"/>
    <col min="28" max="29" width="13.5546875" style="12" customWidth="1"/>
    <col min="30" max="30" width="1.6640625" style="12" customWidth="1"/>
    <col min="31" max="31" width="13.5546875" style="12" customWidth="1"/>
    <col min="32" max="32" width="1.44140625" style="12" customWidth="1"/>
    <col min="33" max="33" width="13.5546875" style="12" customWidth="1"/>
    <col min="34" max="35" width="1.77734375" style="12" customWidth="1"/>
    <col min="36" max="38" width="13.5546875" style="12" customWidth="1"/>
    <col min="39" max="39" width="2" style="12" customWidth="1"/>
    <col min="40" max="40" width="1.6640625" style="12" customWidth="1"/>
    <col min="41" max="45" width="1.5546875" style="12" customWidth="1"/>
    <col min="46" max="46" width="1.44140625" style="12" customWidth="1"/>
    <col min="47" max="47" width="1.33203125" style="12" customWidth="1"/>
    <col min="48" max="48" width="13.5546875" style="12" customWidth="1"/>
    <col min="49" max="50" width="1.88671875" style="12" customWidth="1"/>
    <col min="51" max="52" width="13.5546875" style="12" customWidth="1"/>
    <col min="53" max="55" width="1.5546875" style="12" customWidth="1"/>
    <col min="56" max="60" width="13.5546875" style="12" customWidth="1"/>
    <col min="61" max="61" width="1.21875" style="12" customWidth="1"/>
    <col min="62" max="62" width="11.44140625" style="12" customWidth="1"/>
    <col min="63" max="63" width="13.5546875" style="12" customWidth="1"/>
    <col min="64" max="64" width="11.21875" style="12" customWidth="1"/>
    <col min="65" max="65" width="2.44140625" style="12" customWidth="1"/>
    <col min="66" max="66" width="13.5546875" style="12" customWidth="1"/>
    <col min="67" max="69" width="1.6640625" style="12" customWidth="1"/>
    <col min="70" max="70" width="13.5546875" style="12" customWidth="1"/>
    <col min="71" max="71" width="2.44140625" style="12" customWidth="1"/>
    <col min="72" max="72" width="13.5546875" style="12" customWidth="1"/>
    <col min="73" max="73" width="2" style="12" customWidth="1"/>
    <col min="74" max="74" width="13.5546875" style="12" customWidth="1"/>
    <col min="75" max="75" width="1.5546875" style="12" customWidth="1"/>
    <col min="76" max="77" width="13.5546875" style="12" customWidth="1"/>
    <col min="78" max="80" width="1.33203125" style="12" customWidth="1"/>
    <col min="81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1349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1328</v>
      </c>
    </row>
    <row r="6" spans="1:3" x14ac:dyDescent="0.25">
      <c r="A6" s="12" t="s">
        <v>4</v>
      </c>
    </row>
    <row r="7" spans="1:3" x14ac:dyDescent="0.25">
      <c r="A7" s="12" t="s">
        <v>1350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1351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1352</v>
      </c>
    </row>
    <row r="18" spans="1:10" ht="14.45" customHeight="1" x14ac:dyDescent="0.25">
      <c r="A18" s="18" t="s">
        <v>1353</v>
      </c>
    </row>
    <row r="19" spans="1:10" ht="14.45" customHeight="1" x14ac:dyDescent="0.25">
      <c r="A19" s="18" t="s">
        <v>1354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1355</v>
      </c>
      <c r="E23" s="71"/>
      <c r="F23" s="71"/>
      <c r="G23" s="71"/>
      <c r="I23" s="71"/>
      <c r="J23" s="71"/>
    </row>
    <row r="24" spans="1:10" x14ac:dyDescent="0.25">
      <c r="A24" s="18" t="s">
        <v>1356</v>
      </c>
    </row>
    <row r="25" spans="1:10" x14ac:dyDescent="0.25">
      <c r="A25" s="18" t="s">
        <v>1357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1358</v>
      </c>
      <c r="C28" s="17"/>
    </row>
    <row r="29" spans="1:10" x14ac:dyDescent="0.25">
      <c r="C29" s="17"/>
    </row>
    <row r="30" spans="1:10" x14ac:dyDescent="0.25">
      <c r="A30" s="12" t="s">
        <v>1347</v>
      </c>
      <c r="C30" s="333" t="s">
        <v>1348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25">
      <c r="A37" s="337" t="s">
        <v>1340</v>
      </c>
      <c r="B37" s="338"/>
      <c r="C37" s="336"/>
      <c r="D37" s="335"/>
      <c r="E37" s="335"/>
      <c r="F37" s="335"/>
      <c r="G37" s="335"/>
    </row>
    <row r="38" spans="1:83" x14ac:dyDescent="0.25">
      <c r="A38" s="341" t="s">
        <v>1359</v>
      </c>
      <c r="B38" s="338"/>
      <c r="C38" s="336"/>
      <c r="D38" s="335"/>
      <c r="E38" s="335"/>
      <c r="F38" s="335"/>
      <c r="G38" s="335"/>
    </row>
    <row r="39" spans="1:83" x14ac:dyDescent="0.25">
      <c r="A39" s="340" t="s">
        <v>1341</v>
      </c>
      <c r="B39" s="335"/>
      <c r="C39" s="336"/>
      <c r="D39" s="335"/>
      <c r="E39" s="335"/>
      <c r="F39" s="335"/>
      <c r="G39" s="335"/>
    </row>
    <row r="40" spans="1:83" x14ac:dyDescent="0.25">
      <c r="A40" s="341" t="s">
        <v>1360</v>
      </c>
      <c r="B40" s="335"/>
      <c r="C40" s="336"/>
      <c r="D40" s="335"/>
      <c r="E40" s="335"/>
      <c r="F40" s="335"/>
      <c r="G40" s="335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  <c r="AJ43" s="69"/>
    </row>
    <row r="44" spans="1:83" x14ac:dyDescent="0.25">
      <c r="A44" s="20"/>
      <c r="B44" s="20"/>
      <c r="C44" s="344" t="s">
        <v>21</v>
      </c>
      <c r="D44" s="22" t="s">
        <v>22</v>
      </c>
      <c r="E44" s="23" t="s">
        <v>23</v>
      </c>
      <c r="F44" s="22" t="s">
        <v>24</v>
      </c>
      <c r="G44" s="22" t="s">
        <v>25</v>
      </c>
      <c r="H44" s="23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3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3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3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3" t="s">
        <v>69</v>
      </c>
      <c r="AZ44" s="23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1">
        <f>4468659-2094873</f>
        <v>2373786</v>
      </c>
      <c r="C47" s="24">
        <v>86809</v>
      </c>
      <c r="D47" s="24"/>
      <c r="E47" s="24">
        <v>134302</v>
      </c>
      <c r="F47" s="24"/>
      <c r="G47" s="24"/>
      <c r="H47" s="24">
        <v>242442</v>
      </c>
      <c r="I47" s="24"/>
      <c r="J47" s="24"/>
      <c r="K47" s="24"/>
      <c r="L47" s="24"/>
      <c r="M47" s="24"/>
      <c r="N47" s="24"/>
      <c r="O47" s="24">
        <v>143350</v>
      </c>
      <c r="P47" s="24">
        <f>261322+50763</f>
        <v>312085</v>
      </c>
      <c r="Q47" s="24">
        <v>50496</v>
      </c>
      <c r="R47" s="24"/>
      <c r="S47" s="24"/>
      <c r="T47" s="24"/>
      <c r="U47" s="24">
        <v>132548</v>
      </c>
      <c r="V47" s="24">
        <v>9096</v>
      </c>
      <c r="W47" s="24">
        <v>884</v>
      </c>
      <c r="X47" s="24">
        <v>7834</v>
      </c>
      <c r="Y47" s="24">
        <f>96706+41729-9096</f>
        <v>129339</v>
      </c>
      <c r="Z47" s="24"/>
      <c r="AA47" s="24"/>
      <c r="AB47" s="24">
        <v>62326</v>
      </c>
      <c r="AC47" s="24">
        <v>5806</v>
      </c>
      <c r="AD47" s="24"/>
      <c r="AE47" s="24">
        <v>10158</v>
      </c>
      <c r="AF47" s="24"/>
      <c r="AG47" s="24">
        <v>247552</v>
      </c>
      <c r="AH47" s="24"/>
      <c r="AI47" s="24"/>
      <c r="AJ47" s="24">
        <v>542422</v>
      </c>
      <c r="AK47" s="24">
        <v>299</v>
      </c>
      <c r="AL47" s="24">
        <v>747</v>
      </c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>
        <v>42054</v>
      </c>
      <c r="AZ47" s="24"/>
      <c r="BA47" s="24"/>
      <c r="BB47" s="24"/>
      <c r="BC47" s="24"/>
      <c r="BD47" s="24">
        <v>22669</v>
      </c>
      <c r="BE47" s="24">
        <v>30344</v>
      </c>
      <c r="BF47" s="24">
        <v>49049</v>
      </c>
      <c r="BG47" s="24"/>
      <c r="BH47" s="24"/>
      <c r="BI47" s="24"/>
      <c r="BJ47" s="24">
        <v>7483</v>
      </c>
      <c r="BK47" s="24"/>
      <c r="BL47" s="24">
        <v>79498</v>
      </c>
      <c r="BM47" s="24"/>
      <c r="BN47" s="24">
        <v>-132679</v>
      </c>
      <c r="BO47" s="24"/>
      <c r="BP47" s="24"/>
      <c r="BQ47" s="24"/>
      <c r="BR47" s="24">
        <v>14298</v>
      </c>
      <c r="BS47" s="24"/>
      <c r="BT47" s="24"/>
      <c r="BU47" s="24"/>
      <c r="BV47" s="24">
        <v>30471</v>
      </c>
      <c r="BW47" s="24"/>
      <c r="BX47" s="24">
        <v>44222</v>
      </c>
      <c r="BY47" s="24">
        <v>67882</v>
      </c>
      <c r="BZ47" s="24"/>
      <c r="CA47" s="24"/>
      <c r="CB47" s="24"/>
      <c r="CC47" s="24"/>
      <c r="CD47" s="20"/>
      <c r="CE47" s="32">
        <f>SUM(C47:CC47)</f>
        <v>2373786</v>
      </c>
    </row>
    <row r="48" spans="1:83" x14ac:dyDescent="0.25">
      <c r="A48" s="32" t="s">
        <v>217</v>
      </c>
      <c r="B48" s="311">
        <v>2094873</v>
      </c>
      <c r="C48" s="32">
        <f>IF($B$48,(ROUND((($B$48/$CE$61)*C61),0)))</f>
        <v>68826</v>
      </c>
      <c r="D48" s="32">
        <f t="shared" ref="D48:BO48" si="0">IF($B$48,(ROUND((($B$48/$CE$61)*D61),0)))</f>
        <v>0</v>
      </c>
      <c r="E48" s="32">
        <f t="shared" si="0"/>
        <v>99556</v>
      </c>
      <c r="F48" s="32">
        <f t="shared" si="0"/>
        <v>0</v>
      </c>
      <c r="G48" s="32">
        <f t="shared" si="0"/>
        <v>0</v>
      </c>
      <c r="H48" s="32">
        <f t="shared" si="0"/>
        <v>172048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109592</v>
      </c>
      <c r="P48" s="32">
        <f t="shared" si="0"/>
        <v>260983</v>
      </c>
      <c r="Q48" s="32">
        <f t="shared" si="0"/>
        <v>40910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97385</v>
      </c>
      <c r="V48" s="32">
        <f t="shared" si="0"/>
        <v>6915</v>
      </c>
      <c r="W48" s="32">
        <f t="shared" si="0"/>
        <v>627</v>
      </c>
      <c r="X48" s="32">
        <f t="shared" si="0"/>
        <v>7447</v>
      </c>
      <c r="Y48" s="32">
        <f t="shared" si="0"/>
        <v>95480</v>
      </c>
      <c r="Z48" s="32">
        <f t="shared" si="0"/>
        <v>0</v>
      </c>
      <c r="AA48" s="32">
        <f t="shared" si="0"/>
        <v>0</v>
      </c>
      <c r="AB48" s="32">
        <f t="shared" si="0"/>
        <v>46297</v>
      </c>
      <c r="AC48" s="32">
        <f t="shared" si="0"/>
        <v>4499</v>
      </c>
      <c r="AD48" s="32">
        <f t="shared" si="0"/>
        <v>0</v>
      </c>
      <c r="AE48" s="32">
        <f t="shared" si="0"/>
        <v>9672</v>
      </c>
      <c r="AF48" s="32">
        <f t="shared" si="0"/>
        <v>0</v>
      </c>
      <c r="AG48" s="32">
        <f t="shared" si="0"/>
        <v>200102</v>
      </c>
      <c r="AH48" s="32">
        <f t="shared" si="0"/>
        <v>0</v>
      </c>
      <c r="AI48" s="32">
        <f t="shared" si="0"/>
        <v>0</v>
      </c>
      <c r="AJ48" s="32">
        <f t="shared" si="0"/>
        <v>612597</v>
      </c>
      <c r="AK48" s="32">
        <f t="shared" si="0"/>
        <v>276</v>
      </c>
      <c r="AL48" s="32">
        <f t="shared" si="0"/>
        <v>674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28180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15915</v>
      </c>
      <c r="BE48" s="32">
        <f t="shared" si="0"/>
        <v>16841</v>
      </c>
      <c r="BF48" s="32">
        <f t="shared" si="0"/>
        <v>31268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7962</v>
      </c>
      <c r="BK48" s="32">
        <f t="shared" si="0"/>
        <v>0</v>
      </c>
      <c r="BL48" s="32">
        <f t="shared" si="0"/>
        <v>51675</v>
      </c>
      <c r="BM48" s="32">
        <f t="shared" si="0"/>
        <v>0</v>
      </c>
      <c r="BN48" s="32">
        <f t="shared" si="0"/>
        <v>-734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1969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22888</v>
      </c>
      <c r="BW48" s="32">
        <f t="shared" si="1"/>
        <v>0</v>
      </c>
      <c r="BX48" s="32">
        <f t="shared" si="1"/>
        <v>31604</v>
      </c>
      <c r="BY48" s="32">
        <f t="shared" si="1"/>
        <v>53420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2094874</v>
      </c>
    </row>
    <row r="49" spans="1:83" x14ac:dyDescent="0.25">
      <c r="A49" s="20" t="s">
        <v>218</v>
      </c>
      <c r="B49" s="32">
        <f>B47+B48</f>
        <v>4468659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25">
      <c r="A52" s="39" t="s">
        <v>220</v>
      </c>
      <c r="B52" s="312">
        <v>715557</v>
      </c>
      <c r="C52" s="32">
        <f>IF($B$52,ROUND(($B$52/($CE$90+$CF$90)*C90),0))</f>
        <v>27100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43342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52322</v>
      </c>
      <c r="Q52" s="32">
        <f t="shared" si="2"/>
        <v>35276</v>
      </c>
      <c r="R52" s="32">
        <f t="shared" si="2"/>
        <v>1445</v>
      </c>
      <c r="S52" s="32">
        <f t="shared" si="2"/>
        <v>0</v>
      </c>
      <c r="T52" s="32">
        <f t="shared" si="2"/>
        <v>0</v>
      </c>
      <c r="U52" s="32">
        <f t="shared" si="2"/>
        <v>24761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36838</v>
      </c>
      <c r="Z52" s="32">
        <f t="shared" si="2"/>
        <v>0</v>
      </c>
      <c r="AA52" s="32">
        <f t="shared" si="2"/>
        <v>0</v>
      </c>
      <c r="AB52" s="32">
        <f t="shared" si="2"/>
        <v>9594</v>
      </c>
      <c r="AC52" s="32">
        <f t="shared" si="2"/>
        <v>7606</v>
      </c>
      <c r="AD52" s="32">
        <f t="shared" si="2"/>
        <v>0</v>
      </c>
      <c r="AE52" s="32">
        <f t="shared" si="2"/>
        <v>12285</v>
      </c>
      <c r="AF52" s="32">
        <f t="shared" si="2"/>
        <v>0</v>
      </c>
      <c r="AG52" s="32">
        <f t="shared" si="2"/>
        <v>41789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4860</v>
      </c>
      <c r="AZ52" s="32">
        <f t="shared" si="2"/>
        <v>21003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19223</v>
      </c>
      <c r="BE52" s="32">
        <f t="shared" si="2"/>
        <v>28067</v>
      </c>
      <c r="BF52" s="32">
        <f t="shared" si="2"/>
        <v>7209</v>
      </c>
      <c r="BG52" s="32">
        <f t="shared" si="2"/>
        <v>0</v>
      </c>
      <c r="BH52" s="32">
        <f t="shared" si="2"/>
        <v>2529</v>
      </c>
      <c r="BI52" s="32">
        <f t="shared" si="2"/>
        <v>0</v>
      </c>
      <c r="BJ52" s="32">
        <f t="shared" si="2"/>
        <v>0</v>
      </c>
      <c r="BK52" s="32">
        <f t="shared" si="2"/>
        <v>22584</v>
      </c>
      <c r="BL52" s="32">
        <f t="shared" si="2"/>
        <v>0</v>
      </c>
      <c r="BM52" s="32">
        <f t="shared" si="2"/>
        <v>0</v>
      </c>
      <c r="BN52" s="32">
        <f t="shared" si="2"/>
        <v>19810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3686</v>
      </c>
      <c r="BS52" s="32">
        <f t="shared" si="3"/>
        <v>0</v>
      </c>
      <c r="BT52" s="32">
        <f t="shared" si="3"/>
        <v>4282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2927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287020</v>
      </c>
      <c r="CD52" s="32">
        <f t="shared" si="3"/>
        <v>0</v>
      </c>
      <c r="CE52" s="32">
        <f>SUM(C52:CD52)</f>
        <v>715558</v>
      </c>
    </row>
    <row r="53" spans="1:83" x14ac:dyDescent="0.25">
      <c r="A53" s="20" t="s">
        <v>218</v>
      </c>
      <c r="B53" s="32">
        <f>B51+B52</f>
        <v>715557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227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>
        <v>1738</v>
      </c>
      <c r="D59" s="24"/>
      <c r="E59" s="24">
        <f>1704+94</f>
        <v>1798</v>
      </c>
      <c r="F59" s="24"/>
      <c r="G59" s="24"/>
      <c r="H59" s="24">
        <v>5070</v>
      </c>
      <c r="I59" s="24"/>
      <c r="J59" s="24">
        <v>444</v>
      </c>
      <c r="K59" s="24"/>
      <c r="L59" s="24"/>
      <c r="M59" s="24"/>
      <c r="N59" s="24"/>
      <c r="O59" s="24">
        <v>544</v>
      </c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v>26331</v>
      </c>
      <c r="AZ59" s="30"/>
      <c r="BA59" s="313"/>
      <c r="BB59" s="313"/>
      <c r="BC59" s="313"/>
      <c r="BD59" s="313"/>
      <c r="BE59" s="30">
        <f>70293+8919</f>
        <v>79212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25">
      <c r="A60" s="240" t="s">
        <v>247</v>
      </c>
      <c r="B60" s="241"/>
      <c r="C60" s="314">
        <v>7.75</v>
      </c>
      <c r="D60" s="314"/>
      <c r="E60" s="314">
        <v>11.06</v>
      </c>
      <c r="F60" s="314"/>
      <c r="G60" s="314"/>
      <c r="H60" s="314">
        <v>27.91</v>
      </c>
      <c r="I60" s="314"/>
      <c r="J60" s="314"/>
      <c r="K60" s="314"/>
      <c r="L60" s="314"/>
      <c r="M60" s="314"/>
      <c r="N60" s="314"/>
      <c r="O60" s="314">
        <v>9.61</v>
      </c>
      <c r="P60" s="315">
        <v>31.77</v>
      </c>
      <c r="Q60" s="315">
        <v>3.41</v>
      </c>
      <c r="R60" s="315"/>
      <c r="S60" s="316"/>
      <c r="T60" s="316"/>
      <c r="U60" s="317">
        <v>17.72</v>
      </c>
      <c r="V60" s="315"/>
      <c r="W60" s="315">
        <v>7.0000000000000007E-2</v>
      </c>
      <c r="X60" s="315">
        <v>0.9</v>
      </c>
      <c r="Y60" s="315">
        <v>15.45</v>
      </c>
      <c r="Z60" s="315"/>
      <c r="AA60" s="315"/>
      <c r="AB60" s="316">
        <v>4.84</v>
      </c>
      <c r="AC60" s="315">
        <v>0.48</v>
      </c>
      <c r="AD60" s="315"/>
      <c r="AE60" s="315">
        <v>0.8</v>
      </c>
      <c r="AF60" s="315"/>
      <c r="AG60" s="315">
        <v>19.75</v>
      </c>
      <c r="AH60" s="315"/>
      <c r="AI60" s="315"/>
      <c r="AJ60" s="315">
        <v>53.09</v>
      </c>
      <c r="AK60" s="315">
        <v>0.03</v>
      </c>
      <c r="AL60" s="315">
        <v>0.06</v>
      </c>
      <c r="AM60" s="315"/>
      <c r="AN60" s="315"/>
      <c r="AO60" s="315"/>
      <c r="AP60" s="315"/>
      <c r="AQ60" s="315"/>
      <c r="AR60" s="315"/>
      <c r="AS60" s="315"/>
      <c r="AT60" s="315"/>
      <c r="AU60" s="315"/>
      <c r="AV60" s="316"/>
      <c r="AW60" s="316"/>
      <c r="AX60" s="316"/>
      <c r="AY60" s="315">
        <v>7.38</v>
      </c>
      <c r="AZ60" s="315"/>
      <c r="BA60" s="316"/>
      <c r="BB60" s="316"/>
      <c r="BC60" s="316"/>
      <c r="BD60" s="316">
        <v>3.81</v>
      </c>
      <c r="BE60" s="315">
        <v>5.93</v>
      </c>
      <c r="BF60" s="316">
        <v>7.95</v>
      </c>
      <c r="BG60" s="316"/>
      <c r="BH60" s="316"/>
      <c r="BI60" s="316"/>
      <c r="BJ60" s="316">
        <v>1</v>
      </c>
      <c r="BK60" s="316"/>
      <c r="BL60" s="316">
        <v>13.87</v>
      </c>
      <c r="BM60" s="316"/>
      <c r="BN60" s="316">
        <v>1.01</v>
      </c>
      <c r="BO60" s="316"/>
      <c r="BP60" s="316"/>
      <c r="BQ60" s="316"/>
      <c r="BR60" s="316">
        <v>0.28000000000000003</v>
      </c>
      <c r="BS60" s="316"/>
      <c r="BT60" s="316"/>
      <c r="BU60" s="316"/>
      <c r="BV60" s="316">
        <v>4.1900000000000004</v>
      </c>
      <c r="BW60" s="316"/>
      <c r="BX60" s="316">
        <v>3.02</v>
      </c>
      <c r="BY60" s="316">
        <v>3.78</v>
      </c>
      <c r="BZ60" s="316"/>
      <c r="CA60" s="316"/>
      <c r="CB60" s="316"/>
      <c r="CC60" s="316"/>
      <c r="CD60" s="246" t="s">
        <v>233</v>
      </c>
      <c r="CE60" s="267">
        <f t="shared" ref="CE60:CE68" si="4">SUM(C60:CD60)</f>
        <v>256.91999999999996</v>
      </c>
    </row>
    <row r="61" spans="1:83" x14ac:dyDescent="0.25">
      <c r="A61" s="39" t="s">
        <v>248</v>
      </c>
      <c r="B61" s="20"/>
      <c r="C61" s="24">
        <v>691127</v>
      </c>
      <c r="D61" s="24"/>
      <c r="E61" s="24">
        <f>999703</f>
        <v>999703</v>
      </c>
      <c r="F61" s="24"/>
      <c r="G61" s="24"/>
      <c r="H61" s="24">
        <v>1727641</v>
      </c>
      <c r="I61" s="24"/>
      <c r="J61" s="24"/>
      <c r="K61" s="24"/>
      <c r="L61" s="24"/>
      <c r="M61" s="24"/>
      <c r="N61" s="24"/>
      <c r="O61" s="24">
        <v>1100479.25</v>
      </c>
      <c r="P61" s="30">
        <f>2621349-660</f>
        <v>2620689</v>
      </c>
      <c r="Q61" s="30">
        <v>410801</v>
      </c>
      <c r="R61" s="30"/>
      <c r="S61" s="318"/>
      <c r="T61" s="318"/>
      <c r="U61" s="31">
        <v>977903</v>
      </c>
      <c r="V61" s="30">
        <v>69439</v>
      </c>
      <c r="W61" s="30">
        <v>6298</v>
      </c>
      <c r="X61" s="30">
        <v>74779</v>
      </c>
      <c r="Y61" s="30">
        <v>958775</v>
      </c>
      <c r="Z61" s="30"/>
      <c r="AA61" s="30"/>
      <c r="AB61" s="319">
        <v>464893</v>
      </c>
      <c r="AC61" s="30">
        <v>45180</v>
      </c>
      <c r="AD61" s="30"/>
      <c r="AE61" s="30">
        <v>97118</v>
      </c>
      <c r="AF61" s="30"/>
      <c r="AG61" s="30">
        <v>2009345</v>
      </c>
      <c r="AH61" s="30"/>
      <c r="AI61" s="30"/>
      <c r="AJ61" s="30">
        <v>6151462</v>
      </c>
      <c r="AK61" s="30">
        <v>2769</v>
      </c>
      <c r="AL61" s="30">
        <v>6771</v>
      </c>
      <c r="AM61" s="30"/>
      <c r="AN61" s="30"/>
      <c r="AO61" s="30"/>
      <c r="AP61" s="30"/>
      <c r="AQ61" s="30"/>
      <c r="AR61" s="30"/>
      <c r="AS61" s="30"/>
      <c r="AT61" s="30"/>
      <c r="AU61" s="30"/>
      <c r="AV61" s="318"/>
      <c r="AW61" s="318"/>
      <c r="AX61" s="318"/>
      <c r="AY61" s="30">
        <v>282969</v>
      </c>
      <c r="AZ61" s="30"/>
      <c r="BA61" s="318"/>
      <c r="BB61" s="318"/>
      <c r="BC61" s="318"/>
      <c r="BD61" s="318">
        <v>159811</v>
      </c>
      <c r="BE61" s="30">
        <v>169112</v>
      </c>
      <c r="BF61" s="318">
        <v>313981</v>
      </c>
      <c r="BG61" s="318"/>
      <c r="BH61" s="318"/>
      <c r="BI61" s="318"/>
      <c r="BJ61" s="318">
        <v>79954</v>
      </c>
      <c r="BK61" s="318"/>
      <c r="BL61" s="318">
        <v>518903</v>
      </c>
      <c r="BM61" s="318"/>
      <c r="BN61" s="318">
        <v>-7370</v>
      </c>
      <c r="BO61" s="318"/>
      <c r="BP61" s="318"/>
      <c r="BQ61" s="318"/>
      <c r="BR61" s="318">
        <v>19770</v>
      </c>
      <c r="BS61" s="318"/>
      <c r="BT61" s="318"/>
      <c r="BU61" s="318"/>
      <c r="BV61" s="318">
        <v>229836</v>
      </c>
      <c r="BW61" s="318"/>
      <c r="BX61" s="318">
        <v>317357</v>
      </c>
      <c r="BY61" s="318">
        <v>536423</v>
      </c>
      <c r="BZ61" s="318"/>
      <c r="CA61" s="318"/>
      <c r="CB61" s="318"/>
      <c r="CC61" s="318"/>
      <c r="CD61" s="29" t="s">
        <v>233</v>
      </c>
      <c r="CE61" s="32">
        <f t="shared" si="4"/>
        <v>21035918.25</v>
      </c>
    </row>
    <row r="62" spans="1:83" x14ac:dyDescent="0.25">
      <c r="A62" s="39" t="s">
        <v>9</v>
      </c>
      <c r="B62" s="20"/>
      <c r="C62" s="32">
        <f>ROUND(C47+C48,0)</f>
        <v>155635</v>
      </c>
      <c r="D62" s="32">
        <f t="shared" ref="D62:BO62" si="5">ROUND(D47+D48,0)</f>
        <v>0</v>
      </c>
      <c r="E62" s="32">
        <f t="shared" si="5"/>
        <v>233858</v>
      </c>
      <c r="F62" s="32">
        <f t="shared" si="5"/>
        <v>0</v>
      </c>
      <c r="G62" s="32">
        <f t="shared" si="5"/>
        <v>0</v>
      </c>
      <c r="H62" s="32">
        <f t="shared" si="5"/>
        <v>414490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252942</v>
      </c>
      <c r="P62" s="32">
        <f t="shared" si="5"/>
        <v>573068</v>
      </c>
      <c r="Q62" s="32">
        <f t="shared" si="5"/>
        <v>91406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229933</v>
      </c>
      <c r="V62" s="32">
        <f t="shared" si="5"/>
        <v>16011</v>
      </c>
      <c r="W62" s="32">
        <f t="shared" si="5"/>
        <v>1511</v>
      </c>
      <c r="X62" s="32">
        <f t="shared" si="5"/>
        <v>15281</v>
      </c>
      <c r="Y62" s="32">
        <f t="shared" si="5"/>
        <v>224819</v>
      </c>
      <c r="Z62" s="32">
        <f t="shared" si="5"/>
        <v>0</v>
      </c>
      <c r="AA62" s="32">
        <f t="shared" si="5"/>
        <v>0</v>
      </c>
      <c r="AB62" s="32">
        <f t="shared" si="5"/>
        <v>108623</v>
      </c>
      <c r="AC62" s="32">
        <f t="shared" si="5"/>
        <v>10305</v>
      </c>
      <c r="AD62" s="32">
        <f t="shared" si="5"/>
        <v>0</v>
      </c>
      <c r="AE62" s="32">
        <f t="shared" si="5"/>
        <v>19830</v>
      </c>
      <c r="AF62" s="32">
        <f t="shared" si="5"/>
        <v>0</v>
      </c>
      <c r="AG62" s="32">
        <f t="shared" si="5"/>
        <v>447654</v>
      </c>
      <c r="AH62" s="32">
        <f t="shared" si="5"/>
        <v>0</v>
      </c>
      <c r="AI62" s="32">
        <f t="shared" si="5"/>
        <v>0</v>
      </c>
      <c r="AJ62" s="32">
        <f t="shared" si="5"/>
        <v>1155019</v>
      </c>
      <c r="AK62" s="32">
        <f t="shared" si="5"/>
        <v>575</v>
      </c>
      <c r="AL62" s="32">
        <f t="shared" si="5"/>
        <v>1421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70234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38584</v>
      </c>
      <c r="BE62" s="32">
        <f t="shared" si="5"/>
        <v>47185</v>
      </c>
      <c r="BF62" s="32">
        <f t="shared" si="5"/>
        <v>80317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15445</v>
      </c>
      <c r="BK62" s="32">
        <f t="shared" si="5"/>
        <v>0</v>
      </c>
      <c r="BL62" s="32">
        <f t="shared" si="5"/>
        <v>131173</v>
      </c>
      <c r="BM62" s="32">
        <f t="shared" si="5"/>
        <v>0</v>
      </c>
      <c r="BN62" s="32">
        <f t="shared" si="5"/>
        <v>-133413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16267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53359</v>
      </c>
      <c r="BW62" s="32">
        <f t="shared" si="6"/>
        <v>0</v>
      </c>
      <c r="BX62" s="32">
        <f t="shared" si="6"/>
        <v>75826</v>
      </c>
      <c r="BY62" s="32">
        <f t="shared" si="6"/>
        <v>121302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4468660</v>
      </c>
    </row>
    <row r="63" spans="1:83" x14ac:dyDescent="0.25">
      <c r="A63" s="39" t="s">
        <v>249</v>
      </c>
      <c r="B63" s="20"/>
      <c r="C63" s="24">
        <v>0</v>
      </c>
      <c r="D63" s="24"/>
      <c r="E63" s="24">
        <f>1093678</f>
        <v>1093678</v>
      </c>
      <c r="F63" s="24"/>
      <c r="G63" s="24"/>
      <c r="H63" s="24">
        <v>824819</v>
      </c>
      <c r="I63" s="24"/>
      <c r="J63" s="24"/>
      <c r="K63" s="24"/>
      <c r="L63" s="24"/>
      <c r="M63" s="24"/>
      <c r="N63" s="24"/>
      <c r="O63" s="24">
        <f>919678</f>
        <v>919678</v>
      </c>
      <c r="P63" s="30">
        <v>94786</v>
      </c>
      <c r="Q63" s="30">
        <v>0</v>
      </c>
      <c r="R63" s="30">
        <v>0</v>
      </c>
      <c r="S63" s="318">
        <v>0</v>
      </c>
      <c r="T63" s="318"/>
      <c r="U63" s="31">
        <v>50000</v>
      </c>
      <c r="V63" s="30"/>
      <c r="W63" s="30">
        <v>0</v>
      </c>
      <c r="X63" s="30">
        <v>0</v>
      </c>
      <c r="Y63" s="30">
        <v>0</v>
      </c>
      <c r="Z63" s="30"/>
      <c r="AA63" s="30"/>
      <c r="AB63" s="319">
        <v>0</v>
      </c>
      <c r="AC63" s="30">
        <v>0</v>
      </c>
      <c r="AD63" s="30"/>
      <c r="AE63" s="30">
        <v>0</v>
      </c>
      <c r="AF63" s="30"/>
      <c r="AG63" s="30">
        <v>1728345.44</v>
      </c>
      <c r="AH63" s="30"/>
      <c r="AI63" s="30"/>
      <c r="AJ63" s="30">
        <v>8085</v>
      </c>
      <c r="AK63" s="30">
        <v>0</v>
      </c>
      <c r="AL63" s="30">
        <v>0</v>
      </c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>
        <v>0</v>
      </c>
      <c r="AZ63" s="30"/>
      <c r="BA63" s="318"/>
      <c r="BB63" s="318"/>
      <c r="BC63" s="318"/>
      <c r="BD63" s="318">
        <v>0</v>
      </c>
      <c r="BE63" s="30">
        <v>0</v>
      </c>
      <c r="BF63" s="318">
        <v>0</v>
      </c>
      <c r="BG63" s="318">
        <v>0</v>
      </c>
      <c r="BH63" s="318">
        <v>0</v>
      </c>
      <c r="BI63" s="318"/>
      <c r="BJ63" s="318">
        <v>23150</v>
      </c>
      <c r="BK63" s="318">
        <v>1740</v>
      </c>
      <c r="BL63" s="318">
        <v>0</v>
      </c>
      <c r="BM63" s="318"/>
      <c r="BN63" s="318">
        <v>23286</v>
      </c>
      <c r="BO63" s="318"/>
      <c r="BP63" s="318"/>
      <c r="BQ63" s="318"/>
      <c r="BR63" s="318">
        <v>0</v>
      </c>
      <c r="BS63" s="318"/>
      <c r="BT63" s="318"/>
      <c r="BU63" s="318"/>
      <c r="BV63" s="318">
        <v>0</v>
      </c>
      <c r="BW63" s="318"/>
      <c r="BX63" s="318">
        <v>0</v>
      </c>
      <c r="BY63" s="318">
        <v>0</v>
      </c>
      <c r="BZ63" s="318"/>
      <c r="CA63" s="318"/>
      <c r="CB63" s="318"/>
      <c r="CC63" s="318"/>
      <c r="CD63" s="29" t="s">
        <v>233</v>
      </c>
      <c r="CE63" s="32">
        <f>SUM(C63:CD63)</f>
        <v>4767567.4399999995</v>
      </c>
    </row>
    <row r="64" spans="1:83" x14ac:dyDescent="0.25">
      <c r="A64" s="39" t="s">
        <v>250</v>
      </c>
      <c r="B64" s="20"/>
      <c r="C64" s="24">
        <v>202366</v>
      </c>
      <c r="D64" s="24"/>
      <c r="E64" s="24">
        <v>32848</v>
      </c>
      <c r="F64" s="24"/>
      <c r="G64" s="24"/>
      <c r="H64" s="24">
        <v>26534</v>
      </c>
      <c r="I64" s="24"/>
      <c r="J64" s="24"/>
      <c r="K64" s="24"/>
      <c r="L64" s="24"/>
      <c r="M64" s="24"/>
      <c r="N64" s="24"/>
      <c r="O64" s="24">
        <f>90261+23+5</f>
        <v>90289</v>
      </c>
      <c r="P64" s="30">
        <f>2795267+10</f>
        <v>2795277</v>
      </c>
      <c r="Q64" s="30">
        <v>37172</v>
      </c>
      <c r="R64" s="30">
        <v>10668</v>
      </c>
      <c r="S64" s="318">
        <v>-4585</v>
      </c>
      <c r="T64" s="318">
        <v>-352</v>
      </c>
      <c r="U64" s="31">
        <f>735870+19202</f>
        <v>755072</v>
      </c>
      <c r="V64" s="30"/>
      <c r="W64" s="30">
        <v>457</v>
      </c>
      <c r="X64" s="30">
        <v>26605</v>
      </c>
      <c r="Y64" s="30">
        <v>20227</v>
      </c>
      <c r="Z64" s="30"/>
      <c r="AA64" s="30"/>
      <c r="AB64" s="319">
        <f>909176+72</f>
        <v>909248</v>
      </c>
      <c r="AC64" s="30">
        <v>35139</v>
      </c>
      <c r="AD64" s="30"/>
      <c r="AE64" s="30">
        <v>1952</v>
      </c>
      <c r="AF64" s="30"/>
      <c r="AG64" s="30">
        <v>261749</v>
      </c>
      <c r="AH64" s="30"/>
      <c r="AI64" s="30"/>
      <c r="AJ64" s="30">
        <v>277275</v>
      </c>
      <c r="AK64" s="30">
        <v>10</v>
      </c>
      <c r="AL64" s="30">
        <v>0</v>
      </c>
      <c r="AM64" s="30"/>
      <c r="AN64" s="30"/>
      <c r="AO64" s="30"/>
      <c r="AP64" s="30"/>
      <c r="AQ64" s="30"/>
      <c r="AR64" s="30"/>
      <c r="AS64" s="30"/>
      <c r="AT64" s="30"/>
      <c r="AU64" s="30"/>
      <c r="AV64" s="318"/>
      <c r="AW64" s="318"/>
      <c r="AX64" s="318"/>
      <c r="AY64" s="30">
        <v>369739</v>
      </c>
      <c r="AZ64" s="30"/>
      <c r="BA64" s="318"/>
      <c r="BB64" s="318"/>
      <c r="BC64" s="318"/>
      <c r="BD64" s="318">
        <f>-60947+13435</f>
        <v>-47512</v>
      </c>
      <c r="BE64" s="30">
        <v>48410</v>
      </c>
      <c r="BF64" s="318">
        <v>96600</v>
      </c>
      <c r="BG64" s="318">
        <f>100+411</f>
        <v>511</v>
      </c>
      <c r="BH64" s="318">
        <v>4772</v>
      </c>
      <c r="BI64" s="318"/>
      <c r="BJ64" s="318">
        <v>234</v>
      </c>
      <c r="BK64" s="318">
        <v>124</v>
      </c>
      <c r="BL64" s="318">
        <v>11344</v>
      </c>
      <c r="BM64" s="318"/>
      <c r="BN64" s="318">
        <v>5769</v>
      </c>
      <c r="BO64" s="318"/>
      <c r="BP64" s="318"/>
      <c r="BQ64" s="318"/>
      <c r="BR64" s="318">
        <v>5</v>
      </c>
      <c r="BS64" s="318"/>
      <c r="BT64" s="318"/>
      <c r="BU64" s="318"/>
      <c r="BV64" s="318">
        <v>5166</v>
      </c>
      <c r="BW64" s="318"/>
      <c r="BX64" s="318">
        <f>467</f>
        <v>467</v>
      </c>
      <c r="BY64" s="318">
        <v>1182</v>
      </c>
      <c r="BZ64" s="318"/>
      <c r="CA64" s="318"/>
      <c r="CB64" s="318"/>
      <c r="CC64" s="318"/>
      <c r="CD64" s="29" t="s">
        <v>233</v>
      </c>
      <c r="CE64" s="32">
        <f t="shared" si="4"/>
        <v>5974762</v>
      </c>
    </row>
    <row r="65" spans="1:83" x14ac:dyDescent="0.25">
      <c r="A65" s="39" t="s">
        <v>251</v>
      </c>
      <c r="B65" s="20"/>
      <c r="C65" s="24">
        <v>0</v>
      </c>
      <c r="D65" s="24"/>
      <c r="E65" s="24">
        <v>0</v>
      </c>
      <c r="F65" s="24"/>
      <c r="G65" s="24"/>
      <c r="H65" s="24">
        <v>0</v>
      </c>
      <c r="I65" s="24"/>
      <c r="J65" s="24"/>
      <c r="K65" s="24"/>
      <c r="L65" s="24"/>
      <c r="M65" s="24"/>
      <c r="N65" s="24"/>
      <c r="O65" s="24">
        <v>0</v>
      </c>
      <c r="P65" s="30">
        <v>0</v>
      </c>
      <c r="Q65" s="30">
        <v>0</v>
      </c>
      <c r="R65" s="30">
        <v>0</v>
      </c>
      <c r="S65" s="318">
        <v>0</v>
      </c>
      <c r="T65" s="318"/>
      <c r="U65" s="31">
        <v>0</v>
      </c>
      <c r="V65" s="30"/>
      <c r="W65" s="30">
        <v>0</v>
      </c>
      <c r="X65" s="30">
        <v>0</v>
      </c>
      <c r="Y65" s="30">
        <v>0</v>
      </c>
      <c r="Z65" s="30"/>
      <c r="AA65" s="30"/>
      <c r="AB65" s="319">
        <v>0</v>
      </c>
      <c r="AC65" s="30">
        <v>0</v>
      </c>
      <c r="AD65" s="30"/>
      <c r="AE65" s="30">
        <v>0</v>
      </c>
      <c r="AF65" s="30"/>
      <c r="AG65" s="30">
        <v>0</v>
      </c>
      <c r="AH65" s="30"/>
      <c r="AI65" s="30"/>
      <c r="AJ65" s="30">
        <v>0</v>
      </c>
      <c r="AK65" s="30">
        <v>0</v>
      </c>
      <c r="AL65" s="30">
        <v>0</v>
      </c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>
        <v>0</v>
      </c>
      <c r="AZ65" s="30"/>
      <c r="BA65" s="318"/>
      <c r="BB65" s="318"/>
      <c r="BC65" s="318"/>
      <c r="BD65" s="318">
        <v>0</v>
      </c>
      <c r="BE65" s="30">
        <v>0</v>
      </c>
      <c r="BF65" s="318">
        <v>0</v>
      </c>
      <c r="BG65" s="318">
        <v>0</v>
      </c>
      <c r="BH65" s="318">
        <v>0</v>
      </c>
      <c r="BI65" s="318"/>
      <c r="BJ65" s="318">
        <v>0</v>
      </c>
      <c r="BK65" s="318"/>
      <c r="BL65" s="318">
        <v>0</v>
      </c>
      <c r="BM65" s="318"/>
      <c r="BN65" s="318">
        <v>0</v>
      </c>
      <c r="BO65" s="318"/>
      <c r="BP65" s="318"/>
      <c r="BQ65" s="318"/>
      <c r="BR65" s="318">
        <v>0</v>
      </c>
      <c r="BS65" s="318"/>
      <c r="BT65" s="318"/>
      <c r="BU65" s="318"/>
      <c r="BV65" s="318">
        <v>0</v>
      </c>
      <c r="BW65" s="318"/>
      <c r="BX65" s="318">
        <v>0</v>
      </c>
      <c r="BY65" s="318">
        <v>0</v>
      </c>
      <c r="BZ65" s="318"/>
      <c r="CA65" s="318"/>
      <c r="CB65" s="318"/>
      <c r="CC65" s="318"/>
      <c r="CD65" s="29" t="s">
        <v>233</v>
      </c>
      <c r="CE65" s="32">
        <f t="shared" si="4"/>
        <v>0</v>
      </c>
    </row>
    <row r="66" spans="1:83" x14ac:dyDescent="0.25">
      <c r="A66" s="39" t="s">
        <v>252</v>
      </c>
      <c r="B66" s="20"/>
      <c r="C66" s="24">
        <v>54848</v>
      </c>
      <c r="D66" s="24"/>
      <c r="E66" s="24">
        <v>91026</v>
      </c>
      <c r="F66" s="24"/>
      <c r="G66" s="24"/>
      <c r="H66" s="24">
        <v>35300</v>
      </c>
      <c r="I66" s="24"/>
      <c r="J66" s="24"/>
      <c r="K66" s="24"/>
      <c r="L66" s="24"/>
      <c r="M66" s="24"/>
      <c r="N66" s="24"/>
      <c r="O66" s="24"/>
      <c r="P66" s="30">
        <f>173451</f>
        <v>173451</v>
      </c>
      <c r="Q66" s="30">
        <v>210</v>
      </c>
      <c r="R66" s="30">
        <v>733217</v>
      </c>
      <c r="S66" s="318">
        <v>46</v>
      </c>
      <c r="T66" s="318">
        <v>610</v>
      </c>
      <c r="U66" s="31">
        <v>624670</v>
      </c>
      <c r="V66" s="30"/>
      <c r="W66" s="30">
        <v>289614</v>
      </c>
      <c r="X66" s="30">
        <v>0</v>
      </c>
      <c r="Y66" s="30">
        <v>260910</v>
      </c>
      <c r="Z66" s="30"/>
      <c r="AA66" s="30"/>
      <c r="AB66" s="319">
        <f>160151+84269</f>
        <v>244420</v>
      </c>
      <c r="AC66" s="30">
        <v>687184</v>
      </c>
      <c r="AD66" s="30"/>
      <c r="AE66" s="30">
        <v>0</v>
      </c>
      <c r="AF66" s="30"/>
      <c r="AG66" s="30">
        <v>11370</v>
      </c>
      <c r="AH66" s="30"/>
      <c r="AI66" s="30"/>
      <c r="AJ66" s="30">
        <v>227611</v>
      </c>
      <c r="AK66" s="30">
        <v>10</v>
      </c>
      <c r="AL66" s="30">
        <v>0</v>
      </c>
      <c r="AM66" s="30"/>
      <c r="AN66" s="30"/>
      <c r="AO66" s="30"/>
      <c r="AP66" s="30"/>
      <c r="AQ66" s="30"/>
      <c r="AR66" s="30"/>
      <c r="AS66" s="30"/>
      <c r="AT66" s="30"/>
      <c r="AU66" s="30"/>
      <c r="AV66" s="318">
        <v>113</v>
      </c>
      <c r="AW66" s="318"/>
      <c r="AX66" s="318"/>
      <c r="AY66" s="30">
        <v>14021</v>
      </c>
      <c r="AZ66" s="30"/>
      <c r="BA66" s="318"/>
      <c r="BB66" s="318"/>
      <c r="BC66" s="318"/>
      <c r="BD66" s="318">
        <v>4117</v>
      </c>
      <c r="BE66" s="30">
        <v>58207</v>
      </c>
      <c r="BF66" s="318">
        <v>206541</v>
      </c>
      <c r="BG66" s="318">
        <v>34745</v>
      </c>
      <c r="BH66" s="318">
        <v>419541</v>
      </c>
      <c r="BI66" s="318"/>
      <c r="BJ66" s="318">
        <v>3758</v>
      </c>
      <c r="BK66" s="318"/>
      <c r="BL66" s="318">
        <v>0</v>
      </c>
      <c r="BM66" s="318"/>
      <c r="BN66" s="318">
        <v>597248</v>
      </c>
      <c r="BO66" s="318"/>
      <c r="BP66" s="318"/>
      <c r="BQ66" s="318"/>
      <c r="BR66" s="318">
        <v>41865</v>
      </c>
      <c r="BS66" s="318"/>
      <c r="BT66" s="318"/>
      <c r="BU66" s="318"/>
      <c r="BV66" s="318">
        <v>16934</v>
      </c>
      <c r="BW66" s="318"/>
      <c r="BX66" s="318">
        <v>49192</v>
      </c>
      <c r="BY66" s="318">
        <v>18775</v>
      </c>
      <c r="BZ66" s="318"/>
      <c r="CA66" s="318"/>
      <c r="CB66" s="318"/>
      <c r="CC66" s="318">
        <v>152334</v>
      </c>
      <c r="CD66" s="29" t="s">
        <v>233</v>
      </c>
      <c r="CE66" s="32">
        <f t="shared" si="4"/>
        <v>5051888</v>
      </c>
    </row>
    <row r="67" spans="1:83" x14ac:dyDescent="0.25">
      <c r="A67" s="39" t="s">
        <v>11</v>
      </c>
      <c r="B67" s="20"/>
      <c r="C67" s="32">
        <f t="shared" ref="C67:BN67" si="7">ROUND(C51+C52,0)</f>
        <v>27100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43342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52322</v>
      </c>
      <c r="Q67" s="32">
        <f t="shared" si="7"/>
        <v>35276</v>
      </c>
      <c r="R67" s="32">
        <f t="shared" si="7"/>
        <v>1445</v>
      </c>
      <c r="S67" s="32">
        <f t="shared" si="7"/>
        <v>0</v>
      </c>
      <c r="T67" s="32">
        <f t="shared" si="7"/>
        <v>0</v>
      </c>
      <c r="U67" s="32">
        <f t="shared" si="7"/>
        <v>24761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36838</v>
      </c>
      <c r="Z67" s="32">
        <f t="shared" si="7"/>
        <v>0</v>
      </c>
      <c r="AA67" s="32">
        <f t="shared" si="7"/>
        <v>0</v>
      </c>
      <c r="AB67" s="32">
        <f t="shared" si="7"/>
        <v>9594</v>
      </c>
      <c r="AC67" s="32">
        <f t="shared" si="7"/>
        <v>7606</v>
      </c>
      <c r="AD67" s="32">
        <f t="shared" si="7"/>
        <v>0</v>
      </c>
      <c r="AE67" s="32">
        <f t="shared" si="7"/>
        <v>12285</v>
      </c>
      <c r="AF67" s="32">
        <f t="shared" si="7"/>
        <v>0</v>
      </c>
      <c r="AG67" s="32">
        <f t="shared" si="7"/>
        <v>41789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4860</v>
      </c>
      <c r="AZ67" s="32">
        <f t="shared" si="7"/>
        <v>21003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19223</v>
      </c>
      <c r="BE67" s="32">
        <f t="shared" si="7"/>
        <v>28067</v>
      </c>
      <c r="BF67" s="32">
        <f t="shared" si="7"/>
        <v>7209</v>
      </c>
      <c r="BG67" s="32">
        <f t="shared" si="7"/>
        <v>0</v>
      </c>
      <c r="BH67" s="32">
        <f t="shared" si="7"/>
        <v>2529</v>
      </c>
      <c r="BI67" s="32">
        <f t="shared" si="7"/>
        <v>0</v>
      </c>
      <c r="BJ67" s="32">
        <f t="shared" si="7"/>
        <v>0</v>
      </c>
      <c r="BK67" s="32">
        <f t="shared" si="7"/>
        <v>22584</v>
      </c>
      <c r="BL67" s="32">
        <f t="shared" si="7"/>
        <v>0</v>
      </c>
      <c r="BM67" s="32">
        <f t="shared" si="7"/>
        <v>0</v>
      </c>
      <c r="BN67" s="32">
        <f t="shared" si="7"/>
        <v>19810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3686</v>
      </c>
      <c r="BS67" s="32">
        <f t="shared" si="8"/>
        <v>0</v>
      </c>
      <c r="BT67" s="32">
        <f t="shared" si="8"/>
        <v>4282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2927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287020</v>
      </c>
      <c r="CD67" s="29" t="s">
        <v>233</v>
      </c>
      <c r="CE67" s="32">
        <f t="shared" si="4"/>
        <v>715558</v>
      </c>
    </row>
    <row r="68" spans="1:83" x14ac:dyDescent="0.25">
      <c r="A68" s="39" t="s">
        <v>253</v>
      </c>
      <c r="B68" s="32"/>
      <c r="C68" s="24">
        <v>1437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527983</v>
      </c>
      <c r="Q68" s="30"/>
      <c r="R68" s="30"/>
      <c r="S68" s="318"/>
      <c r="T68" s="318"/>
      <c r="U68" s="31">
        <v>39438</v>
      </c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/>
      <c r="AH68" s="30"/>
      <c r="AI68" s="30"/>
      <c r="AJ68" s="30">
        <v>420982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>
        <v>1448</v>
      </c>
      <c r="AZ68" s="30"/>
      <c r="BA68" s="318"/>
      <c r="BB68" s="318"/>
      <c r="BC68" s="318"/>
      <c r="BD68" s="318"/>
      <c r="BE68" s="30">
        <v>18704</v>
      </c>
      <c r="BF68" s="318">
        <v>489</v>
      </c>
      <c r="BG68" s="318"/>
      <c r="BH68" s="318">
        <v>3991</v>
      </c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>
        <v>79991</v>
      </c>
      <c r="BW68" s="318"/>
      <c r="BX68" s="318"/>
      <c r="BY68" s="318">
        <v>717</v>
      </c>
      <c r="BZ68" s="318"/>
      <c r="CA68" s="318"/>
      <c r="CB68" s="318"/>
      <c r="CC68" s="318"/>
      <c r="CD68" s="29" t="s">
        <v>233</v>
      </c>
      <c r="CE68" s="32">
        <f t="shared" si="4"/>
        <v>1095180</v>
      </c>
    </row>
    <row r="69" spans="1:83" x14ac:dyDescent="0.25">
      <c r="A69" s="39" t="s">
        <v>254</v>
      </c>
      <c r="B69" s="20"/>
      <c r="C69" s="32">
        <f t="shared" ref="C69:BN69" si="9">SUM(C70:C83)</f>
        <v>1666267</v>
      </c>
      <c r="D69" s="32">
        <f t="shared" si="9"/>
        <v>0</v>
      </c>
      <c r="E69" s="32">
        <f t="shared" si="9"/>
        <v>644835.37</v>
      </c>
      <c r="F69" s="32">
        <f t="shared" si="9"/>
        <v>0</v>
      </c>
      <c r="G69" s="32">
        <f t="shared" si="9"/>
        <v>0</v>
      </c>
      <c r="H69" s="32">
        <f t="shared" si="9"/>
        <v>918678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48951</v>
      </c>
      <c r="P69" s="32">
        <f t="shared" si="9"/>
        <v>590064</v>
      </c>
      <c r="Q69" s="32">
        <f t="shared" si="9"/>
        <v>962409</v>
      </c>
      <c r="R69" s="32">
        <f t="shared" si="9"/>
        <v>3599</v>
      </c>
      <c r="S69" s="32">
        <f t="shared" si="9"/>
        <v>25735</v>
      </c>
      <c r="T69" s="32">
        <f t="shared" si="9"/>
        <v>0</v>
      </c>
      <c r="U69" s="32">
        <f t="shared" si="9"/>
        <v>672294</v>
      </c>
      <c r="V69" s="32">
        <f t="shared" si="9"/>
        <v>1591</v>
      </c>
      <c r="W69" s="32">
        <f t="shared" si="9"/>
        <v>2229</v>
      </c>
      <c r="X69" s="32">
        <f t="shared" si="9"/>
        <v>525</v>
      </c>
      <c r="Y69" s="32">
        <f t="shared" si="9"/>
        <v>-10650</v>
      </c>
      <c r="Z69" s="32">
        <f t="shared" si="9"/>
        <v>0</v>
      </c>
      <c r="AA69" s="32">
        <f t="shared" si="9"/>
        <v>0</v>
      </c>
      <c r="AB69" s="32">
        <f t="shared" si="9"/>
        <v>43415</v>
      </c>
      <c r="AC69" s="32">
        <f t="shared" si="9"/>
        <v>-21527</v>
      </c>
      <c r="AD69" s="32">
        <f t="shared" si="9"/>
        <v>0</v>
      </c>
      <c r="AE69" s="32">
        <f t="shared" si="9"/>
        <v>34497</v>
      </c>
      <c r="AF69" s="32">
        <f t="shared" si="9"/>
        <v>0</v>
      </c>
      <c r="AG69" s="32">
        <f t="shared" si="9"/>
        <v>1187695</v>
      </c>
      <c r="AH69" s="32">
        <f t="shared" si="9"/>
        <v>0</v>
      </c>
      <c r="AI69" s="32">
        <f t="shared" si="9"/>
        <v>0</v>
      </c>
      <c r="AJ69" s="32">
        <f t="shared" si="9"/>
        <v>170320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36213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-54504</v>
      </c>
      <c r="BE69" s="32">
        <f t="shared" si="9"/>
        <v>697521</v>
      </c>
      <c r="BF69" s="32">
        <f t="shared" si="9"/>
        <v>1342</v>
      </c>
      <c r="BG69" s="32">
        <f t="shared" si="9"/>
        <v>0</v>
      </c>
      <c r="BH69" s="32">
        <f t="shared" si="9"/>
        <v>7578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1018</v>
      </c>
      <c r="BM69" s="32">
        <f t="shared" si="9"/>
        <v>0</v>
      </c>
      <c r="BN69" s="32">
        <f t="shared" si="9"/>
        <v>10080925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35949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93884</v>
      </c>
      <c r="BW69" s="32">
        <f t="shared" si="10"/>
        <v>0</v>
      </c>
      <c r="BX69" s="32">
        <f t="shared" si="10"/>
        <v>16961</v>
      </c>
      <c r="BY69" s="32">
        <f t="shared" si="10"/>
        <v>666845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3292043</v>
      </c>
      <c r="CD69" s="32">
        <f t="shared" si="10"/>
        <v>0</v>
      </c>
      <c r="CE69" s="32">
        <f>SUM(CE70:CE84)</f>
        <v>21816702.370000001</v>
      </c>
    </row>
    <row r="70" spans="1:83" x14ac:dyDescent="0.2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25">
      <c r="A71" s="33" t="s">
        <v>256</v>
      </c>
      <c r="B71" s="34"/>
      <c r="C71" s="273">
        <v>1664831</v>
      </c>
      <c r="D71" s="273"/>
      <c r="E71" s="273">
        <f>642040-4</f>
        <v>642036</v>
      </c>
      <c r="F71" s="273"/>
      <c r="G71" s="273"/>
      <c r="H71" s="273">
        <v>891570</v>
      </c>
      <c r="I71" s="273"/>
      <c r="J71" s="273"/>
      <c r="K71" s="273"/>
      <c r="L71" s="273"/>
      <c r="M71" s="273"/>
      <c r="N71" s="273"/>
      <c r="O71" s="273"/>
      <c r="P71" s="273">
        <v>482149</v>
      </c>
      <c r="Q71" s="273">
        <v>962409</v>
      </c>
      <c r="R71" s="273"/>
      <c r="S71" s="273"/>
      <c r="T71" s="273"/>
      <c r="U71" s="273">
        <v>520927</v>
      </c>
      <c r="V71" s="273"/>
      <c r="W71" s="273"/>
      <c r="X71" s="273"/>
      <c r="Y71" s="273"/>
      <c r="Z71" s="273"/>
      <c r="AA71" s="273"/>
      <c r="AB71" s="273"/>
      <c r="AC71" s="273">
        <v>-24653</v>
      </c>
      <c r="AD71" s="273"/>
      <c r="AE71" s="273"/>
      <c r="AF71" s="273"/>
      <c r="AG71" s="273">
        <v>1174388</v>
      </c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>
        <v>34200</v>
      </c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>
        <v>594928</v>
      </c>
      <c r="BZ71" s="273"/>
      <c r="CA71" s="273"/>
      <c r="CB71" s="273"/>
      <c r="CC71" s="273"/>
      <c r="CD71" s="273"/>
      <c r="CE71" s="32">
        <f t="shared" ref="CE71:CE85" si="11">SUM(C71:CD71)</f>
        <v>6942785</v>
      </c>
    </row>
    <row r="72" spans="1:83" x14ac:dyDescent="0.2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2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>
        <v>44306</v>
      </c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>
        <v>530718</v>
      </c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575024</v>
      </c>
    </row>
    <row r="74" spans="1:83" x14ac:dyDescent="0.2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2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2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25">
      <c r="A77" s="33" t="s">
        <v>262</v>
      </c>
      <c r="B77" s="34"/>
      <c r="C77" s="273">
        <v>1252</v>
      </c>
      <c r="D77" s="273"/>
      <c r="E77" s="273">
        <f>1807+970.37</f>
        <v>2777.37</v>
      </c>
      <c r="F77" s="273"/>
      <c r="G77" s="273"/>
      <c r="H77" s="273">
        <v>941</v>
      </c>
      <c r="I77" s="273"/>
      <c r="J77" s="273"/>
      <c r="K77" s="273"/>
      <c r="L77" s="273"/>
      <c r="M77" s="273"/>
      <c r="N77" s="273"/>
      <c r="O77" s="273">
        <v>4709</v>
      </c>
      <c r="P77" s="273">
        <v>46835</v>
      </c>
      <c r="Q77" s="273"/>
      <c r="R77" s="273">
        <v>3599</v>
      </c>
      <c r="S77" s="273">
        <v>25735</v>
      </c>
      <c r="T77" s="273"/>
      <c r="U77" s="273">
        <v>3914</v>
      </c>
      <c r="V77" s="273"/>
      <c r="W77" s="273"/>
      <c r="X77" s="273">
        <v>525</v>
      </c>
      <c r="Y77" s="273">
        <v>-12803</v>
      </c>
      <c r="Z77" s="273"/>
      <c r="AA77" s="273"/>
      <c r="AB77" s="273">
        <v>390</v>
      </c>
      <c r="AC77" s="273">
        <v>2918</v>
      </c>
      <c r="AD77" s="273"/>
      <c r="AE77" s="273"/>
      <c r="AF77" s="273"/>
      <c r="AG77" s="273">
        <v>3828</v>
      </c>
      <c r="AH77" s="273"/>
      <c r="AI77" s="273"/>
      <c r="AJ77" s="273">
        <v>4327</v>
      </c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>
        <v>1201</v>
      </c>
      <c r="AZ77" s="273"/>
      <c r="BA77" s="273"/>
      <c r="BB77" s="273"/>
      <c r="BC77" s="273"/>
      <c r="BD77" s="273">
        <v>10</v>
      </c>
      <c r="BE77" s="273">
        <v>181650</v>
      </c>
      <c r="BF77" s="273">
        <v>887</v>
      </c>
      <c r="BG77" s="273"/>
      <c r="BH77" s="273">
        <v>2058</v>
      </c>
      <c r="BI77" s="273"/>
      <c r="BJ77" s="273"/>
      <c r="BK77" s="273"/>
      <c r="BL77" s="273">
        <v>828</v>
      </c>
      <c r="BM77" s="273"/>
      <c r="BN77" s="273">
        <v>-243</v>
      </c>
      <c r="BO77" s="273"/>
      <c r="BP77" s="273"/>
      <c r="BQ77" s="273"/>
      <c r="BR77" s="273"/>
      <c r="BS77" s="273"/>
      <c r="BT77" s="273"/>
      <c r="BU77" s="273"/>
      <c r="BV77" s="273">
        <v>745</v>
      </c>
      <c r="BW77" s="273"/>
      <c r="BX77" s="273"/>
      <c r="BY77" s="273">
        <v>1482</v>
      </c>
      <c r="BZ77" s="273"/>
      <c r="CA77" s="273"/>
      <c r="CB77" s="273"/>
      <c r="CC77" s="273"/>
      <c r="CD77" s="273"/>
      <c r="CE77" s="32">
        <f t="shared" si="11"/>
        <v>277565.37</v>
      </c>
    </row>
    <row r="78" spans="1:83" x14ac:dyDescent="0.2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>
        <v>8300431</v>
      </c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8300431</v>
      </c>
    </row>
    <row r="79" spans="1:83" x14ac:dyDescent="0.2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2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25">
      <c r="A81" s="33" t="s">
        <v>266</v>
      </c>
      <c r="B81" s="20"/>
      <c r="C81" s="273">
        <v>145</v>
      </c>
      <c r="D81" s="273"/>
      <c r="E81" s="273"/>
      <c r="F81" s="273"/>
      <c r="G81" s="273"/>
      <c r="H81" s="273">
        <v>2973</v>
      </c>
      <c r="I81" s="273"/>
      <c r="J81" s="273"/>
      <c r="K81" s="273"/>
      <c r="L81" s="273"/>
      <c r="M81" s="273"/>
      <c r="N81" s="273"/>
      <c r="O81" s="273"/>
      <c r="P81" s="273">
        <v>610</v>
      </c>
      <c r="Q81" s="273"/>
      <c r="R81" s="273"/>
      <c r="S81" s="273"/>
      <c r="T81" s="273"/>
      <c r="U81" s="273">
        <v>3732</v>
      </c>
      <c r="V81" s="273"/>
      <c r="W81" s="273"/>
      <c r="X81" s="273"/>
      <c r="Y81" s="273">
        <v>890</v>
      </c>
      <c r="Z81" s="273"/>
      <c r="AA81" s="273"/>
      <c r="AB81" s="273">
        <v>2942</v>
      </c>
      <c r="AC81" s="273"/>
      <c r="AD81" s="273"/>
      <c r="AE81" s="273"/>
      <c r="AF81" s="273"/>
      <c r="AG81" s="273"/>
      <c r="AH81" s="273"/>
      <c r="AI81" s="273"/>
      <c r="AJ81" s="273">
        <v>8919</v>
      </c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>
        <v>170</v>
      </c>
      <c r="BF81" s="273"/>
      <c r="BG81" s="273"/>
      <c r="BH81" s="273"/>
      <c r="BI81" s="273"/>
      <c r="BJ81" s="273"/>
      <c r="BK81" s="273"/>
      <c r="BL81" s="273"/>
      <c r="BM81" s="273"/>
      <c r="BN81" s="273">
        <v>1224966</v>
      </c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>
        <v>628912</v>
      </c>
      <c r="CD81" s="273"/>
      <c r="CE81" s="32">
        <f t="shared" si="11"/>
        <v>1874259</v>
      </c>
    </row>
    <row r="82" spans="1:84" x14ac:dyDescent="0.2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>
        <v>20456</v>
      </c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>
        <v>140</v>
      </c>
      <c r="AH82" s="273"/>
      <c r="AI82" s="273"/>
      <c r="AJ82" s="273">
        <v>69512</v>
      </c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>
        <v>398</v>
      </c>
      <c r="AZ82" s="273"/>
      <c r="BA82" s="273"/>
      <c r="BB82" s="273"/>
      <c r="BC82" s="273"/>
      <c r="BD82" s="273"/>
      <c r="BE82" s="273">
        <v>515530</v>
      </c>
      <c r="BF82" s="273"/>
      <c r="BG82" s="273"/>
      <c r="BH82" s="273">
        <v>5575</v>
      </c>
      <c r="BI82" s="273"/>
      <c r="BJ82" s="273"/>
      <c r="BK82" s="273"/>
      <c r="BL82" s="273">
        <v>102</v>
      </c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611713</v>
      </c>
    </row>
    <row r="83" spans="1:84" x14ac:dyDescent="0.25">
      <c r="A83" s="33" t="s">
        <v>268</v>
      </c>
      <c r="B83" s="20"/>
      <c r="C83" s="24">
        <v>39</v>
      </c>
      <c r="D83" s="24"/>
      <c r="E83" s="30">
        <v>22</v>
      </c>
      <c r="F83" s="30"/>
      <c r="G83" s="24"/>
      <c r="H83" s="24">
        <v>23194</v>
      </c>
      <c r="I83" s="30"/>
      <c r="J83" s="30"/>
      <c r="K83" s="30"/>
      <c r="L83" s="30"/>
      <c r="M83" s="24"/>
      <c r="N83" s="24"/>
      <c r="O83" s="24">
        <v>44242</v>
      </c>
      <c r="P83" s="30">
        <v>40014</v>
      </c>
      <c r="Q83" s="30"/>
      <c r="R83" s="31"/>
      <c r="S83" s="30"/>
      <c r="T83" s="24"/>
      <c r="U83" s="30">
        <f>143721</f>
        <v>143721</v>
      </c>
      <c r="V83" s="30">
        <v>1591</v>
      </c>
      <c r="W83" s="24">
        <v>2229</v>
      </c>
      <c r="X83" s="30"/>
      <c r="Y83" s="30">
        <f>2854-1591</f>
        <v>1263</v>
      </c>
      <c r="Z83" s="30"/>
      <c r="AA83" s="30"/>
      <c r="AB83" s="30">
        <f>3510+36573</f>
        <v>40083</v>
      </c>
      <c r="AC83" s="30">
        <v>208</v>
      </c>
      <c r="AD83" s="30"/>
      <c r="AE83" s="30">
        <v>34497</v>
      </c>
      <c r="AF83" s="30"/>
      <c r="AG83" s="30">
        <v>9339</v>
      </c>
      <c r="AH83" s="30"/>
      <c r="AI83" s="30"/>
      <c r="AJ83" s="30">
        <v>43256</v>
      </c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>
        <v>414</v>
      </c>
      <c r="AZ83" s="30"/>
      <c r="BA83" s="30"/>
      <c r="BB83" s="30"/>
      <c r="BC83" s="30"/>
      <c r="BD83" s="30">
        <v>-54514</v>
      </c>
      <c r="BE83" s="30">
        <v>171</v>
      </c>
      <c r="BF83" s="30">
        <v>455</v>
      </c>
      <c r="BG83" s="30"/>
      <c r="BH83" s="30">
        <v>-55</v>
      </c>
      <c r="BI83" s="30"/>
      <c r="BJ83" s="30"/>
      <c r="BK83" s="30"/>
      <c r="BL83" s="30">
        <v>88</v>
      </c>
      <c r="BM83" s="30"/>
      <c r="BN83" s="30">
        <v>25053</v>
      </c>
      <c r="BO83" s="30"/>
      <c r="BP83" s="30"/>
      <c r="BQ83" s="30"/>
      <c r="BR83" s="30">
        <v>35949</v>
      </c>
      <c r="BS83" s="30"/>
      <c r="BT83" s="30"/>
      <c r="BU83" s="30"/>
      <c r="BV83" s="30">
        <v>93139</v>
      </c>
      <c r="BW83" s="30"/>
      <c r="BX83" s="30">
        <v>16961</v>
      </c>
      <c r="BY83" s="30">
        <v>70435</v>
      </c>
      <c r="BZ83" s="30"/>
      <c r="CA83" s="30"/>
      <c r="CB83" s="30"/>
      <c r="CC83" s="30">
        <f>2463043+200086+2</f>
        <v>2663131</v>
      </c>
      <c r="CD83" s="35"/>
      <c r="CE83" s="32">
        <f t="shared" si="11"/>
        <v>3234925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25">
      <c r="A85" s="39" t="s">
        <v>270</v>
      </c>
      <c r="B85" s="32"/>
      <c r="C85" s="32">
        <f>SUM(C61:C69)-C84</f>
        <v>2798780</v>
      </c>
      <c r="D85" s="32">
        <f t="shared" ref="D85:BO85" si="12">SUM(D61:D69)-D84</f>
        <v>0</v>
      </c>
      <c r="E85" s="32">
        <f t="shared" si="12"/>
        <v>3095948.37</v>
      </c>
      <c r="F85" s="32">
        <f t="shared" si="12"/>
        <v>0</v>
      </c>
      <c r="G85" s="32">
        <f t="shared" si="12"/>
        <v>0</v>
      </c>
      <c r="H85" s="32">
        <f t="shared" si="12"/>
        <v>3990804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2412339.25</v>
      </c>
      <c r="P85" s="32">
        <f t="shared" si="12"/>
        <v>7427640</v>
      </c>
      <c r="Q85" s="32">
        <f t="shared" si="12"/>
        <v>1537274</v>
      </c>
      <c r="R85" s="32">
        <f t="shared" si="12"/>
        <v>748929</v>
      </c>
      <c r="S85" s="32">
        <f t="shared" si="12"/>
        <v>21196</v>
      </c>
      <c r="T85" s="32">
        <f t="shared" si="12"/>
        <v>258</v>
      </c>
      <c r="U85" s="32">
        <f t="shared" si="12"/>
        <v>3374071</v>
      </c>
      <c r="V85" s="32">
        <f t="shared" si="12"/>
        <v>87041</v>
      </c>
      <c r="W85" s="32">
        <f t="shared" si="12"/>
        <v>300109</v>
      </c>
      <c r="X85" s="32">
        <f t="shared" si="12"/>
        <v>117190</v>
      </c>
      <c r="Y85" s="32">
        <f t="shared" si="12"/>
        <v>1490919</v>
      </c>
      <c r="Z85" s="32">
        <f t="shared" si="12"/>
        <v>0</v>
      </c>
      <c r="AA85" s="32">
        <f t="shared" si="12"/>
        <v>0</v>
      </c>
      <c r="AB85" s="32">
        <f t="shared" si="12"/>
        <v>1780193</v>
      </c>
      <c r="AC85" s="32">
        <f t="shared" si="12"/>
        <v>763887</v>
      </c>
      <c r="AD85" s="32">
        <f t="shared" si="12"/>
        <v>0</v>
      </c>
      <c r="AE85" s="32">
        <f t="shared" si="12"/>
        <v>165682</v>
      </c>
      <c r="AF85" s="32">
        <f t="shared" si="12"/>
        <v>0</v>
      </c>
      <c r="AG85" s="32">
        <f t="shared" si="12"/>
        <v>5687947.4399999995</v>
      </c>
      <c r="AH85" s="32">
        <f t="shared" si="12"/>
        <v>0</v>
      </c>
      <c r="AI85" s="32">
        <f t="shared" si="12"/>
        <v>0</v>
      </c>
      <c r="AJ85" s="32">
        <f t="shared" si="12"/>
        <v>8410754</v>
      </c>
      <c r="AK85" s="32">
        <f t="shared" si="12"/>
        <v>3364</v>
      </c>
      <c r="AL85" s="32">
        <f t="shared" si="12"/>
        <v>8192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113</v>
      </c>
      <c r="AW85" s="32">
        <f t="shared" si="12"/>
        <v>0</v>
      </c>
      <c r="AX85" s="32">
        <f t="shared" si="12"/>
        <v>0</v>
      </c>
      <c r="AY85" s="32">
        <f t="shared" si="12"/>
        <v>779484</v>
      </c>
      <c r="AZ85" s="32">
        <f t="shared" si="12"/>
        <v>21003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119719</v>
      </c>
      <c r="BE85" s="32">
        <f t="shared" si="12"/>
        <v>1067206</v>
      </c>
      <c r="BF85" s="32">
        <f t="shared" si="12"/>
        <v>706479</v>
      </c>
      <c r="BG85" s="32">
        <f t="shared" si="12"/>
        <v>35256</v>
      </c>
      <c r="BH85" s="32">
        <f t="shared" si="12"/>
        <v>438411</v>
      </c>
      <c r="BI85" s="32">
        <f t="shared" si="12"/>
        <v>0</v>
      </c>
      <c r="BJ85" s="32">
        <f t="shared" si="12"/>
        <v>122541</v>
      </c>
      <c r="BK85" s="32">
        <f t="shared" si="12"/>
        <v>24448</v>
      </c>
      <c r="BL85" s="32">
        <f t="shared" si="12"/>
        <v>662438</v>
      </c>
      <c r="BM85" s="32">
        <f t="shared" si="12"/>
        <v>0</v>
      </c>
      <c r="BN85" s="32">
        <f t="shared" si="12"/>
        <v>10586255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117542</v>
      </c>
      <c r="BS85" s="32">
        <f t="shared" si="13"/>
        <v>0</v>
      </c>
      <c r="BT85" s="32">
        <f t="shared" si="13"/>
        <v>4282</v>
      </c>
      <c r="BU85" s="32">
        <f t="shared" si="13"/>
        <v>0</v>
      </c>
      <c r="BV85" s="32">
        <f t="shared" si="13"/>
        <v>479170</v>
      </c>
      <c r="BW85" s="32">
        <f t="shared" si="13"/>
        <v>0</v>
      </c>
      <c r="BX85" s="32">
        <f t="shared" si="13"/>
        <v>462730</v>
      </c>
      <c r="BY85" s="32">
        <f t="shared" si="13"/>
        <v>1345244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3731397</v>
      </c>
      <c r="CD85" s="32">
        <f t="shared" si="13"/>
        <v>0</v>
      </c>
      <c r="CE85" s="32">
        <f t="shared" si="11"/>
        <v>64926236.060000002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25">
      <c r="A87" s="26" t="s">
        <v>272</v>
      </c>
      <c r="B87" s="20"/>
      <c r="C87" s="24">
        <f>-2399479+672</f>
        <v>-2398807</v>
      </c>
      <c r="D87" s="24"/>
      <c r="E87" s="24">
        <v>-4895168</v>
      </c>
      <c r="F87" s="24"/>
      <c r="G87" s="24"/>
      <c r="H87" s="24">
        <v>-11415280</v>
      </c>
      <c r="I87" s="24"/>
      <c r="J87" s="24">
        <v>-644475</v>
      </c>
      <c r="K87" s="24"/>
      <c r="L87" s="24"/>
      <c r="M87" s="24"/>
      <c r="N87" s="24"/>
      <c r="O87" s="24">
        <v>-2220772</v>
      </c>
      <c r="P87" s="24">
        <v>-3076562</v>
      </c>
      <c r="Q87" s="24">
        <v>-31686</v>
      </c>
      <c r="R87" s="24">
        <v>-192584</v>
      </c>
      <c r="S87" s="24">
        <v>-60274</v>
      </c>
      <c r="T87" s="24">
        <f>-4611-947</f>
        <v>-5558</v>
      </c>
      <c r="U87" s="24">
        <f>-66266-7665858</f>
        <v>-7732124</v>
      </c>
      <c r="V87" s="24">
        <v>-703399</v>
      </c>
      <c r="W87" s="24">
        <v>-241486</v>
      </c>
      <c r="X87" s="24">
        <v>-3588394</v>
      </c>
      <c r="Y87" s="24">
        <v>-1243916</v>
      </c>
      <c r="Z87" s="24"/>
      <c r="AA87" s="24"/>
      <c r="AB87" s="24">
        <f>-7373555</f>
        <v>-7373555</v>
      </c>
      <c r="AC87" s="24">
        <v>-2475173</v>
      </c>
      <c r="AD87" s="24"/>
      <c r="AE87" s="24">
        <v>-167878</v>
      </c>
      <c r="AF87" s="24"/>
      <c r="AG87" s="24">
        <v>-3223731</v>
      </c>
      <c r="AH87" s="24"/>
      <c r="AI87" s="24"/>
      <c r="AJ87" s="24"/>
      <c r="AK87" s="24">
        <v>-91549</v>
      </c>
      <c r="AL87" s="24">
        <v>-30351</v>
      </c>
      <c r="AM87" s="24"/>
      <c r="AN87" s="24"/>
      <c r="AO87" s="24">
        <v>-1318007</v>
      </c>
      <c r="AP87" s="24"/>
      <c r="AQ87" s="24"/>
      <c r="AR87" s="24"/>
      <c r="AS87" s="24"/>
      <c r="AT87" s="24"/>
      <c r="AU87" s="24"/>
      <c r="AV87" s="24">
        <f>130-73776+2</f>
        <v>-73644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-53204373</v>
      </c>
    </row>
    <row r="88" spans="1:84" x14ac:dyDescent="0.25">
      <c r="A88" s="26" t="s">
        <v>273</v>
      </c>
      <c r="B88" s="20"/>
      <c r="C88" s="24">
        <v>-672</v>
      </c>
      <c r="D88" s="24"/>
      <c r="E88" s="24">
        <v>-2112846</v>
      </c>
      <c r="F88" s="24"/>
      <c r="G88" s="24"/>
      <c r="H88" s="24"/>
      <c r="I88" s="24"/>
      <c r="J88" s="24">
        <v>-16720</v>
      </c>
      <c r="K88" s="24"/>
      <c r="L88" s="24"/>
      <c r="M88" s="24"/>
      <c r="N88" s="24"/>
      <c r="O88" s="24">
        <v>-285757</v>
      </c>
      <c r="P88" s="24">
        <v>-50365009</v>
      </c>
      <c r="Q88" s="24">
        <v>-686982</v>
      </c>
      <c r="R88" s="24">
        <v>-494722</v>
      </c>
      <c r="S88" s="24">
        <v>-306426</v>
      </c>
      <c r="T88" s="24">
        <v>-302792</v>
      </c>
      <c r="U88" s="24">
        <f>-56490-13245991</f>
        <v>-13302481</v>
      </c>
      <c r="V88" s="24">
        <v>-2007981</v>
      </c>
      <c r="W88" s="24">
        <v>-2390526.7999999998</v>
      </c>
      <c r="X88" s="24">
        <v>-17994024</v>
      </c>
      <c r="Y88" s="24">
        <v>-9216696</v>
      </c>
      <c r="Z88" s="24"/>
      <c r="AA88" s="24"/>
      <c r="AB88" s="24">
        <f>-3630406</f>
        <v>-3630406</v>
      </c>
      <c r="AC88" s="24">
        <v>-643735</v>
      </c>
      <c r="AD88" s="24"/>
      <c r="AE88" s="24">
        <v>-286339</v>
      </c>
      <c r="AF88" s="24"/>
      <c r="AG88" s="24">
        <v>-23819438</v>
      </c>
      <c r="AH88" s="24"/>
      <c r="AI88" s="24"/>
      <c r="AJ88" s="24">
        <v>-26042000</v>
      </c>
      <c r="AK88" s="24">
        <v>-1812</v>
      </c>
      <c r="AL88" s="24"/>
      <c r="AM88" s="24"/>
      <c r="AN88" s="24"/>
      <c r="AO88" s="24">
        <v>-128567</v>
      </c>
      <c r="AP88" s="24"/>
      <c r="AQ88" s="24"/>
      <c r="AR88" s="24"/>
      <c r="AS88" s="24"/>
      <c r="AT88" s="24"/>
      <c r="AU88" s="24"/>
      <c r="AV88" s="24">
        <f>-130-98861-1</f>
        <v>-98992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-154134923.80000001</v>
      </c>
    </row>
    <row r="89" spans="1:84" x14ac:dyDescent="0.25">
      <c r="A89" s="26" t="s">
        <v>274</v>
      </c>
      <c r="B89" s="20"/>
      <c r="C89" s="32">
        <f>C87+C88</f>
        <v>-2399479</v>
      </c>
      <c r="D89" s="32">
        <f t="shared" ref="D89:AV89" si="15">D87+D88</f>
        <v>0</v>
      </c>
      <c r="E89" s="32">
        <f t="shared" si="15"/>
        <v>-7008014</v>
      </c>
      <c r="F89" s="32">
        <f t="shared" si="15"/>
        <v>0</v>
      </c>
      <c r="G89" s="32">
        <f t="shared" si="15"/>
        <v>0</v>
      </c>
      <c r="H89" s="32">
        <f t="shared" si="15"/>
        <v>-11415280</v>
      </c>
      <c r="I89" s="32">
        <f t="shared" si="15"/>
        <v>0</v>
      </c>
      <c r="J89" s="32">
        <f t="shared" si="15"/>
        <v>-661195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-2506529</v>
      </c>
      <c r="P89" s="32">
        <f t="shared" si="15"/>
        <v>-53441571</v>
      </c>
      <c r="Q89" s="32">
        <f t="shared" si="15"/>
        <v>-718668</v>
      </c>
      <c r="R89" s="32">
        <f t="shared" si="15"/>
        <v>-687306</v>
      </c>
      <c r="S89" s="32">
        <f t="shared" si="15"/>
        <v>-366700</v>
      </c>
      <c r="T89" s="32">
        <f t="shared" si="15"/>
        <v>-308350</v>
      </c>
      <c r="U89" s="32">
        <f t="shared" si="15"/>
        <v>-21034605</v>
      </c>
      <c r="V89" s="32">
        <f t="shared" si="15"/>
        <v>-2711380</v>
      </c>
      <c r="W89" s="32">
        <f t="shared" si="15"/>
        <v>-2632012.7999999998</v>
      </c>
      <c r="X89" s="32">
        <f t="shared" si="15"/>
        <v>-21582418</v>
      </c>
      <c r="Y89" s="32">
        <f t="shared" si="15"/>
        <v>-10460612</v>
      </c>
      <c r="Z89" s="32">
        <f t="shared" si="15"/>
        <v>0</v>
      </c>
      <c r="AA89" s="32">
        <f t="shared" si="15"/>
        <v>0</v>
      </c>
      <c r="AB89" s="32">
        <f t="shared" si="15"/>
        <v>-11003961</v>
      </c>
      <c r="AC89" s="32">
        <f t="shared" si="15"/>
        <v>-3118908</v>
      </c>
      <c r="AD89" s="32">
        <f t="shared" si="15"/>
        <v>0</v>
      </c>
      <c r="AE89" s="32">
        <f t="shared" si="15"/>
        <v>-454217</v>
      </c>
      <c r="AF89" s="32">
        <f t="shared" si="15"/>
        <v>0</v>
      </c>
      <c r="AG89" s="32">
        <f t="shared" si="15"/>
        <v>-27043169</v>
      </c>
      <c r="AH89" s="32">
        <f t="shared" si="15"/>
        <v>0</v>
      </c>
      <c r="AI89" s="32">
        <f t="shared" si="15"/>
        <v>0</v>
      </c>
      <c r="AJ89" s="32">
        <f t="shared" si="15"/>
        <v>-26042000</v>
      </c>
      <c r="AK89" s="32">
        <f t="shared" si="15"/>
        <v>-93361</v>
      </c>
      <c r="AL89" s="32">
        <f t="shared" si="15"/>
        <v>-30351</v>
      </c>
      <c r="AM89" s="32">
        <f t="shared" si="15"/>
        <v>0</v>
      </c>
      <c r="AN89" s="32">
        <f t="shared" si="15"/>
        <v>0</v>
      </c>
      <c r="AO89" s="32">
        <f t="shared" si="15"/>
        <v>-1446574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-172636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-207339296.80000001</v>
      </c>
    </row>
    <row r="90" spans="1:84" x14ac:dyDescent="0.25">
      <c r="A90" s="26" t="s">
        <v>275</v>
      </c>
      <c r="B90" s="32"/>
      <c r="C90" s="24">
        <v>3000</v>
      </c>
      <c r="D90" s="24"/>
      <c r="E90" s="24"/>
      <c r="F90" s="24"/>
      <c r="G90" s="24"/>
      <c r="H90" s="24">
        <v>4798</v>
      </c>
      <c r="I90" s="24"/>
      <c r="J90" s="24"/>
      <c r="K90" s="24"/>
      <c r="L90" s="24"/>
      <c r="M90" s="24"/>
      <c r="N90" s="24"/>
      <c r="O90" s="24"/>
      <c r="P90" s="24">
        <f>2450+3342</f>
        <v>5792</v>
      </c>
      <c r="Q90" s="24">
        <v>3905</v>
      </c>
      <c r="R90" s="24">
        <v>160</v>
      </c>
      <c r="S90" s="24"/>
      <c r="T90" s="24"/>
      <c r="U90" s="24">
        <v>2741</v>
      </c>
      <c r="V90" s="24"/>
      <c r="W90" s="24"/>
      <c r="X90" s="24"/>
      <c r="Y90" s="24">
        <v>4078</v>
      </c>
      <c r="Z90" s="24"/>
      <c r="AA90" s="24"/>
      <c r="AB90" s="24">
        <v>1062</v>
      </c>
      <c r="AC90" s="24">
        <v>842</v>
      </c>
      <c r="AD90" s="24"/>
      <c r="AE90" s="24">
        <v>1360</v>
      </c>
      <c r="AF90" s="24"/>
      <c r="AG90" s="24">
        <v>4626</v>
      </c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538</v>
      </c>
      <c r="AZ90" s="24">
        <v>2325</v>
      </c>
      <c r="BA90" s="24"/>
      <c r="BB90" s="24"/>
      <c r="BC90" s="24"/>
      <c r="BD90" s="24">
        <v>2128</v>
      </c>
      <c r="BE90" s="24">
        <v>3107</v>
      </c>
      <c r="BF90" s="24">
        <v>798</v>
      </c>
      <c r="BG90" s="24"/>
      <c r="BH90" s="24">
        <v>280</v>
      </c>
      <c r="BI90" s="24"/>
      <c r="BJ90" s="24"/>
      <c r="BK90" s="24">
        <v>2500</v>
      </c>
      <c r="BL90" s="24"/>
      <c r="BM90" s="24"/>
      <c r="BN90" s="24">
        <v>2193</v>
      </c>
      <c r="BO90" s="24"/>
      <c r="BP90" s="24"/>
      <c r="BQ90" s="24"/>
      <c r="BR90" s="24">
        <v>408</v>
      </c>
      <c r="BS90" s="24"/>
      <c r="BT90" s="24">
        <f>206+268</f>
        <v>474</v>
      </c>
      <c r="BU90" s="24"/>
      <c r="BV90" s="24"/>
      <c r="BW90" s="24"/>
      <c r="BX90" s="24">
        <v>324</v>
      </c>
      <c r="BY90" s="24"/>
      <c r="BZ90" s="24"/>
      <c r="CA90" s="24"/>
      <c r="CB90" s="24"/>
      <c r="CC90" s="24">
        <f>22854+8919</f>
        <v>31773</v>
      </c>
      <c r="CD90" s="263" t="s">
        <v>233</v>
      </c>
      <c r="CE90" s="32">
        <f t="shared" si="14"/>
        <v>79212</v>
      </c>
      <c r="CF90" s="32">
        <f>BE59-CE90</f>
        <v>0</v>
      </c>
    </row>
    <row r="91" spans="1:84" x14ac:dyDescent="0.25">
      <c r="A91" s="26" t="s">
        <v>276</v>
      </c>
      <c r="B91" s="20"/>
      <c r="C91" s="24">
        <v>4729</v>
      </c>
      <c r="D91" s="24"/>
      <c r="E91" s="24"/>
      <c r="F91" s="24"/>
      <c r="G91" s="24"/>
      <c r="H91" s="24">
        <v>15242</v>
      </c>
      <c r="I91" s="24"/>
      <c r="J91" s="24"/>
      <c r="K91" s="24"/>
      <c r="L91" s="24"/>
      <c r="M91" s="24"/>
      <c r="N91" s="24"/>
      <c r="O91" s="24">
        <f>4849+1511</f>
        <v>6360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26331</v>
      </c>
      <c r="CF91" s="32">
        <f>AY59-CE91</f>
        <v>0</v>
      </c>
    </row>
    <row r="92" spans="1:84" x14ac:dyDescent="0.2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25">
      <c r="A93" s="26" t="s">
        <v>278</v>
      </c>
      <c r="B93" s="20"/>
      <c r="C93" s="24">
        <v>76829</v>
      </c>
      <c r="D93" s="24"/>
      <c r="E93" s="24"/>
      <c r="F93" s="24"/>
      <c r="G93" s="24"/>
      <c r="H93" s="24">
        <v>46098</v>
      </c>
      <c r="I93" s="24"/>
      <c r="J93" s="24"/>
      <c r="K93" s="24"/>
      <c r="L93" s="24"/>
      <c r="M93" s="24"/>
      <c r="N93" s="24"/>
      <c r="O93" s="24">
        <v>36878</v>
      </c>
      <c r="P93" s="24">
        <f>3073+30732</f>
        <v>33805</v>
      </c>
      <c r="Q93" s="24"/>
      <c r="R93" s="24"/>
      <c r="S93" s="24"/>
      <c r="T93" s="24"/>
      <c r="U93" s="24"/>
      <c r="V93" s="24"/>
      <c r="W93" s="24"/>
      <c r="X93" s="24"/>
      <c r="Y93" s="24">
        <v>21513</v>
      </c>
      <c r="Z93" s="24"/>
      <c r="AA93" s="24"/>
      <c r="AB93" s="24"/>
      <c r="AC93" s="24"/>
      <c r="AD93" s="24"/>
      <c r="AE93" s="24"/>
      <c r="AF93" s="24"/>
      <c r="AG93" s="24">
        <v>92195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307318</v>
      </c>
      <c r="CF93" s="32">
        <f>BA59</f>
        <v>0</v>
      </c>
    </row>
    <row r="94" spans="1:84" x14ac:dyDescent="0.25">
      <c r="A94" s="26" t="s">
        <v>279</v>
      </c>
      <c r="B94" s="20"/>
      <c r="C94" s="314">
        <v>3.89</v>
      </c>
      <c r="D94" s="314"/>
      <c r="E94" s="314">
        <v>6.35</v>
      </c>
      <c r="F94" s="314"/>
      <c r="G94" s="314"/>
      <c r="H94" s="314">
        <v>6.9</v>
      </c>
      <c r="I94" s="314"/>
      <c r="J94" s="314"/>
      <c r="K94" s="314"/>
      <c r="L94" s="314"/>
      <c r="M94" s="314"/>
      <c r="N94" s="314"/>
      <c r="O94" s="314">
        <v>7.38</v>
      </c>
      <c r="P94" s="315">
        <v>14.45</v>
      </c>
      <c r="Q94" s="315">
        <v>3.41</v>
      </c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10.75</v>
      </c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53.129999999999995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2" t="s">
        <v>1385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3" t="s">
        <v>1362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1363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345" t="s">
        <v>1386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41" t="s">
        <v>1364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1384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4">
        <v>98948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1366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325" t="s">
        <v>1367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5" t="s">
        <v>1368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1391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3" t="s">
        <v>1370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3" t="s">
        <v>1371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28"/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/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1230</v>
      </c>
      <c r="D127" s="50">
        <f>9594-444</f>
        <v>9150</v>
      </c>
      <c r="E127" s="20"/>
    </row>
    <row r="128" spans="1:5" x14ac:dyDescent="0.25">
      <c r="A128" s="20" t="s">
        <v>311</v>
      </c>
      <c r="B128" s="46" t="s">
        <v>284</v>
      </c>
      <c r="C128" s="47"/>
      <c r="D128" s="50"/>
      <c r="E128" s="20"/>
    </row>
    <row r="129" spans="1:6" x14ac:dyDescent="0.25">
      <c r="A129" s="20" t="s">
        <v>312</v>
      </c>
      <c r="B129" s="46" t="s">
        <v>284</v>
      </c>
      <c r="C129" s="47"/>
      <c r="D129" s="50"/>
      <c r="E129" s="20"/>
    </row>
    <row r="130" spans="1:6" x14ac:dyDescent="0.25">
      <c r="A130" s="20" t="s">
        <v>313</v>
      </c>
      <c r="B130" s="46" t="s">
        <v>284</v>
      </c>
      <c r="C130" s="47">
        <v>257</v>
      </c>
      <c r="D130" s="50">
        <v>444</v>
      </c>
      <c r="E130" s="20"/>
    </row>
    <row r="131" spans="1:6" x14ac:dyDescent="0.25">
      <c r="A131" s="26" t="s">
        <v>314</v>
      </c>
      <c r="B131" s="20"/>
      <c r="C131" s="21" t="s">
        <v>179</v>
      </c>
      <c r="D131" s="20"/>
      <c r="E131" s="20"/>
    </row>
    <row r="132" spans="1:6" x14ac:dyDescent="0.25">
      <c r="A132" s="20" t="s">
        <v>315</v>
      </c>
      <c r="B132" s="46" t="s">
        <v>284</v>
      </c>
      <c r="C132" s="47">
        <v>7</v>
      </c>
      <c r="D132" s="20"/>
      <c r="E132" s="20"/>
    </row>
    <row r="133" spans="1:6" x14ac:dyDescent="0.25">
      <c r="A133" s="20" t="s">
        <v>316</v>
      </c>
      <c r="B133" s="46" t="s">
        <v>284</v>
      </c>
      <c r="C133" s="47"/>
      <c r="D133" s="20"/>
      <c r="E133" s="20"/>
    </row>
    <row r="134" spans="1:6" x14ac:dyDescent="0.25">
      <c r="A134" s="20" t="s">
        <v>317</v>
      </c>
      <c r="B134" s="46" t="s">
        <v>284</v>
      </c>
      <c r="C134" s="47">
        <v>16</v>
      </c>
      <c r="D134" s="20"/>
      <c r="E134" s="20"/>
    </row>
    <row r="135" spans="1:6" x14ac:dyDescent="0.25">
      <c r="A135" s="20" t="s">
        <v>318</v>
      </c>
      <c r="B135" s="46" t="s">
        <v>284</v>
      </c>
      <c r="C135" s="47"/>
      <c r="D135" s="20"/>
      <c r="E135" s="20"/>
    </row>
    <row r="136" spans="1:6" x14ac:dyDescent="0.25">
      <c r="A136" s="20" t="s">
        <v>319</v>
      </c>
      <c r="B136" s="46" t="s">
        <v>284</v>
      </c>
      <c r="C136" s="47">
        <v>10</v>
      </c>
      <c r="D136" s="20"/>
      <c r="E136" s="20"/>
      <c r="F136" s="69"/>
    </row>
    <row r="137" spans="1:6" x14ac:dyDescent="0.25">
      <c r="A137" s="20" t="s">
        <v>320</v>
      </c>
      <c r="B137" s="46" t="s">
        <v>284</v>
      </c>
      <c r="C137" s="47"/>
      <c r="D137" s="20"/>
      <c r="E137" s="20"/>
    </row>
    <row r="138" spans="1:6" x14ac:dyDescent="0.25">
      <c r="A138" s="20" t="s">
        <v>108</v>
      </c>
      <c r="B138" s="46" t="s">
        <v>284</v>
      </c>
      <c r="C138" s="47">
        <v>15</v>
      </c>
      <c r="D138" s="20"/>
      <c r="E138" s="20"/>
    </row>
    <row r="139" spans="1:6" x14ac:dyDescent="0.25">
      <c r="A139" s="20" t="s">
        <v>321</v>
      </c>
      <c r="B139" s="46" t="s">
        <v>284</v>
      </c>
      <c r="C139" s="47"/>
      <c r="D139" s="20"/>
      <c r="E139" s="20"/>
    </row>
    <row r="140" spans="1:6" x14ac:dyDescent="0.25">
      <c r="A140" s="20" t="s">
        <v>322</v>
      </c>
      <c r="B140" s="46"/>
      <c r="C140" s="47"/>
      <c r="D140" s="20"/>
      <c r="E140" s="20"/>
    </row>
    <row r="141" spans="1:6" x14ac:dyDescent="0.25">
      <c r="A141" s="20" t="s">
        <v>312</v>
      </c>
      <c r="B141" s="46" t="s">
        <v>284</v>
      </c>
      <c r="C141" s="47"/>
      <c r="D141" s="20"/>
      <c r="E141" s="20"/>
    </row>
    <row r="142" spans="1:6" x14ac:dyDescent="0.25">
      <c r="A142" s="20" t="s">
        <v>323</v>
      </c>
      <c r="B142" s="46" t="s">
        <v>284</v>
      </c>
      <c r="C142" s="47"/>
      <c r="D142" s="20"/>
      <c r="E142" s="20"/>
    </row>
    <row r="143" spans="1:6" x14ac:dyDescent="0.25">
      <c r="A143" s="20" t="s">
        <v>324</v>
      </c>
      <c r="B143" s="20"/>
      <c r="C143" s="27"/>
      <c r="D143" s="20"/>
      <c r="E143" s="32">
        <f>SUM(C132:C142)</f>
        <v>48</v>
      </c>
    </row>
    <row r="144" spans="1:6" x14ac:dyDescent="0.25">
      <c r="A144" s="20" t="s">
        <v>325</v>
      </c>
      <c r="B144" s="46" t="s">
        <v>284</v>
      </c>
      <c r="C144" s="47">
        <v>78</v>
      </c>
      <c r="D144" s="20"/>
      <c r="E144" s="20"/>
    </row>
    <row r="145" spans="1:6" x14ac:dyDescent="0.25">
      <c r="A145" s="20" t="s">
        <v>326</v>
      </c>
      <c r="B145" s="46" t="s">
        <v>284</v>
      </c>
      <c r="C145" s="47"/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f>1230*(18618060/53204373)</f>
        <v>430.41976643536424</v>
      </c>
      <c r="C154" s="50">
        <f>1230*(29469289/53204373)</f>
        <v>681.28282368819566</v>
      </c>
      <c r="D154" s="50">
        <f>1230*(5117024/53204373)</f>
        <v>118.29740987644004</v>
      </c>
      <c r="E154" s="32">
        <f>SUM(B154:D154)</f>
        <v>1230</v>
      </c>
    </row>
    <row r="155" spans="1:6" x14ac:dyDescent="0.25">
      <c r="A155" s="20" t="s">
        <v>227</v>
      </c>
      <c r="B155" s="50">
        <f>1842+1237</f>
        <v>3079</v>
      </c>
      <c r="C155" s="50">
        <f>4351+1248</f>
        <v>5599</v>
      </c>
      <c r="D155" s="50">
        <f>9594-3079-5599</f>
        <v>916</v>
      </c>
      <c r="E155" s="32">
        <f>SUM(B155:D155)</f>
        <v>9594</v>
      </c>
    </row>
    <row r="156" spans="1:6" x14ac:dyDescent="0.25">
      <c r="A156" s="20" t="s">
        <v>332</v>
      </c>
      <c r="B156" s="50">
        <f>88546*(19717345/154134924)</f>
        <v>11327.037280467341</v>
      </c>
      <c r="C156" s="50">
        <f>88546*(56004404/154134924)</f>
        <v>32172.890010209499</v>
      </c>
      <c r="D156" s="50">
        <f>88546*(78413175/154134924)</f>
        <v>45046.072709323162</v>
      </c>
      <c r="E156" s="32">
        <f>SUM(B156:D156)</f>
        <v>88546</v>
      </c>
    </row>
    <row r="157" spans="1:6" x14ac:dyDescent="0.25">
      <c r="A157" s="20" t="s">
        <v>272</v>
      </c>
      <c r="B157" s="50">
        <f>10320834+8297226</f>
        <v>18618060</v>
      </c>
      <c r="C157" s="50">
        <f>18719990+10749299</f>
        <v>29469289</v>
      </c>
      <c r="D157" s="50">
        <f>53204373-48087349</f>
        <v>5117024</v>
      </c>
      <c r="E157" s="32">
        <f>SUM(B157:D157)</f>
        <v>53204373</v>
      </c>
      <c r="F157" s="18"/>
    </row>
    <row r="158" spans="1:6" x14ac:dyDescent="0.25">
      <c r="A158" s="20" t="s">
        <v>273</v>
      </c>
      <c r="B158" s="50">
        <f>21366477+17580868</f>
        <v>38947345</v>
      </c>
      <c r="C158" s="50">
        <f>13471153+42533251</f>
        <v>56004404</v>
      </c>
      <c r="D158" s="50">
        <f>154134924-38947345-56004404</f>
        <v>59183175</v>
      </c>
      <c r="E158" s="32">
        <f>SUM(B158:D158)</f>
        <v>154134924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2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/>
      <c r="C173" s="50"/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1401956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132674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307026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f>2031992-54</f>
        <v>2031938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/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595065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/>
      <c r="D187" s="20"/>
      <c r="E187" s="20"/>
    </row>
    <row r="188" spans="1:5" x14ac:dyDescent="0.25">
      <c r="A188" s="20" t="s">
        <v>347</v>
      </c>
      <c r="B188" s="46" t="s">
        <v>284</v>
      </c>
      <c r="C188" s="47"/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4468659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887528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207651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1095179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564029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10995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575024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5306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f>1874259-5306</f>
        <v>1868953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1874259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/>
      <c r="D204" s="20"/>
      <c r="E204" s="20"/>
    </row>
    <row r="205" spans="1:5" x14ac:dyDescent="0.25">
      <c r="A205" s="20" t="s">
        <v>359</v>
      </c>
      <c r="B205" s="46" t="s">
        <v>284</v>
      </c>
      <c r="C205" s="47">
        <v>2483700</v>
      </c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2483700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550000</v>
      </c>
      <c r="C211" s="47"/>
      <c r="D211" s="50"/>
      <c r="E211" s="32">
        <f t="shared" ref="E211:E219" si="16">SUM(B211:C211)-D211</f>
        <v>550000</v>
      </c>
    </row>
    <row r="212" spans="1:5" x14ac:dyDescent="0.25">
      <c r="A212" s="20" t="s">
        <v>367</v>
      </c>
      <c r="B212" s="50">
        <v>26953</v>
      </c>
      <c r="C212" s="47"/>
      <c r="D212" s="50"/>
      <c r="E212" s="32">
        <f t="shared" si="16"/>
        <v>26953</v>
      </c>
    </row>
    <row r="213" spans="1:5" x14ac:dyDescent="0.25">
      <c r="A213" s="20" t="s">
        <v>368</v>
      </c>
      <c r="B213" s="50">
        <f>6529999+1504843</f>
        <v>8034842</v>
      </c>
      <c r="C213" s="47">
        <v>209523</v>
      </c>
      <c r="D213" s="50"/>
      <c r="E213" s="32">
        <f t="shared" si="16"/>
        <v>8244365</v>
      </c>
    </row>
    <row r="214" spans="1:5" x14ac:dyDescent="0.2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2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25">
      <c r="A216" s="20" t="s">
        <v>371</v>
      </c>
      <c r="B216" s="50">
        <v>1892548</v>
      </c>
      <c r="C216" s="47">
        <v>22340</v>
      </c>
      <c r="D216" s="50">
        <f>18403+40075</f>
        <v>58478</v>
      </c>
      <c r="E216" s="32">
        <f t="shared" si="16"/>
        <v>1856410</v>
      </c>
    </row>
    <row r="217" spans="1:5" x14ac:dyDescent="0.25">
      <c r="A217" s="20" t="s">
        <v>372</v>
      </c>
      <c r="B217" s="50">
        <v>477465</v>
      </c>
      <c r="C217" s="47">
        <v>17419</v>
      </c>
      <c r="D217" s="50">
        <v>86901</v>
      </c>
      <c r="E217" s="32">
        <f t="shared" si="16"/>
        <v>407983</v>
      </c>
    </row>
    <row r="218" spans="1:5" x14ac:dyDescent="0.2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>
        <f>216353+55+38965</f>
        <v>255373</v>
      </c>
      <c r="C219" s="47">
        <f>918291+43762+2154</f>
        <v>964207</v>
      </c>
      <c r="D219" s="50">
        <f>43761+27810+55+38965</f>
        <v>110591</v>
      </c>
      <c r="E219" s="32">
        <f t="shared" si="16"/>
        <v>1108989</v>
      </c>
    </row>
    <row r="220" spans="1:5" x14ac:dyDescent="0.25">
      <c r="A220" s="20" t="s">
        <v>215</v>
      </c>
      <c r="B220" s="32">
        <f>SUM(B211:B219)</f>
        <v>11237181</v>
      </c>
      <c r="C220" s="265">
        <f>SUM(C211:C219)</f>
        <v>1213489</v>
      </c>
      <c r="D220" s="32">
        <f>SUM(D211:D219)</f>
        <v>255970</v>
      </c>
      <c r="E220" s="32">
        <f>SUM(E211:E219)</f>
        <v>12194700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4457</v>
      </c>
      <c r="C225" s="47">
        <v>1797</v>
      </c>
      <c r="D225" s="50"/>
      <c r="E225" s="32">
        <f t="shared" ref="E225:E232" si="17">SUM(B225:C225)-D225</f>
        <v>6254</v>
      </c>
    </row>
    <row r="226" spans="1:5" x14ac:dyDescent="0.25">
      <c r="A226" s="20" t="s">
        <v>368</v>
      </c>
      <c r="B226" s="50">
        <f>1822105+192042</f>
        <v>2014147</v>
      </c>
      <c r="C226" s="47">
        <f>410258+126271</f>
        <v>536529</v>
      </c>
      <c r="D226" s="50"/>
      <c r="E226" s="32">
        <f t="shared" si="17"/>
        <v>2550676</v>
      </c>
    </row>
    <row r="227" spans="1:5" x14ac:dyDescent="0.2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2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25">
      <c r="A229" s="20" t="s">
        <v>371</v>
      </c>
      <c r="B229" s="50">
        <v>1242414</v>
      </c>
      <c r="C229" s="47">
        <v>126656</v>
      </c>
      <c r="D229" s="50">
        <v>18403</v>
      </c>
      <c r="E229" s="32">
        <f t="shared" si="17"/>
        <v>1350667</v>
      </c>
    </row>
    <row r="230" spans="1:5" x14ac:dyDescent="0.25">
      <c r="A230" s="20" t="s">
        <v>372</v>
      </c>
      <c r="B230" s="50">
        <v>219154</v>
      </c>
      <c r="C230" s="47">
        <v>39618</v>
      </c>
      <c r="D230" s="50"/>
      <c r="E230" s="32">
        <f t="shared" si="17"/>
        <v>258772</v>
      </c>
    </row>
    <row r="231" spans="1:5" x14ac:dyDescent="0.2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3480172</v>
      </c>
      <c r="C233" s="265">
        <f>SUM(C224:C232)</f>
        <v>704600</v>
      </c>
      <c r="D233" s="32">
        <f>SUM(D224:D232)</f>
        <v>18403</v>
      </c>
      <c r="E233" s="32">
        <f>SUM(E224:E232)</f>
        <v>4166369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6" t="s">
        <v>377</v>
      </c>
      <c r="C236" s="346"/>
      <c r="D236" s="38"/>
      <c r="E236" s="38"/>
    </row>
    <row r="237" spans="1:5" x14ac:dyDescent="0.25">
      <c r="A237" s="56" t="s">
        <v>377</v>
      </c>
      <c r="B237" s="38"/>
      <c r="C237" s="47">
        <f>190669+8667673-115324</f>
        <v>8743018</v>
      </c>
      <c r="D237" s="40">
        <f>C237</f>
        <v>8743018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f>6147004+5744255+16624519+14543626+23634+1440+17902</f>
        <v>43102380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f>9509750+7750127+12681908+37966856+33847+14152+1559+52102</f>
        <v>68010301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>
        <f>-132709+4314419+75</f>
        <v>4181785</v>
      </c>
      <c r="D241" s="20"/>
      <c r="E241" s="20"/>
    </row>
    <row r="242" spans="1:5" x14ac:dyDescent="0.25">
      <c r="A242" s="20" t="s">
        <v>382</v>
      </c>
      <c r="B242" s="46" t="s">
        <v>284</v>
      </c>
      <c r="C242" s="47">
        <f>663109+2869698+240</f>
        <v>3533047</v>
      </c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>
        <f>1079249+1416581-26457-1788853+11853542+10310232-21729+165491+814+5302+387+1766491</f>
        <v>24761050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143588563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/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258499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1005308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1263807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0</v>
      </c>
      <c r="E256" s="20"/>
    </row>
    <row r="257" spans="1:8" x14ac:dyDescent="0.25">
      <c r="A257" s="20"/>
      <c r="B257" s="20"/>
      <c r="C257" s="27"/>
      <c r="D257" s="20"/>
      <c r="E257" s="20"/>
    </row>
    <row r="258" spans="1:8" x14ac:dyDescent="0.25">
      <c r="A258" s="20" t="s">
        <v>394</v>
      </c>
      <c r="B258" s="20"/>
      <c r="C258" s="27"/>
      <c r="D258" s="32">
        <f>D237+D245+D252+D256</f>
        <v>153595388</v>
      </c>
      <c r="E258" s="20"/>
    </row>
    <row r="259" spans="1:8" x14ac:dyDescent="0.25">
      <c r="A259" s="20"/>
      <c r="B259" s="20"/>
      <c r="C259" s="27"/>
      <c r="D259" s="20"/>
      <c r="E259" s="20"/>
    </row>
    <row r="260" spans="1:8" x14ac:dyDescent="0.25">
      <c r="A260" s="20"/>
      <c r="B260" s="20"/>
      <c r="C260" s="27"/>
      <c r="D260" s="20"/>
      <c r="E260" s="20"/>
    </row>
    <row r="261" spans="1:8" x14ac:dyDescent="0.25">
      <c r="A261" s="20"/>
      <c r="B261" s="20"/>
      <c r="C261" s="27"/>
      <c r="D261" s="20"/>
      <c r="E261" s="20"/>
    </row>
    <row r="262" spans="1:8" x14ac:dyDescent="0.25">
      <c r="A262" s="20"/>
      <c r="B262" s="20"/>
      <c r="C262" s="27"/>
      <c r="D262" s="20"/>
      <c r="E262" s="20"/>
    </row>
    <row r="263" spans="1:8" x14ac:dyDescent="0.25">
      <c r="A263" s="20"/>
      <c r="B263" s="20"/>
      <c r="C263" s="27"/>
      <c r="D263" s="20"/>
      <c r="E263" s="20"/>
    </row>
    <row r="264" spans="1:8" x14ac:dyDescent="0.25">
      <c r="A264" s="38" t="s">
        <v>395</v>
      </c>
      <c r="B264" s="38"/>
      <c r="C264" s="38"/>
      <c r="D264" s="38"/>
      <c r="E264" s="38"/>
    </row>
    <row r="265" spans="1:8" x14ac:dyDescent="0.25">
      <c r="A265" s="45" t="s">
        <v>396</v>
      </c>
      <c r="B265" s="45"/>
      <c r="C265" s="45"/>
      <c r="D265" s="45"/>
      <c r="E265" s="45"/>
    </row>
    <row r="266" spans="1:8" x14ac:dyDescent="0.25">
      <c r="A266" s="20" t="s">
        <v>397</v>
      </c>
      <c r="B266" s="46" t="s">
        <v>284</v>
      </c>
      <c r="C266" s="47">
        <v>307312</v>
      </c>
      <c r="D266" s="20"/>
      <c r="E266" s="20"/>
    </row>
    <row r="267" spans="1:8" x14ac:dyDescent="0.25">
      <c r="A267" s="20" t="s">
        <v>398</v>
      </c>
      <c r="B267" s="46" t="s">
        <v>284</v>
      </c>
      <c r="C267" s="47"/>
      <c r="D267" s="20"/>
      <c r="E267" s="20"/>
    </row>
    <row r="268" spans="1:8" x14ac:dyDescent="0.25">
      <c r="A268" s="20" t="s">
        <v>399</v>
      </c>
      <c r="B268" s="46" t="s">
        <v>284</v>
      </c>
      <c r="C268" s="47">
        <v>55447099</v>
      </c>
      <c r="D268" s="20"/>
      <c r="E268" s="20"/>
    </row>
    <row r="269" spans="1:8" x14ac:dyDescent="0.25">
      <c r="A269" s="20" t="s">
        <v>400</v>
      </c>
      <c r="B269" s="46" t="s">
        <v>284</v>
      </c>
      <c r="C269" s="47">
        <f>16301638+28295205</f>
        <v>44596843</v>
      </c>
      <c r="D269" s="20"/>
      <c r="E269" s="20"/>
      <c r="H269" s="12">
        <f>C268-C269</f>
        <v>10850256</v>
      </c>
    </row>
    <row r="270" spans="1:8" x14ac:dyDescent="0.25">
      <c r="A270" s="20" t="s">
        <v>401</v>
      </c>
      <c r="B270" s="46" t="s">
        <v>284</v>
      </c>
      <c r="C270" s="47"/>
      <c r="D270" s="20"/>
      <c r="E270" s="20"/>
    </row>
    <row r="271" spans="1:8" x14ac:dyDescent="0.25">
      <c r="A271" s="20" t="s">
        <v>402</v>
      </c>
      <c r="B271" s="46" t="s">
        <v>284</v>
      </c>
      <c r="C271" s="47"/>
      <c r="D271" s="20"/>
      <c r="E271" s="20"/>
    </row>
    <row r="272" spans="1:8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2730152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378612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14266332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/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550000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v>26953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8244365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>
        <v>0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f>1856410+407983</f>
        <v>2264393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/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1108989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12194700</v>
      </c>
      <c r="E291" s="20"/>
    </row>
    <row r="292" spans="1:5" x14ac:dyDescent="0.25">
      <c r="A292" s="20" t="s">
        <v>416</v>
      </c>
      <c r="B292" s="46" t="s">
        <v>284</v>
      </c>
      <c r="C292" s="47">
        <v>4166369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8028331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/>
      <c r="D297" s="20"/>
      <c r="E297" s="20"/>
    </row>
    <row r="298" spans="1:5" x14ac:dyDescent="0.25">
      <c r="A298" s="20" t="s">
        <v>409</v>
      </c>
      <c r="B298" s="46" t="s">
        <v>284</v>
      </c>
      <c r="C298" s="47">
        <f>3871623+65741</f>
        <v>3937364</v>
      </c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3937364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8" x14ac:dyDescent="0.25">
      <c r="A305" s="20" t="s">
        <v>427</v>
      </c>
      <c r="B305" s="46" t="s">
        <v>284</v>
      </c>
      <c r="C305" s="47"/>
      <c r="D305" s="20"/>
      <c r="E305" s="20"/>
    </row>
    <row r="306" spans="1:8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8" x14ac:dyDescent="0.25">
      <c r="A307" s="20"/>
      <c r="B307" s="20"/>
      <c r="C307" s="27"/>
      <c r="D307" s="20"/>
      <c r="E307" s="20"/>
    </row>
    <row r="308" spans="1:8" x14ac:dyDescent="0.25">
      <c r="A308" s="20" t="s">
        <v>429</v>
      </c>
      <c r="B308" s="20"/>
      <c r="C308" s="27"/>
      <c r="D308" s="32">
        <f>D276+D281+D293+D299+D306</f>
        <v>26232027</v>
      </c>
      <c r="E308" s="20"/>
      <c r="H308" s="12">
        <f>D308-25171592</f>
        <v>1060435</v>
      </c>
    </row>
    <row r="309" spans="1:8" x14ac:dyDescent="0.25">
      <c r="A309" s="20"/>
      <c r="B309" s="20"/>
      <c r="C309" s="27"/>
      <c r="D309" s="20"/>
      <c r="E309" s="20"/>
    </row>
    <row r="310" spans="1:8" x14ac:dyDescent="0.25">
      <c r="A310" s="20"/>
      <c r="B310" s="20"/>
      <c r="C310" s="27"/>
      <c r="D310" s="20"/>
      <c r="E310" s="20"/>
    </row>
    <row r="311" spans="1:8" x14ac:dyDescent="0.25">
      <c r="A311" s="20"/>
      <c r="B311" s="20"/>
      <c r="C311" s="27"/>
      <c r="D311" s="20"/>
      <c r="E311" s="20"/>
    </row>
    <row r="312" spans="1:8" x14ac:dyDescent="0.25">
      <c r="A312" s="38" t="s">
        <v>430</v>
      </c>
      <c r="B312" s="38"/>
      <c r="C312" s="38"/>
      <c r="D312" s="38"/>
      <c r="E312" s="38"/>
    </row>
    <row r="313" spans="1:8" x14ac:dyDescent="0.25">
      <c r="A313" s="45" t="s">
        <v>431</v>
      </c>
      <c r="B313" s="45"/>
      <c r="C313" s="45"/>
      <c r="D313" s="45"/>
      <c r="E313" s="45"/>
    </row>
    <row r="314" spans="1:8" x14ac:dyDescent="0.25">
      <c r="A314" s="20" t="s">
        <v>432</v>
      </c>
      <c r="B314" s="46" t="s">
        <v>284</v>
      </c>
      <c r="C314" s="47"/>
      <c r="D314" s="20"/>
      <c r="E314" s="20"/>
    </row>
    <row r="315" spans="1:8" x14ac:dyDescent="0.25">
      <c r="A315" s="20" t="s">
        <v>433</v>
      </c>
      <c r="B315" s="46" t="s">
        <v>284</v>
      </c>
      <c r="C315" s="47">
        <f>2624215+518665+362518+1426404</f>
        <v>4931802</v>
      </c>
      <c r="D315" s="20"/>
      <c r="E315" s="20"/>
    </row>
    <row r="316" spans="1:8" x14ac:dyDescent="0.25">
      <c r="A316" s="20" t="s">
        <v>434</v>
      </c>
      <c r="B316" s="46" t="s">
        <v>284</v>
      </c>
      <c r="C316" s="47">
        <f>650632</f>
        <v>650632</v>
      </c>
      <c r="D316" s="20"/>
      <c r="E316" s="20"/>
    </row>
    <row r="317" spans="1:8" x14ac:dyDescent="0.25">
      <c r="A317" s="20" t="s">
        <v>435</v>
      </c>
      <c r="B317" s="46" t="s">
        <v>284</v>
      </c>
      <c r="C317" s="47">
        <f>1994113-650632</f>
        <v>1343481</v>
      </c>
      <c r="D317" s="20"/>
      <c r="E317" s="20"/>
    </row>
    <row r="318" spans="1:8" x14ac:dyDescent="0.25">
      <c r="A318" s="20" t="s">
        <v>436</v>
      </c>
      <c r="B318" s="46" t="s">
        <v>284</v>
      </c>
      <c r="C318" s="47">
        <v>-501191</v>
      </c>
      <c r="D318" s="20"/>
      <c r="E318" s="20"/>
    </row>
    <row r="319" spans="1:8" x14ac:dyDescent="0.25">
      <c r="A319" s="20" t="s">
        <v>437</v>
      </c>
      <c r="B319" s="46" t="s">
        <v>284</v>
      </c>
      <c r="C319" s="47"/>
      <c r="D319" s="20"/>
      <c r="E319" s="20"/>
    </row>
    <row r="320" spans="1:8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25182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>
        <f>10998+533468+10598</f>
        <v>555064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7004970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>
        <f>147867+10998</f>
        <v>158865</v>
      </c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f>3354128+55675+533468+10598</f>
        <v>3953869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>
        <v>25171592</v>
      </c>
      <c r="D336" s="20"/>
      <c r="E336" s="20"/>
    </row>
    <row r="337" spans="1:8" x14ac:dyDescent="0.25">
      <c r="A337" s="26" t="s">
        <v>455</v>
      </c>
      <c r="B337" s="46" t="s">
        <v>284</v>
      </c>
      <c r="C337" s="271"/>
      <c r="D337" s="20"/>
      <c r="E337" s="20"/>
    </row>
    <row r="338" spans="1:8" x14ac:dyDescent="0.25">
      <c r="A338" s="20" t="s">
        <v>456</v>
      </c>
      <c r="B338" s="46" t="s">
        <v>284</v>
      </c>
      <c r="C338" s="47"/>
      <c r="D338" s="20"/>
      <c r="E338" s="20"/>
    </row>
    <row r="339" spans="1:8" x14ac:dyDescent="0.25">
      <c r="A339" s="20" t="s">
        <v>215</v>
      </c>
      <c r="B339" s="20"/>
      <c r="C339" s="27"/>
      <c r="D339" s="32">
        <f>SUM(C331:C338)</f>
        <v>29284326</v>
      </c>
      <c r="E339" s="20"/>
    </row>
    <row r="340" spans="1:8" x14ac:dyDescent="0.25">
      <c r="A340" s="20" t="s">
        <v>457</v>
      </c>
      <c r="B340" s="20"/>
      <c r="C340" s="27"/>
      <c r="D340" s="32">
        <f>C323</f>
        <v>555064</v>
      </c>
      <c r="E340" s="20"/>
    </row>
    <row r="341" spans="1:8" x14ac:dyDescent="0.25">
      <c r="A341" s="20" t="s">
        <v>458</v>
      </c>
      <c r="B341" s="20"/>
      <c r="C341" s="27"/>
      <c r="D341" s="32">
        <f>D339-D340</f>
        <v>28729262</v>
      </c>
      <c r="E341" s="20"/>
    </row>
    <row r="342" spans="1:8" x14ac:dyDescent="0.25">
      <c r="A342" s="20"/>
      <c r="B342" s="20"/>
      <c r="C342" s="27"/>
      <c r="D342" s="20"/>
      <c r="E342" s="20"/>
    </row>
    <row r="343" spans="1:8" x14ac:dyDescent="0.25">
      <c r="A343" s="20" t="s">
        <v>459</v>
      </c>
      <c r="B343" s="46" t="s">
        <v>284</v>
      </c>
      <c r="C343" s="326">
        <v>-9502205</v>
      </c>
      <c r="D343" s="20"/>
      <c r="E343" s="20"/>
    </row>
    <row r="344" spans="1:8" x14ac:dyDescent="0.25">
      <c r="A344" s="20"/>
      <c r="B344" s="46"/>
      <c r="C344" s="57"/>
      <c r="D344" s="20"/>
      <c r="E344" s="20"/>
    </row>
    <row r="345" spans="1:8" x14ac:dyDescent="0.25">
      <c r="A345" s="20" t="s">
        <v>460</v>
      </c>
      <c r="B345" s="46" t="s">
        <v>284</v>
      </c>
      <c r="C345" s="234"/>
      <c r="D345" s="20"/>
      <c r="E345" s="20"/>
    </row>
    <row r="346" spans="1:8" x14ac:dyDescent="0.25">
      <c r="A346" s="20" t="s">
        <v>461</v>
      </c>
      <c r="B346" s="46" t="s">
        <v>284</v>
      </c>
      <c r="C346" s="234"/>
      <c r="D346" s="20"/>
      <c r="E346" s="20"/>
    </row>
    <row r="347" spans="1:8" x14ac:dyDescent="0.25">
      <c r="A347" s="20" t="s">
        <v>462</v>
      </c>
      <c r="B347" s="46" t="s">
        <v>284</v>
      </c>
      <c r="C347" s="234"/>
      <c r="D347" s="20"/>
      <c r="E347" s="20"/>
    </row>
    <row r="348" spans="1:8" x14ac:dyDescent="0.25">
      <c r="A348" s="20" t="s">
        <v>463</v>
      </c>
      <c r="B348" s="46" t="s">
        <v>284</v>
      </c>
      <c r="C348" s="234"/>
      <c r="D348" s="20"/>
      <c r="E348" s="20"/>
    </row>
    <row r="349" spans="1:8" x14ac:dyDescent="0.25">
      <c r="A349" s="20" t="s">
        <v>464</v>
      </c>
      <c r="B349" s="46" t="s">
        <v>284</v>
      </c>
      <c r="C349" s="234"/>
      <c r="D349" s="20"/>
      <c r="E349" s="20"/>
    </row>
    <row r="350" spans="1:8" x14ac:dyDescent="0.25">
      <c r="A350" s="20" t="s">
        <v>465</v>
      </c>
      <c r="B350" s="20"/>
      <c r="C350" s="27"/>
      <c r="D350" s="32">
        <f>D324+D329+D341+C343+C347+C348</f>
        <v>26232027</v>
      </c>
      <c r="E350" s="20"/>
      <c r="H350" s="12">
        <f>D350-25171592</f>
        <v>1060435</v>
      </c>
    </row>
    <row r="351" spans="1:8" x14ac:dyDescent="0.25">
      <c r="A351" s="20"/>
      <c r="B351" s="20"/>
      <c r="C351" s="27"/>
      <c r="D351" s="20"/>
      <c r="E351" s="20"/>
    </row>
    <row r="352" spans="1:8" x14ac:dyDescent="0.25">
      <c r="A352" s="20" t="s">
        <v>466</v>
      </c>
      <c r="B352" s="20"/>
      <c r="C352" s="27"/>
      <c r="D352" s="32">
        <f>D308</f>
        <v>26232027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53204373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f>140034492+14100432</f>
        <v>154134924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207339297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f>8561454+181564</f>
        <v>8743018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f>33540887+111392225+151453-1496002</f>
        <v>143588563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1263807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/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153595388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53743909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2">
        <v>200</v>
      </c>
      <c r="D370" s="32"/>
      <c r="E370" s="32"/>
    </row>
    <row r="371" spans="1:6" x14ac:dyDescent="0.25">
      <c r="A371" s="59" t="s">
        <v>480</v>
      </c>
      <c r="B371" s="40" t="s">
        <v>284</v>
      </c>
      <c r="C371" s="272">
        <v>1213461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2"/>
      <c r="D372" s="32"/>
      <c r="E372" s="32"/>
    </row>
    <row r="373" spans="1:6" x14ac:dyDescent="0.25">
      <c r="A373" s="59" t="s">
        <v>482</v>
      </c>
      <c r="B373" s="40" t="s">
        <v>284</v>
      </c>
      <c r="C373" s="272"/>
      <c r="D373" s="32"/>
      <c r="E373" s="32"/>
    </row>
    <row r="374" spans="1:6" x14ac:dyDescent="0.25">
      <c r="A374" s="59" t="s">
        <v>483</v>
      </c>
      <c r="B374" s="40" t="s">
        <v>284</v>
      </c>
      <c r="C374" s="272"/>
      <c r="D374" s="32"/>
      <c r="E374" s="32"/>
    </row>
    <row r="375" spans="1:6" x14ac:dyDescent="0.25">
      <c r="A375" s="59" t="s">
        <v>484</v>
      </c>
      <c r="B375" s="40" t="s">
        <v>284</v>
      </c>
      <c r="C375" s="272"/>
      <c r="D375" s="32"/>
      <c r="E375" s="32"/>
    </row>
    <row r="376" spans="1:6" x14ac:dyDescent="0.25">
      <c r="A376" s="59" t="s">
        <v>485</v>
      </c>
      <c r="B376" s="40" t="s">
        <v>284</v>
      </c>
      <c r="C376" s="272">
        <v>11322</v>
      </c>
      <c r="D376" s="32"/>
      <c r="E376" s="32"/>
    </row>
    <row r="377" spans="1:6" x14ac:dyDescent="0.25">
      <c r="A377" s="59" t="s">
        <v>486</v>
      </c>
      <c r="B377" s="40" t="s">
        <v>284</v>
      </c>
      <c r="C377" s="272"/>
      <c r="D377" s="32"/>
      <c r="E377" s="32"/>
    </row>
    <row r="378" spans="1:6" x14ac:dyDescent="0.25">
      <c r="A378" s="59" t="s">
        <v>487</v>
      </c>
      <c r="B378" s="40" t="s">
        <v>284</v>
      </c>
      <c r="C378" s="272">
        <v>158183</v>
      </c>
      <c r="D378" s="32"/>
      <c r="E378" s="32"/>
    </row>
    <row r="379" spans="1:6" x14ac:dyDescent="0.25">
      <c r="A379" s="59" t="s">
        <v>488</v>
      </c>
      <c r="B379" s="40" t="s">
        <v>284</v>
      </c>
      <c r="C379" s="272">
        <v>86678</v>
      </c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2379434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3849278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/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3849278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57593187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21035919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4468667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4767567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5974751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0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4497938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715558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1095180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575024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/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2483700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2"/>
      <c r="D401" s="32"/>
      <c r="E401" s="32"/>
    </row>
    <row r="402" spans="1:9" x14ac:dyDescent="0.25">
      <c r="A402" s="33" t="s">
        <v>256</v>
      </c>
      <c r="B402" s="40" t="s">
        <v>284</v>
      </c>
      <c r="C402" s="272">
        <v>6942785</v>
      </c>
      <c r="D402" s="32"/>
      <c r="E402" s="32"/>
    </row>
    <row r="403" spans="1:9" x14ac:dyDescent="0.25">
      <c r="A403" s="33" t="s">
        <v>504</v>
      </c>
      <c r="B403" s="40" t="s">
        <v>284</v>
      </c>
      <c r="C403" s="272"/>
      <c r="D403" s="32"/>
      <c r="E403" s="32"/>
    </row>
    <row r="404" spans="1:9" x14ac:dyDescent="0.25">
      <c r="A404" s="33" t="s">
        <v>258</v>
      </c>
      <c r="B404" s="40" t="s">
        <v>284</v>
      </c>
      <c r="C404" s="272"/>
      <c r="D404" s="32"/>
      <c r="E404" s="32"/>
    </row>
    <row r="405" spans="1:9" x14ac:dyDescent="0.25">
      <c r="A405" s="33" t="s">
        <v>259</v>
      </c>
      <c r="B405" s="40" t="s">
        <v>284</v>
      </c>
      <c r="C405" s="272"/>
      <c r="D405" s="32"/>
      <c r="E405" s="32"/>
    </row>
    <row r="406" spans="1:9" x14ac:dyDescent="0.25">
      <c r="A406" s="33" t="s">
        <v>260</v>
      </c>
      <c r="B406" s="40" t="s">
        <v>284</v>
      </c>
      <c r="C406" s="272"/>
      <c r="D406" s="32"/>
      <c r="E406" s="32"/>
    </row>
    <row r="407" spans="1:9" x14ac:dyDescent="0.25">
      <c r="A407" s="33" t="s">
        <v>261</v>
      </c>
      <c r="B407" s="40" t="s">
        <v>284</v>
      </c>
      <c r="C407" s="272"/>
      <c r="D407" s="32"/>
      <c r="E407" s="32"/>
    </row>
    <row r="408" spans="1:9" x14ac:dyDescent="0.25">
      <c r="A408" s="33" t="s">
        <v>262</v>
      </c>
      <c r="B408" s="40" t="s">
        <v>284</v>
      </c>
      <c r="C408" s="272">
        <v>277566</v>
      </c>
      <c r="D408" s="32"/>
      <c r="E408" s="32"/>
    </row>
    <row r="409" spans="1:9" x14ac:dyDescent="0.25">
      <c r="A409" s="33" t="s">
        <v>263</v>
      </c>
      <c r="B409" s="40" t="s">
        <v>284</v>
      </c>
      <c r="C409" s="272">
        <v>8854382</v>
      </c>
      <c r="D409" s="32"/>
      <c r="E409" s="32"/>
    </row>
    <row r="410" spans="1:9" x14ac:dyDescent="0.25">
      <c r="A410" s="33" t="s">
        <v>264</v>
      </c>
      <c r="B410" s="40" t="s">
        <v>284</v>
      </c>
      <c r="C410" s="272"/>
      <c r="D410" s="32"/>
      <c r="E410" s="32"/>
    </row>
    <row r="411" spans="1:9" x14ac:dyDescent="0.25">
      <c r="A411" s="33" t="s">
        <v>265</v>
      </c>
      <c r="B411" s="40" t="s">
        <v>284</v>
      </c>
      <c r="C411" s="272"/>
      <c r="D411" s="32"/>
      <c r="E411" s="32"/>
    </row>
    <row r="412" spans="1:9" x14ac:dyDescent="0.25">
      <c r="A412" s="33" t="s">
        <v>266</v>
      </c>
      <c r="B412" s="40" t="s">
        <v>284</v>
      </c>
      <c r="C412" s="272">
        <v>1874259</v>
      </c>
      <c r="D412" s="32"/>
      <c r="E412" s="32"/>
    </row>
    <row r="413" spans="1:9" x14ac:dyDescent="0.25">
      <c r="A413" s="33" t="s">
        <v>267</v>
      </c>
      <c r="B413" s="40" t="s">
        <v>284</v>
      </c>
      <c r="C413" s="272">
        <v>611713</v>
      </c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v>751226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19311931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64926235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-7333048</v>
      </c>
      <c r="E417" s="32"/>
    </row>
    <row r="418" spans="1:13" x14ac:dyDescent="0.25">
      <c r="A418" s="32" t="s">
        <v>508</v>
      </c>
      <c r="B418" s="20"/>
      <c r="C418" s="236"/>
      <c r="D418" s="32"/>
      <c r="E418" s="32"/>
    </row>
    <row r="419" spans="1:13" x14ac:dyDescent="0.25">
      <c r="A419" s="59" t="s">
        <v>509</v>
      </c>
      <c r="B419" s="46" t="s">
        <v>284</v>
      </c>
      <c r="C419" s="272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-7333048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-7333048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0"/>
      <c r="C612" s="248" t="s">
        <v>515</v>
      </c>
      <c r="D612" s="255">
        <f>CE90-(BE90+CD90)</f>
        <v>76105</v>
      </c>
      <c r="E612" s="257">
        <f>SUM(C624:D647)+SUM(C668:D713)</f>
        <v>49974488.275478616</v>
      </c>
      <c r="F612" s="257">
        <f>CE64-(AX64+BD64+BE64+BG64+BJ64+BN64+BP64+BQ64+CB64+CC64+CD64)</f>
        <v>5967350</v>
      </c>
      <c r="G612" s="255">
        <f>CE91-(AX91+AY91+BD91+BE91+BG91+BJ91+BN91+BP91+BQ91+CB91+CC91+CD91)</f>
        <v>26331</v>
      </c>
      <c r="H612" s="260">
        <f>CE60-(AX60+AY60+AZ60+BD60+BE60+BG60+BJ60+BN60+BO60+BP60+BQ60+BR60+CB60+CC60+CD60)</f>
        <v>237.50999999999996</v>
      </c>
      <c r="I612" s="255">
        <f>CE92-(AX92+AY92+AZ92+BD92+BE92+BF92+BG92+BJ92+BN92+BO92+BP92+BQ92+BR92+CB92+CC92+CD92)</f>
        <v>0</v>
      </c>
      <c r="J612" s="255">
        <f>CE93-(AX93+AY93+AZ93+BA93+BD93+BE93+BF93+BG93+BJ93+BN93+BO93+BP93+BQ93+BR93+CB93+CC93+CD93)</f>
        <v>307318</v>
      </c>
      <c r="K612" s="255">
        <f>CE89-(AW89+AX89+AY89+AZ89+BA89+BB89+BC89+BD89+BE89+BF89+BG89+BH89+BI89+BJ89+BK89+BL89+BM89+BN89+BO89+BP89+BQ89+BR89+BS89+BT89+BU89+BV89+BW89+BX89+CB89+CC89+CD89)</f>
        <v>-207339296.80000001</v>
      </c>
      <c r="L612" s="261">
        <f>CE94-(AW94+AX94+AY94+AZ94+BA94+BB94+BC94+BD94+BE94+BF94+BG94+BH94+BI94+BJ94+BK94+BL94+BM94+BN94+BO94+BP94+BQ94+BR94+BS94+BT94+BU94+BV94+BW94+BX94+BY94+BZ94+CA94+CB94+CC94+CD94)</f>
        <v>53.129999999999995</v>
      </c>
    </row>
    <row r="613" spans="1:14" s="231" customFormat="1" ht="12.6" customHeight="1" x14ac:dyDescent="0.2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" customHeight="1" x14ac:dyDescent="0.2">
      <c r="A614" s="250">
        <v>8430</v>
      </c>
      <c r="B614" s="249" t="s">
        <v>152</v>
      </c>
      <c r="C614" s="255">
        <f>BE85</f>
        <v>1067206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" customHeight="1" x14ac:dyDescent="0.2">
      <c r="A615" s="250"/>
      <c r="B615" s="249" t="s">
        <v>527</v>
      </c>
      <c r="C615" s="255">
        <f>CD69-CD84</f>
        <v>0</v>
      </c>
      <c r="D615" s="255">
        <f>SUM(C614:C615)</f>
        <v>1067206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" customHeight="1" x14ac:dyDescent="0.2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" customHeight="1" x14ac:dyDescent="0.2">
      <c r="A617" s="250">
        <v>8510</v>
      </c>
      <c r="B617" s="254" t="s">
        <v>157</v>
      </c>
      <c r="C617" s="255">
        <f>BJ85</f>
        <v>122541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" customHeight="1" x14ac:dyDescent="0.2">
      <c r="A618" s="250">
        <v>8470</v>
      </c>
      <c r="B618" s="254" t="s">
        <v>532</v>
      </c>
      <c r="C618" s="255">
        <f>BG85</f>
        <v>35256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" customHeight="1" x14ac:dyDescent="0.2">
      <c r="A619" s="250">
        <v>8610</v>
      </c>
      <c r="B619" s="254" t="s">
        <v>534</v>
      </c>
      <c r="C619" s="255">
        <f>BN85</f>
        <v>10586255</v>
      </c>
      <c r="D619" s="255">
        <f>(D615/D612)*BN90</f>
        <v>30752.02362525458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" customHeight="1" x14ac:dyDescent="0.2">
      <c r="A620" s="250">
        <v>8790</v>
      </c>
      <c r="B620" s="254" t="s">
        <v>536</v>
      </c>
      <c r="C620" s="255">
        <f>CC85</f>
        <v>3731397</v>
      </c>
      <c r="D620" s="255">
        <f>(D615/D612)*CC90</f>
        <v>445546.76089613035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" customHeight="1" x14ac:dyDescent="0.2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" customHeight="1" x14ac:dyDescent="0.2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" customHeight="1" x14ac:dyDescent="0.2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14951747.784521384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" customHeight="1" x14ac:dyDescent="0.2">
      <c r="A624" s="250">
        <v>8420</v>
      </c>
      <c r="B624" s="254" t="s">
        <v>151</v>
      </c>
      <c r="C624" s="255">
        <f>BD85</f>
        <v>119719</v>
      </c>
      <c r="D624" s="255">
        <f>(D615/D612)*BD90</f>
        <v>29840.540936863541</v>
      </c>
      <c r="E624" s="257">
        <f>(E623/E612)*SUM(C624:D624)</f>
        <v>44746.361834264695</v>
      </c>
      <c r="F624" s="257">
        <f>SUM(C624:E624)</f>
        <v>194305.90277112823</v>
      </c>
      <c r="G624" s="255"/>
      <c r="H624" s="257"/>
      <c r="I624" s="255"/>
      <c r="J624" s="255"/>
      <c r="N624" s="251" t="s">
        <v>544</v>
      </c>
    </row>
    <row r="625" spans="1:14" s="231" customFormat="1" ht="12.6" customHeight="1" x14ac:dyDescent="0.2">
      <c r="A625" s="250">
        <v>8320</v>
      </c>
      <c r="B625" s="254" t="s">
        <v>147</v>
      </c>
      <c r="C625" s="255">
        <f>AY85</f>
        <v>779484</v>
      </c>
      <c r="D625" s="255">
        <f>(D615/D612)*AY90</f>
        <v>7544.2720977596737</v>
      </c>
      <c r="E625" s="257">
        <f>(E623/E612)*SUM(C625:D625)</f>
        <v>235469.10893467616</v>
      </c>
      <c r="F625" s="257">
        <f>(F624/F612)*AY64</f>
        <v>12039.258663342049</v>
      </c>
      <c r="G625" s="255">
        <f>SUM(C625:F625)</f>
        <v>1034536.6396957779</v>
      </c>
      <c r="H625" s="257"/>
      <c r="I625" s="255"/>
      <c r="J625" s="255"/>
      <c r="N625" s="251" t="s">
        <v>545</v>
      </c>
    </row>
    <row r="626" spans="1:14" s="231" customFormat="1" ht="12.6" customHeight="1" x14ac:dyDescent="0.2">
      <c r="A626" s="250">
        <v>8650</v>
      </c>
      <c r="B626" s="254" t="s">
        <v>164</v>
      </c>
      <c r="C626" s="255">
        <f>BR85</f>
        <v>117542</v>
      </c>
      <c r="D626" s="255">
        <f>(D615/D612)*BR90</f>
        <v>5721.3067209775963</v>
      </c>
      <c r="E626" s="257">
        <f>(E623/E612)*SUM(C626:D626)</f>
        <v>36878.85432700823</v>
      </c>
      <c r="F626" s="257">
        <f>(F624/F612)*BR64</f>
        <v>0.16280752995142586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" customHeight="1" x14ac:dyDescent="0.2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" customHeight="1" x14ac:dyDescent="0.2">
      <c r="A628" s="250">
        <v>8330</v>
      </c>
      <c r="B628" s="254" t="s">
        <v>148</v>
      </c>
      <c r="C628" s="255">
        <f>AZ85</f>
        <v>21003</v>
      </c>
      <c r="D628" s="255">
        <f>(D615/D612)*AZ90</f>
        <v>32603.034623217922</v>
      </c>
      <c r="E628" s="257">
        <f>(E623/E612)*SUM(C628:D628)</f>
        <v>16038.261462458146</v>
      </c>
      <c r="F628" s="257">
        <f>(F624/F612)*AZ64</f>
        <v>0</v>
      </c>
      <c r="G628" s="255">
        <f>(G625/G612)*AZ91</f>
        <v>0</v>
      </c>
      <c r="H628" s="257">
        <f>SUM(C626:G628)</f>
        <v>229786.61994119184</v>
      </c>
      <c r="I628" s="255"/>
      <c r="J628" s="255"/>
      <c r="N628" s="251" t="s">
        <v>549</v>
      </c>
    </row>
    <row r="629" spans="1:14" s="231" customFormat="1" ht="12.6" customHeight="1" x14ac:dyDescent="0.2">
      <c r="A629" s="250">
        <v>8460</v>
      </c>
      <c r="B629" s="254" t="s">
        <v>153</v>
      </c>
      <c r="C629" s="255">
        <f>BF85</f>
        <v>706479</v>
      </c>
      <c r="D629" s="255">
        <f>(D615/D612)*BF90</f>
        <v>11190.202851323829</v>
      </c>
      <c r="E629" s="257">
        <f>(E623/E612)*SUM(C629:D629)</f>
        <v>214717.73466896478</v>
      </c>
      <c r="F629" s="257">
        <f>(F624/F612)*BF64</f>
        <v>3145.4414786615475</v>
      </c>
      <c r="G629" s="255">
        <f>(G625/G612)*BF91</f>
        <v>0</v>
      </c>
      <c r="H629" s="257">
        <f>(H628/H612)*BF60</f>
        <v>7691.4808998883227</v>
      </c>
      <c r="I629" s="255">
        <f>SUM(C629:H629)</f>
        <v>943223.85989883845</v>
      </c>
      <c r="J629" s="255"/>
      <c r="N629" s="251" t="s">
        <v>550</v>
      </c>
    </row>
    <row r="630" spans="1:14" s="231" customFormat="1" ht="12.6" customHeight="1" x14ac:dyDescent="0.2">
      <c r="A630" s="250">
        <v>8350</v>
      </c>
      <c r="B630" s="254" t="s">
        <v>551</v>
      </c>
      <c r="C630" s="255">
        <f>BA85</f>
        <v>0</v>
      </c>
      <c r="D630" s="255">
        <f>(D615/D612)*BA90</f>
        <v>0</v>
      </c>
      <c r="E630" s="257">
        <f>(E623/E612)*SUM(C630:D630)</f>
        <v>0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 t="e">
        <f>(I629/I612)*BA92</f>
        <v>#DIV/0!</v>
      </c>
      <c r="J630" s="255" t="e">
        <f>SUM(C630:I630)</f>
        <v>#DIV/0!</v>
      </c>
      <c r="N630" s="251" t="s">
        <v>552</v>
      </c>
    </row>
    <row r="631" spans="1:14" s="231" customFormat="1" ht="12.6" customHeight="1" x14ac:dyDescent="0.2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 t="e">
        <f>(I629/I612)*AW92</f>
        <v>#DIV/0!</v>
      </c>
      <c r="J631" s="255" t="e">
        <f>(J630/J612)*AW93</f>
        <v>#DIV/0!</v>
      </c>
      <c r="N631" s="251" t="s">
        <v>554</v>
      </c>
    </row>
    <row r="632" spans="1:14" s="231" customFormat="1" ht="12.6" customHeight="1" x14ac:dyDescent="0.2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 t="e">
        <f>(I629/I612)*BB92</f>
        <v>#DIV/0!</v>
      </c>
      <c r="J632" s="255" t="e">
        <f>(J630/J612)*BB93</f>
        <v>#DIV/0!</v>
      </c>
      <c r="N632" s="251" t="s">
        <v>556</v>
      </c>
    </row>
    <row r="633" spans="1:14" s="231" customFormat="1" ht="12.6" customHeight="1" x14ac:dyDescent="0.2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 t="e">
        <f>(I629/I612)*BC92</f>
        <v>#DIV/0!</v>
      </c>
      <c r="J633" s="255" t="e">
        <f>(J630/J612)*BC93</f>
        <v>#DIV/0!</v>
      </c>
      <c r="N633" s="251" t="s">
        <v>558</v>
      </c>
    </row>
    <row r="634" spans="1:14" s="231" customFormat="1" ht="12.6" customHeight="1" x14ac:dyDescent="0.2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 t="e">
        <f>(I629/I612)*BI92</f>
        <v>#DIV/0!</v>
      </c>
      <c r="J634" s="255" t="e">
        <f>(J630/J612)*BI93</f>
        <v>#DIV/0!</v>
      </c>
      <c r="N634" s="251" t="s">
        <v>560</v>
      </c>
    </row>
    <row r="635" spans="1:14" s="231" customFormat="1" ht="12.6" customHeight="1" x14ac:dyDescent="0.2">
      <c r="A635" s="250">
        <v>8530</v>
      </c>
      <c r="B635" s="254" t="s">
        <v>561</v>
      </c>
      <c r="C635" s="255">
        <f>BK85</f>
        <v>24448</v>
      </c>
      <c r="D635" s="255">
        <f>(D615/D612)*BK90</f>
        <v>35057.026476578409</v>
      </c>
      <c r="E635" s="257">
        <f>(E623/E612)*SUM(C635:D635)</f>
        <v>17803.166745493734</v>
      </c>
      <c r="F635" s="257">
        <f>(F624/F612)*BK64</f>
        <v>4.0376267427953616</v>
      </c>
      <c r="G635" s="255">
        <f>(G625/G612)*BK91</f>
        <v>0</v>
      </c>
      <c r="H635" s="257">
        <f>(H628/H612)*BK60</f>
        <v>0</v>
      </c>
      <c r="I635" s="255" t="e">
        <f>(I629/I612)*BK92</f>
        <v>#DIV/0!</v>
      </c>
      <c r="J635" s="255" t="e">
        <f>(J630/J612)*BK93</f>
        <v>#DIV/0!</v>
      </c>
      <c r="N635" s="251" t="s">
        <v>562</v>
      </c>
    </row>
    <row r="636" spans="1:14" s="231" customFormat="1" ht="12.6" customHeight="1" x14ac:dyDescent="0.2">
      <c r="A636" s="250">
        <v>8480</v>
      </c>
      <c r="B636" s="254" t="s">
        <v>563</v>
      </c>
      <c r="C636" s="255">
        <f>BH85</f>
        <v>438411</v>
      </c>
      <c r="D636" s="255">
        <f>(D615/D612)*BH90</f>
        <v>3926.386965376782</v>
      </c>
      <c r="E636" s="257">
        <f>(E623/E612)*SUM(C636:D636)</f>
        <v>132341.86629612287</v>
      </c>
      <c r="F636" s="257">
        <f>(F624/F612)*BH64</f>
        <v>155.38350658564084</v>
      </c>
      <c r="G636" s="255">
        <f>(G625/G612)*BH91</f>
        <v>0</v>
      </c>
      <c r="H636" s="257">
        <f>(H628/H612)*BH60</f>
        <v>0</v>
      </c>
      <c r="I636" s="255" t="e">
        <f>(I629/I612)*BH92</f>
        <v>#DIV/0!</v>
      </c>
      <c r="J636" s="255" t="e">
        <f>(J630/J612)*BH93</f>
        <v>#DIV/0!</v>
      </c>
      <c r="N636" s="251" t="s">
        <v>564</v>
      </c>
    </row>
    <row r="637" spans="1:14" s="231" customFormat="1" ht="12.6" customHeight="1" x14ac:dyDescent="0.2">
      <c r="A637" s="250">
        <v>8560</v>
      </c>
      <c r="B637" s="254" t="s">
        <v>159</v>
      </c>
      <c r="C637" s="255">
        <f>BL85</f>
        <v>662438</v>
      </c>
      <c r="D637" s="255">
        <f>(D615/D612)*BL90</f>
        <v>0</v>
      </c>
      <c r="E637" s="257">
        <f>(E623/E612)*SUM(C637:D637)</f>
        <v>198193.2430060069</v>
      </c>
      <c r="F637" s="257">
        <f>(F624/F612)*BL64</f>
        <v>369.377723953795</v>
      </c>
      <c r="G637" s="255">
        <f>(G625/G612)*BL91</f>
        <v>0</v>
      </c>
      <c r="H637" s="257">
        <f>(H628/H612)*BL60</f>
        <v>13418.973595151072</v>
      </c>
      <c r="I637" s="255" t="e">
        <f>(I629/I612)*BL92</f>
        <v>#DIV/0!</v>
      </c>
      <c r="J637" s="255" t="e">
        <f>(J630/J612)*BL93</f>
        <v>#DIV/0!</v>
      </c>
      <c r="N637" s="251" t="s">
        <v>565</v>
      </c>
    </row>
    <row r="638" spans="1:14" s="231" customFormat="1" ht="12.6" customHeight="1" x14ac:dyDescent="0.2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 t="e">
        <f>(I629/I612)*BM92</f>
        <v>#DIV/0!</v>
      </c>
      <c r="J638" s="255" t="e">
        <f>(J630/J612)*BM93</f>
        <v>#DIV/0!</v>
      </c>
      <c r="N638" s="251" t="s">
        <v>567</v>
      </c>
    </row>
    <row r="639" spans="1:14" s="231" customFormat="1" ht="12.6" customHeight="1" x14ac:dyDescent="0.2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 t="e">
        <f>(I629/I612)*BS92</f>
        <v>#DIV/0!</v>
      </c>
      <c r="J639" s="255" t="e">
        <f>(J630/J612)*BS93</f>
        <v>#DIV/0!</v>
      </c>
      <c r="N639" s="251" t="s">
        <v>569</v>
      </c>
    </row>
    <row r="640" spans="1:14" s="231" customFormat="1" ht="12.6" customHeight="1" x14ac:dyDescent="0.2">
      <c r="A640" s="250">
        <v>8670</v>
      </c>
      <c r="B640" s="254" t="s">
        <v>570</v>
      </c>
      <c r="C640" s="255">
        <f>BT85</f>
        <v>4282</v>
      </c>
      <c r="D640" s="255">
        <f>(D615/D612)*BT90</f>
        <v>6646.8122199592663</v>
      </c>
      <c r="E640" s="257">
        <f>(E623/E612)*SUM(C640:D640)</f>
        <v>3269.7652249378875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 t="e">
        <f>(I629/I612)*BT92</f>
        <v>#DIV/0!</v>
      </c>
      <c r="J640" s="255" t="e">
        <f>(J630/J612)*BT93</f>
        <v>#DIV/0!</v>
      </c>
      <c r="N640" s="251" t="s">
        <v>571</v>
      </c>
    </row>
    <row r="641" spans="1:14" s="231" customFormat="1" ht="12.6" customHeight="1" x14ac:dyDescent="0.2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 t="e">
        <f>(I629/I612)*BU92</f>
        <v>#DIV/0!</v>
      </c>
      <c r="J641" s="255" t="e">
        <f>(J630/J612)*BU93</f>
        <v>#DIV/0!</v>
      </c>
      <c r="N641" s="251" t="s">
        <v>573</v>
      </c>
    </row>
    <row r="642" spans="1:14" s="231" customFormat="1" ht="12.6" customHeight="1" x14ac:dyDescent="0.2">
      <c r="A642" s="250">
        <v>8690</v>
      </c>
      <c r="B642" s="254" t="s">
        <v>574</v>
      </c>
      <c r="C642" s="255">
        <f>BV85</f>
        <v>479170</v>
      </c>
      <c r="D642" s="255">
        <f>(D615/D612)*BV90</f>
        <v>0</v>
      </c>
      <c r="E642" s="257">
        <f>(E623/E612)*SUM(C642:D642)</f>
        <v>143361.72781632142</v>
      </c>
      <c r="F642" s="257">
        <f>(F624/F612)*BV64</f>
        <v>168.21273994581318</v>
      </c>
      <c r="G642" s="255">
        <f>(G625/G612)*BV91</f>
        <v>0</v>
      </c>
      <c r="H642" s="257">
        <f>(H628/H612)*BV60</f>
        <v>4053.7490528971161</v>
      </c>
      <c r="I642" s="255" t="e">
        <f>(I629/I612)*BV92</f>
        <v>#DIV/0!</v>
      </c>
      <c r="J642" s="255" t="e">
        <f>(J630/J612)*BV93</f>
        <v>#DIV/0!</v>
      </c>
      <c r="N642" s="251" t="s">
        <v>575</v>
      </c>
    </row>
    <row r="643" spans="1:14" s="231" customFormat="1" ht="12.6" customHeight="1" x14ac:dyDescent="0.2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 t="e">
        <f>(I629/I612)*BW92</f>
        <v>#DIV/0!</v>
      </c>
      <c r="J643" s="255" t="e">
        <f>(J630/J612)*BW93</f>
        <v>#DIV/0!</v>
      </c>
      <c r="N643" s="251" t="s">
        <v>577</v>
      </c>
    </row>
    <row r="644" spans="1:14" s="231" customFormat="1" ht="12.6" customHeight="1" x14ac:dyDescent="0.2">
      <c r="A644" s="250">
        <v>8710</v>
      </c>
      <c r="B644" s="254" t="s">
        <v>578</v>
      </c>
      <c r="C644" s="255">
        <f>BX85</f>
        <v>462730</v>
      </c>
      <c r="D644" s="255">
        <f>(D615/D612)*BX90</f>
        <v>4543.3906313645621</v>
      </c>
      <c r="E644" s="257">
        <f>(E623/E612)*SUM(C644:D644)</f>
        <v>139802.4096740266</v>
      </c>
      <c r="F644" s="257">
        <f>(F624/F612)*BX64</f>
        <v>15.206223297463175</v>
      </c>
      <c r="G644" s="255">
        <f>(G625/G612)*BX91</f>
        <v>0</v>
      </c>
      <c r="H644" s="257">
        <f>(H628/H612)*BX60</f>
        <v>2921.7952600833628</v>
      </c>
      <c r="I644" s="255" t="e">
        <f>(I629/I612)*BX92</f>
        <v>#DIV/0!</v>
      </c>
      <c r="J644" s="255" t="e">
        <f>(J630/J612)*BX93</f>
        <v>#DIV/0!</v>
      </c>
      <c r="K644" s="257" t="e">
        <f>SUM(C631:J644)</f>
        <v>#DIV/0!</v>
      </c>
      <c r="L644" s="257"/>
      <c r="N644" s="251" t="s">
        <v>579</v>
      </c>
    </row>
    <row r="645" spans="1:14" s="231" customFormat="1" ht="12.6" customHeight="1" x14ac:dyDescent="0.2">
      <c r="A645" s="250">
        <v>8720</v>
      </c>
      <c r="B645" s="254" t="s">
        <v>580</v>
      </c>
      <c r="C645" s="255">
        <f>BY85</f>
        <v>1345244</v>
      </c>
      <c r="D645" s="255">
        <f>(D615/D612)*BY90</f>
        <v>0</v>
      </c>
      <c r="E645" s="257">
        <f>(E623/E612)*SUM(C645:D645)</f>
        <v>402480.3392836352</v>
      </c>
      <c r="F645" s="257">
        <f>(F624/F612)*BY64</f>
        <v>38.487700080517072</v>
      </c>
      <c r="G645" s="255">
        <f>(G625/G612)*BY91</f>
        <v>0</v>
      </c>
      <c r="H645" s="257">
        <f>(H628/H612)*BY60</f>
        <v>3657.0814844752022</v>
      </c>
      <c r="I645" s="255" t="e">
        <f>(I629/I612)*BY92</f>
        <v>#DIV/0!</v>
      </c>
      <c r="J645" s="255" t="e">
        <f>(J630/J612)*BY93</f>
        <v>#DIV/0!</v>
      </c>
      <c r="K645" s="257">
        <v>0</v>
      </c>
      <c r="L645" s="257"/>
      <c r="N645" s="251" t="s">
        <v>581</v>
      </c>
    </row>
    <row r="646" spans="1:14" s="231" customFormat="1" ht="12.6" customHeight="1" x14ac:dyDescent="0.2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 t="e">
        <f>(I629/I612)*BZ92</f>
        <v>#DIV/0!</v>
      </c>
      <c r="J646" s="255" t="e">
        <f>(J630/J612)*BZ93</f>
        <v>#DIV/0!</v>
      </c>
      <c r="K646" s="257">
        <v>0</v>
      </c>
      <c r="L646" s="257"/>
      <c r="N646" s="251" t="s">
        <v>583</v>
      </c>
    </row>
    <row r="647" spans="1:14" s="231" customFormat="1" ht="12.6" customHeight="1" x14ac:dyDescent="0.2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 t="e">
        <f>(I629/I612)*CA92</f>
        <v>#DIV/0!</v>
      </c>
      <c r="J647" s="255" t="e">
        <f>(J630/J612)*CA93</f>
        <v>#DIV/0!</v>
      </c>
      <c r="K647" s="257">
        <v>0</v>
      </c>
      <c r="L647" s="257" t="e">
        <f>SUM(C645:K647)</f>
        <v>#DIV/0!</v>
      </c>
      <c r="N647" s="251" t="s">
        <v>585</v>
      </c>
    </row>
    <row r="648" spans="1:14" s="231" customFormat="1" ht="12.6" customHeight="1" x14ac:dyDescent="0.2">
      <c r="A648" s="250"/>
      <c r="B648" s="250"/>
      <c r="C648" s="231">
        <f>SUM(C614:C647)</f>
        <v>20703605</v>
      </c>
      <c r="L648" s="253"/>
    </row>
    <row r="666" spans="1:14" s="231" customFormat="1" ht="12.6" customHeight="1" x14ac:dyDescent="0.2">
      <c r="C666" s="248" t="s">
        <v>586</v>
      </c>
      <c r="M666" s="248" t="s">
        <v>587</v>
      </c>
    </row>
    <row r="667" spans="1:14" s="231" customFormat="1" ht="12.6" customHeight="1" x14ac:dyDescent="0.2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" customHeight="1" x14ac:dyDescent="0.2">
      <c r="A668" s="250">
        <v>6010</v>
      </c>
      <c r="B668" s="249" t="s">
        <v>315</v>
      </c>
      <c r="C668" s="255">
        <f>C85</f>
        <v>2798780</v>
      </c>
      <c r="D668" s="255">
        <f>(D615/D612)*C90</f>
        <v>42068.431771894095</v>
      </c>
      <c r="E668" s="257">
        <f>(E623/E612)*SUM(C668:D668)</f>
        <v>849946.65701756335</v>
      </c>
      <c r="F668" s="257">
        <f>(F624/F612)*C64</f>
        <v>6589.3417212300492</v>
      </c>
      <c r="G668" s="255">
        <f>(G625/G612)*C91</f>
        <v>185800.91030045701</v>
      </c>
      <c r="H668" s="257">
        <f>(H628/H612)*C60</f>
        <v>7497.984525048365</v>
      </c>
      <c r="I668" s="255" t="e">
        <f>(I629/I612)*C92</f>
        <v>#DIV/0!</v>
      </c>
      <c r="J668" s="255" t="e">
        <f>(J630/J612)*C93</f>
        <v>#DIV/0!</v>
      </c>
      <c r="K668" s="255" t="e">
        <f>(K644/K612)*C89</f>
        <v>#DIV/0!</v>
      </c>
      <c r="L668" s="255" t="e">
        <f>(L647/L612)*C94</f>
        <v>#DIV/0!</v>
      </c>
      <c r="M668" s="231" t="e">
        <f t="shared" ref="M668:M713" si="18">ROUND(SUM(D668:L668),0)</f>
        <v>#DIV/0!</v>
      </c>
      <c r="N668" s="249" t="s">
        <v>589</v>
      </c>
    </row>
    <row r="669" spans="1:14" s="231" customFormat="1" ht="12.6" customHeight="1" x14ac:dyDescent="0.2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 t="e">
        <f>(I629/I612)*D92</f>
        <v>#DIV/0!</v>
      </c>
      <c r="J669" s="255" t="e">
        <f>(J630/J612)*D93</f>
        <v>#DIV/0!</v>
      </c>
      <c r="K669" s="255" t="e">
        <f>(K644/K612)*D89</f>
        <v>#DIV/0!</v>
      </c>
      <c r="L669" s="255" t="e">
        <f>(L647/L612)*D94</f>
        <v>#DIV/0!</v>
      </c>
      <c r="M669" s="231" t="e">
        <f t="shared" si="18"/>
        <v>#DIV/0!</v>
      </c>
      <c r="N669" s="249" t="s">
        <v>590</v>
      </c>
    </row>
    <row r="670" spans="1:14" s="231" customFormat="1" ht="12.6" customHeight="1" x14ac:dyDescent="0.2">
      <c r="A670" s="250">
        <v>6070</v>
      </c>
      <c r="B670" s="249" t="s">
        <v>591</v>
      </c>
      <c r="C670" s="255">
        <f>E85</f>
        <v>3095948.37</v>
      </c>
      <c r="D670" s="255">
        <f>(D615/D612)*E90</f>
        <v>0</v>
      </c>
      <c r="E670" s="257">
        <f>(E623/E612)*SUM(C670:D670)</f>
        <v>926269.39823721012</v>
      </c>
      <c r="F670" s="257">
        <f>(F624/F612)*E64</f>
        <v>1069.5803487688872</v>
      </c>
      <c r="G670" s="255">
        <f>(G625/G612)*E91</f>
        <v>0</v>
      </c>
      <c r="H670" s="257">
        <f>(H628/H612)*E60</f>
        <v>10700.349528649667</v>
      </c>
      <c r="I670" s="255" t="e">
        <f>(I629/I612)*E92</f>
        <v>#DIV/0!</v>
      </c>
      <c r="J670" s="255" t="e">
        <f>(J630/J612)*E93</f>
        <v>#DIV/0!</v>
      </c>
      <c r="K670" s="255" t="e">
        <f>(K644/K612)*E89</f>
        <v>#DIV/0!</v>
      </c>
      <c r="L670" s="255" t="e">
        <f>(L647/L612)*E94</f>
        <v>#DIV/0!</v>
      </c>
      <c r="M670" s="231" t="e">
        <f t="shared" si="18"/>
        <v>#DIV/0!</v>
      </c>
      <c r="N670" s="249" t="s">
        <v>592</v>
      </c>
    </row>
    <row r="671" spans="1:14" s="231" customFormat="1" ht="12.6" customHeight="1" x14ac:dyDescent="0.2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 t="e">
        <f>(I629/I612)*F92</f>
        <v>#DIV/0!</v>
      </c>
      <c r="J671" s="255" t="e">
        <f>(J630/J612)*F93</f>
        <v>#DIV/0!</v>
      </c>
      <c r="K671" s="255" t="e">
        <f>(K644/K612)*F89</f>
        <v>#DIV/0!</v>
      </c>
      <c r="L671" s="255" t="e">
        <f>(L647/L612)*F94</f>
        <v>#DIV/0!</v>
      </c>
      <c r="M671" s="231" t="e">
        <f t="shared" si="18"/>
        <v>#DIV/0!</v>
      </c>
      <c r="N671" s="249" t="s">
        <v>594</v>
      </c>
    </row>
    <row r="672" spans="1:14" s="231" customFormat="1" ht="12.6" customHeight="1" x14ac:dyDescent="0.2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 t="e">
        <f>(I629/I612)*G92</f>
        <v>#DIV/0!</v>
      </c>
      <c r="J672" s="255" t="e">
        <f>(J630/J612)*G93</f>
        <v>#DIV/0!</v>
      </c>
      <c r="K672" s="255" t="e">
        <f>(K644/K612)*G89</f>
        <v>#DIV/0!</v>
      </c>
      <c r="L672" s="255" t="e">
        <f>(L647/L612)*G94</f>
        <v>#DIV/0!</v>
      </c>
      <c r="M672" s="231" t="e">
        <f t="shared" si="18"/>
        <v>#DIV/0!</v>
      </c>
      <c r="N672" s="249" t="s">
        <v>596</v>
      </c>
    </row>
    <row r="673" spans="1:14" s="231" customFormat="1" ht="12.6" customHeight="1" x14ac:dyDescent="0.2">
      <c r="A673" s="250">
        <v>6140</v>
      </c>
      <c r="B673" s="249" t="s">
        <v>597</v>
      </c>
      <c r="C673" s="255">
        <f>H85</f>
        <v>3990804</v>
      </c>
      <c r="D673" s="255">
        <f>(D615/D612)*H90</f>
        <v>67281.445213849278</v>
      </c>
      <c r="E673" s="257">
        <f>(E623/E612)*SUM(C673:D673)</f>
        <v>1214128.8917338802</v>
      </c>
      <c r="F673" s="257">
        <f>(F624/F612)*H64</f>
        <v>863.98699994622677</v>
      </c>
      <c r="G673" s="255">
        <f>(G625/G612)*H91</f>
        <v>598853.34633105644</v>
      </c>
      <c r="H673" s="257">
        <f>(H628/H612)*H60</f>
        <v>27002.41910891611</v>
      </c>
      <c r="I673" s="255" t="e">
        <f>(I629/I612)*H92</f>
        <v>#DIV/0!</v>
      </c>
      <c r="J673" s="255" t="e">
        <f>(J630/J612)*H93</f>
        <v>#DIV/0!</v>
      </c>
      <c r="K673" s="255" t="e">
        <f>(K644/K612)*H89</f>
        <v>#DIV/0!</v>
      </c>
      <c r="L673" s="255" t="e">
        <f>(L647/L612)*H94</f>
        <v>#DIV/0!</v>
      </c>
      <c r="M673" s="231" t="e">
        <f t="shared" si="18"/>
        <v>#DIV/0!</v>
      </c>
      <c r="N673" s="249" t="s">
        <v>598</v>
      </c>
    </row>
    <row r="674" spans="1:14" s="231" customFormat="1" ht="12.6" customHeight="1" x14ac:dyDescent="0.2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 t="e">
        <f>(I629/I612)*I92</f>
        <v>#DIV/0!</v>
      </c>
      <c r="J674" s="255" t="e">
        <f>(J630/J612)*I93</f>
        <v>#DIV/0!</v>
      </c>
      <c r="K674" s="255" t="e">
        <f>(K644/K612)*I89</f>
        <v>#DIV/0!</v>
      </c>
      <c r="L674" s="255" t="e">
        <f>(L647/L612)*I94</f>
        <v>#DIV/0!</v>
      </c>
      <c r="M674" s="231" t="e">
        <f t="shared" si="18"/>
        <v>#DIV/0!</v>
      </c>
      <c r="N674" s="249" t="s">
        <v>600</v>
      </c>
    </row>
    <row r="675" spans="1:14" s="231" customFormat="1" ht="12.6" customHeight="1" x14ac:dyDescent="0.2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 t="e">
        <f>(I629/I612)*J92</f>
        <v>#DIV/0!</v>
      </c>
      <c r="J675" s="255" t="e">
        <f>(J630/J612)*J93</f>
        <v>#DIV/0!</v>
      </c>
      <c r="K675" s="255" t="e">
        <f>(K644/K612)*J89</f>
        <v>#DIV/0!</v>
      </c>
      <c r="L675" s="255" t="e">
        <f>(L647/L612)*J94</f>
        <v>#DIV/0!</v>
      </c>
      <c r="M675" s="231" t="e">
        <f t="shared" si="18"/>
        <v>#DIV/0!</v>
      </c>
      <c r="N675" s="249" t="s">
        <v>601</v>
      </c>
    </row>
    <row r="676" spans="1:14" s="231" customFormat="1" ht="12.6" customHeight="1" x14ac:dyDescent="0.2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 t="e">
        <f>(I629/I612)*K92</f>
        <v>#DIV/0!</v>
      </c>
      <c r="J676" s="255" t="e">
        <f>(J630/J612)*K93</f>
        <v>#DIV/0!</v>
      </c>
      <c r="K676" s="255" t="e">
        <f>(K644/K612)*K89</f>
        <v>#DIV/0!</v>
      </c>
      <c r="L676" s="255" t="e">
        <f>(L647/L612)*K94</f>
        <v>#DIV/0!</v>
      </c>
      <c r="M676" s="231" t="e">
        <f t="shared" si="18"/>
        <v>#DIV/0!</v>
      </c>
      <c r="N676" s="249" t="s">
        <v>602</v>
      </c>
    </row>
    <row r="677" spans="1:14" s="231" customFormat="1" ht="12.6" customHeight="1" x14ac:dyDescent="0.2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 t="e">
        <f>(I629/I612)*L92</f>
        <v>#DIV/0!</v>
      </c>
      <c r="J677" s="255" t="e">
        <f>(J630/J612)*L93</f>
        <v>#DIV/0!</v>
      </c>
      <c r="K677" s="255" t="e">
        <f>(K644/K612)*L89</f>
        <v>#DIV/0!</v>
      </c>
      <c r="L677" s="255" t="e">
        <f>(L647/L612)*L94</f>
        <v>#DIV/0!</v>
      </c>
      <c r="M677" s="231" t="e">
        <f t="shared" si="18"/>
        <v>#DIV/0!</v>
      </c>
      <c r="N677" s="249" t="s">
        <v>603</v>
      </c>
    </row>
    <row r="678" spans="1:14" s="231" customFormat="1" ht="12.6" customHeight="1" x14ac:dyDescent="0.2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 t="e">
        <f>(I629/I612)*M92</f>
        <v>#DIV/0!</v>
      </c>
      <c r="J678" s="255" t="e">
        <f>(J630/J612)*M93</f>
        <v>#DIV/0!</v>
      </c>
      <c r="K678" s="255" t="e">
        <f>(K644/K612)*M89</f>
        <v>#DIV/0!</v>
      </c>
      <c r="L678" s="255" t="e">
        <f>(L647/L612)*M94</f>
        <v>#DIV/0!</v>
      </c>
      <c r="M678" s="231" t="e">
        <f t="shared" si="18"/>
        <v>#DIV/0!</v>
      </c>
      <c r="N678" s="249" t="s">
        <v>605</v>
      </c>
    </row>
    <row r="679" spans="1:14" s="231" customFormat="1" ht="12.6" customHeight="1" x14ac:dyDescent="0.2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 t="e">
        <f>(I629/I612)*N92</f>
        <v>#DIV/0!</v>
      </c>
      <c r="J679" s="255" t="e">
        <f>(J630/J612)*N93</f>
        <v>#DIV/0!</v>
      </c>
      <c r="K679" s="255" t="e">
        <f>(K644/K612)*N89</f>
        <v>#DIV/0!</v>
      </c>
      <c r="L679" s="255" t="e">
        <f>(L647/L612)*N94</f>
        <v>#DIV/0!</v>
      </c>
      <c r="M679" s="231" t="e">
        <f t="shared" si="18"/>
        <v>#DIV/0!</v>
      </c>
      <c r="N679" s="249" t="s">
        <v>607</v>
      </c>
    </row>
    <row r="680" spans="1:14" s="231" customFormat="1" ht="12.6" customHeight="1" x14ac:dyDescent="0.2">
      <c r="A680" s="250">
        <v>7010</v>
      </c>
      <c r="B680" s="249" t="s">
        <v>608</v>
      </c>
      <c r="C680" s="255">
        <f>O85</f>
        <v>2412339.25</v>
      </c>
      <c r="D680" s="255">
        <f>(D615/D612)*O90</f>
        <v>0</v>
      </c>
      <c r="E680" s="257">
        <f>(E623/E612)*SUM(C680:D680)</f>
        <v>721742.01840501069</v>
      </c>
      <c r="F680" s="257">
        <f>(F624/F612)*O64</f>
        <v>2939.9458143568577</v>
      </c>
      <c r="G680" s="255">
        <f>(G625/G612)*O91</f>
        <v>249882.38306426446</v>
      </c>
      <c r="H680" s="257">
        <f>(H628/H612)*O60</f>
        <v>9297.500811059972</v>
      </c>
      <c r="I680" s="255" t="e">
        <f>(I629/I612)*O92</f>
        <v>#DIV/0!</v>
      </c>
      <c r="J680" s="255" t="e">
        <f>(J630/J612)*O93</f>
        <v>#DIV/0!</v>
      </c>
      <c r="K680" s="255" t="e">
        <f>(K644/K612)*O89</f>
        <v>#DIV/0!</v>
      </c>
      <c r="L680" s="255" t="e">
        <f>(L647/L612)*O94</f>
        <v>#DIV/0!</v>
      </c>
      <c r="M680" s="231" t="e">
        <f t="shared" si="18"/>
        <v>#DIV/0!</v>
      </c>
      <c r="N680" s="249" t="s">
        <v>609</v>
      </c>
    </row>
    <row r="681" spans="1:14" s="231" customFormat="1" ht="12.6" customHeight="1" x14ac:dyDescent="0.2">
      <c r="A681" s="250">
        <v>7020</v>
      </c>
      <c r="B681" s="249" t="s">
        <v>610</v>
      </c>
      <c r="C681" s="255">
        <f>P85</f>
        <v>7427640</v>
      </c>
      <c r="D681" s="255">
        <f>(D615/D612)*P90</f>
        <v>81220.118940936867</v>
      </c>
      <c r="E681" s="257">
        <f>(E623/E612)*SUM(C681:D681)</f>
        <v>2246557.9242908391</v>
      </c>
      <c r="F681" s="257">
        <f>(F624/F612)*P64</f>
        <v>91018.428780006361</v>
      </c>
      <c r="G681" s="255">
        <f>(G625/G612)*P91</f>
        <v>0</v>
      </c>
      <c r="H681" s="257">
        <f>(H628/H612)*P60</f>
        <v>30736.899143327297</v>
      </c>
      <c r="I681" s="255" t="e">
        <f>(I629/I612)*P92</f>
        <v>#DIV/0!</v>
      </c>
      <c r="J681" s="255" t="e">
        <f>(J630/J612)*P93</f>
        <v>#DIV/0!</v>
      </c>
      <c r="K681" s="255" t="e">
        <f>(K644/K612)*P89</f>
        <v>#DIV/0!</v>
      </c>
      <c r="L681" s="255" t="e">
        <f>(L647/L612)*P94</f>
        <v>#DIV/0!</v>
      </c>
      <c r="M681" s="231" t="e">
        <f t="shared" si="18"/>
        <v>#DIV/0!</v>
      </c>
      <c r="N681" s="249" t="s">
        <v>611</v>
      </c>
    </row>
    <row r="682" spans="1:14" s="231" customFormat="1" ht="12.6" customHeight="1" x14ac:dyDescent="0.2">
      <c r="A682" s="250">
        <v>7030</v>
      </c>
      <c r="B682" s="249" t="s">
        <v>612</v>
      </c>
      <c r="C682" s="255">
        <f>Q85</f>
        <v>1537274</v>
      </c>
      <c r="D682" s="255">
        <f>(D615/D612)*Q90</f>
        <v>54759.075356415473</v>
      </c>
      <c r="E682" s="257">
        <f>(E623/E612)*SUM(C682:D682)</f>
        <v>476316.57329095638</v>
      </c>
      <c r="F682" s="257">
        <f>(F624/F612)*Q64</f>
        <v>1210.3763006708805</v>
      </c>
      <c r="G682" s="255">
        <f>(G625/G612)*Q91</f>
        <v>0</v>
      </c>
      <c r="H682" s="257">
        <f>(H628/H612)*Q60</f>
        <v>3299.1131910212807</v>
      </c>
      <c r="I682" s="255" t="e">
        <f>(I629/I612)*Q92</f>
        <v>#DIV/0!</v>
      </c>
      <c r="J682" s="255" t="e">
        <f>(J630/J612)*Q93</f>
        <v>#DIV/0!</v>
      </c>
      <c r="K682" s="255" t="e">
        <f>(K644/K612)*Q89</f>
        <v>#DIV/0!</v>
      </c>
      <c r="L682" s="255" t="e">
        <f>(L647/L612)*Q94</f>
        <v>#DIV/0!</v>
      </c>
      <c r="M682" s="231" t="e">
        <f t="shared" si="18"/>
        <v>#DIV/0!</v>
      </c>
      <c r="N682" s="249" t="s">
        <v>613</v>
      </c>
    </row>
    <row r="683" spans="1:14" s="231" customFormat="1" ht="12.6" customHeight="1" x14ac:dyDescent="0.2">
      <c r="A683" s="250">
        <v>7040</v>
      </c>
      <c r="B683" s="249" t="s">
        <v>118</v>
      </c>
      <c r="C683" s="255">
        <f>R85</f>
        <v>748929</v>
      </c>
      <c r="D683" s="255">
        <f>(D615/D612)*R90</f>
        <v>2243.6496945010181</v>
      </c>
      <c r="E683" s="257">
        <f>(E623/E612)*SUM(C683:D683)</f>
        <v>224741.55090796173</v>
      </c>
      <c r="F683" s="257">
        <f>(F624/F612)*R64</f>
        <v>347.36614590436221</v>
      </c>
      <c r="G683" s="255">
        <f>(G625/G612)*R91</f>
        <v>0</v>
      </c>
      <c r="H683" s="257">
        <f>(H628/H612)*R60</f>
        <v>0</v>
      </c>
      <c r="I683" s="255" t="e">
        <f>(I629/I612)*R92</f>
        <v>#DIV/0!</v>
      </c>
      <c r="J683" s="255" t="e">
        <f>(J630/J612)*R93</f>
        <v>#DIV/0!</v>
      </c>
      <c r="K683" s="255" t="e">
        <f>(K644/K612)*R89</f>
        <v>#DIV/0!</v>
      </c>
      <c r="L683" s="255" t="e">
        <f>(L647/L612)*R94</f>
        <v>#DIV/0!</v>
      </c>
      <c r="M683" s="231" t="e">
        <f t="shared" si="18"/>
        <v>#DIV/0!</v>
      </c>
      <c r="N683" s="249" t="s">
        <v>614</v>
      </c>
    </row>
    <row r="684" spans="1:14" s="231" customFormat="1" ht="12.6" customHeight="1" x14ac:dyDescent="0.2">
      <c r="A684" s="250">
        <v>7050</v>
      </c>
      <c r="B684" s="249" t="s">
        <v>615</v>
      </c>
      <c r="C684" s="255">
        <f>S85</f>
        <v>21196</v>
      </c>
      <c r="D684" s="255">
        <f>(D615/D612)*S90</f>
        <v>0</v>
      </c>
      <c r="E684" s="257">
        <f>(E623/E612)*SUM(C684:D684)</f>
        <v>6341.5806139673787</v>
      </c>
      <c r="F684" s="257">
        <f>(F624/F612)*S64</f>
        <v>-149.29450496545752</v>
      </c>
      <c r="G684" s="255">
        <f>(G625/G612)*S91</f>
        <v>0</v>
      </c>
      <c r="H684" s="257">
        <f>(H628/H612)*S60</f>
        <v>0</v>
      </c>
      <c r="I684" s="255" t="e">
        <f>(I629/I612)*S92</f>
        <v>#DIV/0!</v>
      </c>
      <c r="J684" s="255" t="e">
        <f>(J630/J612)*S93</f>
        <v>#DIV/0!</v>
      </c>
      <c r="K684" s="255" t="e">
        <f>(K644/K612)*S89</f>
        <v>#DIV/0!</v>
      </c>
      <c r="L684" s="255" t="e">
        <f>(L647/L612)*S94</f>
        <v>#DIV/0!</v>
      </c>
      <c r="M684" s="231" t="e">
        <f t="shared" si="18"/>
        <v>#DIV/0!</v>
      </c>
      <c r="N684" s="249" t="s">
        <v>616</v>
      </c>
    </row>
    <row r="685" spans="1:14" s="231" customFormat="1" ht="12.6" customHeight="1" x14ac:dyDescent="0.2">
      <c r="A685" s="250">
        <v>7060</v>
      </c>
      <c r="B685" s="249" t="s">
        <v>617</v>
      </c>
      <c r="C685" s="255">
        <f>T85</f>
        <v>258</v>
      </c>
      <c r="D685" s="255">
        <f>(D615/D612)*T90</f>
        <v>0</v>
      </c>
      <c r="E685" s="257">
        <f>(E623/E612)*SUM(C685:D685)</f>
        <v>77.190403774466105</v>
      </c>
      <c r="F685" s="257">
        <f>(F624/F612)*T64</f>
        <v>-11.461650108580381</v>
      </c>
      <c r="G685" s="255">
        <f>(G625/G612)*T91</f>
        <v>0</v>
      </c>
      <c r="H685" s="257">
        <f>(H628/H612)*T60</f>
        <v>0</v>
      </c>
      <c r="I685" s="255" t="e">
        <f>(I629/I612)*T92</f>
        <v>#DIV/0!</v>
      </c>
      <c r="J685" s="255" t="e">
        <f>(J630/J612)*T93</f>
        <v>#DIV/0!</v>
      </c>
      <c r="K685" s="255" t="e">
        <f>(K644/K612)*T89</f>
        <v>#DIV/0!</v>
      </c>
      <c r="L685" s="255" t="e">
        <f>(L647/L612)*T94</f>
        <v>#DIV/0!</v>
      </c>
      <c r="M685" s="231" t="e">
        <f t="shared" si="18"/>
        <v>#DIV/0!</v>
      </c>
      <c r="N685" s="249" t="s">
        <v>618</v>
      </c>
    </row>
    <row r="686" spans="1:14" s="231" customFormat="1" ht="12.6" customHeight="1" x14ac:dyDescent="0.2">
      <c r="A686" s="250">
        <v>7070</v>
      </c>
      <c r="B686" s="249" t="s">
        <v>121</v>
      </c>
      <c r="C686" s="255">
        <f>U85</f>
        <v>3374071</v>
      </c>
      <c r="D686" s="255">
        <f>(D615/D612)*U90</f>
        <v>38436.523828920566</v>
      </c>
      <c r="E686" s="257">
        <f>(E623/E612)*SUM(C686:D686)</f>
        <v>1020979.9753789066</v>
      </c>
      <c r="F686" s="257">
        <f>(F624/F612)*U64</f>
        <v>24586.281451096605</v>
      </c>
      <c r="G686" s="255">
        <f>(G625/G612)*U91</f>
        <v>0</v>
      </c>
      <c r="H686" s="257">
        <f>(H628/H612)*U60</f>
        <v>17143.778810820259</v>
      </c>
      <c r="I686" s="255" t="e">
        <f>(I629/I612)*U92</f>
        <v>#DIV/0!</v>
      </c>
      <c r="J686" s="255" t="e">
        <f>(J630/J612)*U93</f>
        <v>#DIV/0!</v>
      </c>
      <c r="K686" s="255" t="e">
        <f>(K644/K612)*U89</f>
        <v>#DIV/0!</v>
      </c>
      <c r="L686" s="255" t="e">
        <f>(L647/L612)*U94</f>
        <v>#DIV/0!</v>
      </c>
      <c r="M686" s="231" t="e">
        <f t="shared" si="18"/>
        <v>#DIV/0!</v>
      </c>
      <c r="N686" s="249" t="s">
        <v>619</v>
      </c>
    </row>
    <row r="687" spans="1:14" s="231" customFormat="1" ht="12.6" customHeight="1" x14ac:dyDescent="0.2">
      <c r="A687" s="250">
        <v>7110</v>
      </c>
      <c r="B687" s="249" t="s">
        <v>620</v>
      </c>
      <c r="C687" s="255">
        <f>V85</f>
        <v>87041</v>
      </c>
      <c r="D687" s="255">
        <f>(D615/D612)*V90</f>
        <v>0</v>
      </c>
      <c r="E687" s="257">
        <f>(E623/E612)*SUM(C687:D687)</f>
        <v>26041.588895090328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 t="e">
        <f>(I629/I612)*V92</f>
        <v>#DIV/0!</v>
      </c>
      <c r="J687" s="255" t="e">
        <f>(J630/J612)*V93</f>
        <v>#DIV/0!</v>
      </c>
      <c r="K687" s="255" t="e">
        <f>(K644/K612)*V89</f>
        <v>#DIV/0!</v>
      </c>
      <c r="L687" s="255" t="e">
        <f>(L647/L612)*V94</f>
        <v>#DIV/0!</v>
      </c>
      <c r="M687" s="231" t="e">
        <f t="shared" si="18"/>
        <v>#DIV/0!</v>
      </c>
      <c r="N687" s="249" t="s">
        <v>621</v>
      </c>
    </row>
    <row r="688" spans="1:14" s="231" customFormat="1" ht="12.6" customHeight="1" x14ac:dyDescent="0.2">
      <c r="A688" s="250">
        <v>7120</v>
      </c>
      <c r="B688" s="249" t="s">
        <v>622</v>
      </c>
      <c r="C688" s="255">
        <f>W85</f>
        <v>300109</v>
      </c>
      <c r="D688" s="255">
        <f>(D615/D612)*W90</f>
        <v>0</v>
      </c>
      <c r="E688" s="257">
        <f>(E623/E612)*SUM(C688:D688)</f>
        <v>89788.894908338174</v>
      </c>
      <c r="F688" s="257">
        <f>(F624/F612)*W64</f>
        <v>14.880608237560324</v>
      </c>
      <c r="G688" s="255">
        <f>(G625/G612)*W91</f>
        <v>0</v>
      </c>
      <c r="H688" s="257">
        <f>(H628/H612)*W60</f>
        <v>67.72373119398523</v>
      </c>
      <c r="I688" s="255" t="e">
        <f>(I629/I612)*W92</f>
        <v>#DIV/0!</v>
      </c>
      <c r="J688" s="255" t="e">
        <f>(J630/J612)*W93</f>
        <v>#DIV/0!</v>
      </c>
      <c r="K688" s="255" t="e">
        <f>(K644/K612)*W89</f>
        <v>#DIV/0!</v>
      </c>
      <c r="L688" s="255" t="e">
        <f>(L647/L612)*W94</f>
        <v>#DIV/0!</v>
      </c>
      <c r="M688" s="231" t="e">
        <f t="shared" si="18"/>
        <v>#DIV/0!</v>
      </c>
      <c r="N688" s="249" t="s">
        <v>623</v>
      </c>
    </row>
    <row r="689" spans="1:14" s="231" customFormat="1" ht="12.6" customHeight="1" x14ac:dyDescent="0.2">
      <c r="A689" s="250">
        <v>7130</v>
      </c>
      <c r="B689" s="249" t="s">
        <v>624</v>
      </c>
      <c r="C689" s="255">
        <f>X85</f>
        <v>117190</v>
      </c>
      <c r="D689" s="255">
        <f>(D615/D612)*X90</f>
        <v>0</v>
      </c>
      <c r="E689" s="257">
        <f>(E623/E612)*SUM(C689:D689)</f>
        <v>35061.796195076291</v>
      </c>
      <c r="F689" s="257">
        <f>(F624/F612)*X64</f>
        <v>866.29886687153692</v>
      </c>
      <c r="G689" s="255">
        <f>(G625/G612)*X91</f>
        <v>0</v>
      </c>
      <c r="H689" s="257">
        <f>(H628/H612)*X60</f>
        <v>870.73368677981011</v>
      </c>
      <c r="I689" s="255" t="e">
        <f>(I629/I612)*X92</f>
        <v>#DIV/0!</v>
      </c>
      <c r="J689" s="255" t="e">
        <f>(J630/J612)*X93</f>
        <v>#DIV/0!</v>
      </c>
      <c r="K689" s="255" t="e">
        <f>(K644/K612)*X89</f>
        <v>#DIV/0!</v>
      </c>
      <c r="L689" s="255" t="e">
        <f>(L647/L612)*X94</f>
        <v>#DIV/0!</v>
      </c>
      <c r="M689" s="231" t="e">
        <f t="shared" si="18"/>
        <v>#DIV/0!</v>
      </c>
      <c r="N689" s="249" t="s">
        <v>625</v>
      </c>
    </row>
    <row r="690" spans="1:14" s="231" customFormat="1" ht="12.6" customHeight="1" x14ac:dyDescent="0.2">
      <c r="A690" s="250">
        <v>7140</v>
      </c>
      <c r="B690" s="249" t="s">
        <v>626</v>
      </c>
      <c r="C690" s="255">
        <f>Y85</f>
        <v>1490919</v>
      </c>
      <c r="D690" s="255">
        <f>(D615/D612)*Y90</f>
        <v>57185.021588594704</v>
      </c>
      <c r="E690" s="257">
        <f>(E623/E612)*SUM(C690:D690)</f>
        <v>463173.54461743572</v>
      </c>
      <c r="F690" s="257">
        <f>(F624/F612)*Y64</f>
        <v>658.62158166549818</v>
      </c>
      <c r="G690" s="255">
        <f>(G625/G612)*Y91</f>
        <v>0</v>
      </c>
      <c r="H690" s="257">
        <f>(H628/H612)*Y60</f>
        <v>14947.59495638674</v>
      </c>
      <c r="I690" s="255" t="e">
        <f>(I629/I612)*Y92</f>
        <v>#DIV/0!</v>
      </c>
      <c r="J690" s="255" t="e">
        <f>(J630/J612)*Y93</f>
        <v>#DIV/0!</v>
      </c>
      <c r="K690" s="255" t="e">
        <f>(K644/K612)*Y89</f>
        <v>#DIV/0!</v>
      </c>
      <c r="L690" s="255" t="e">
        <f>(L647/L612)*Y94</f>
        <v>#DIV/0!</v>
      </c>
      <c r="M690" s="231" t="e">
        <f t="shared" si="18"/>
        <v>#DIV/0!</v>
      </c>
      <c r="N690" s="249" t="s">
        <v>627</v>
      </c>
    </row>
    <row r="691" spans="1:14" s="231" customFormat="1" ht="12.6" customHeight="1" x14ac:dyDescent="0.2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 t="e">
        <f>(I629/I612)*Z92</f>
        <v>#DIV/0!</v>
      </c>
      <c r="J691" s="255" t="e">
        <f>(J630/J612)*Z93</f>
        <v>#DIV/0!</v>
      </c>
      <c r="K691" s="255" t="e">
        <f>(K644/K612)*Z89</f>
        <v>#DIV/0!</v>
      </c>
      <c r="L691" s="255" t="e">
        <f>(L647/L612)*Z94</f>
        <v>#DIV/0!</v>
      </c>
      <c r="M691" s="231" t="e">
        <f t="shared" si="18"/>
        <v>#DIV/0!</v>
      </c>
      <c r="N691" s="249" t="s">
        <v>629</v>
      </c>
    </row>
    <row r="692" spans="1:14" s="231" customFormat="1" ht="12.6" customHeight="1" x14ac:dyDescent="0.2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 t="e">
        <f>(I629/I612)*AA92</f>
        <v>#DIV/0!</v>
      </c>
      <c r="J692" s="255" t="e">
        <f>(J630/J612)*AA93</f>
        <v>#DIV/0!</v>
      </c>
      <c r="K692" s="255" t="e">
        <f>(K644/K612)*AA89</f>
        <v>#DIV/0!</v>
      </c>
      <c r="L692" s="255" t="e">
        <f>(L647/L612)*AA94</f>
        <v>#DIV/0!</v>
      </c>
      <c r="M692" s="231" t="e">
        <f t="shared" si="18"/>
        <v>#DIV/0!</v>
      </c>
      <c r="N692" s="249" t="s">
        <v>631</v>
      </c>
    </row>
    <row r="693" spans="1:14" s="231" customFormat="1" ht="12.6" customHeight="1" x14ac:dyDescent="0.2">
      <c r="A693" s="250">
        <v>7170</v>
      </c>
      <c r="B693" s="249" t="s">
        <v>127</v>
      </c>
      <c r="C693" s="255">
        <f>AB85</f>
        <v>1780193</v>
      </c>
      <c r="D693" s="255">
        <f>(D615/D612)*AB90</f>
        <v>14892.224847250509</v>
      </c>
      <c r="E693" s="257">
        <f>(E623/E612)*SUM(C693:D693)</f>
        <v>537067.2609129363</v>
      </c>
      <c r="F693" s="257">
        <f>(F624/F612)*AB64</f>
        <v>29606.484198654813</v>
      </c>
      <c r="G693" s="255">
        <f>(G625/G612)*AB91</f>
        <v>0</v>
      </c>
      <c r="H693" s="257">
        <f>(H628/H612)*AB60</f>
        <v>4682.6122711269782</v>
      </c>
      <c r="I693" s="255" t="e">
        <f>(I629/I612)*AB92</f>
        <v>#DIV/0!</v>
      </c>
      <c r="J693" s="255" t="e">
        <f>(J630/J612)*AB93</f>
        <v>#DIV/0!</v>
      </c>
      <c r="K693" s="255" t="e">
        <f>(K644/K612)*AB89</f>
        <v>#DIV/0!</v>
      </c>
      <c r="L693" s="255" t="e">
        <f>(L647/L612)*AB94</f>
        <v>#DIV/0!</v>
      </c>
      <c r="M693" s="231" t="e">
        <f t="shared" si="18"/>
        <v>#DIV/0!</v>
      </c>
      <c r="N693" s="249" t="s">
        <v>632</v>
      </c>
    </row>
    <row r="694" spans="1:14" s="231" customFormat="1" ht="12.6" customHeight="1" x14ac:dyDescent="0.2">
      <c r="A694" s="250">
        <v>7180</v>
      </c>
      <c r="B694" s="249" t="s">
        <v>633</v>
      </c>
      <c r="C694" s="255">
        <f>AC85</f>
        <v>763887</v>
      </c>
      <c r="D694" s="255">
        <f>(D615/D612)*AC90</f>
        <v>11807.206517311608</v>
      </c>
      <c r="E694" s="257">
        <f>(E623/E612)*SUM(C694:D694)</f>
        <v>232078.09692474955</v>
      </c>
      <c r="F694" s="257">
        <f>(F624/F612)*AC64</f>
        <v>1144.1787589926307</v>
      </c>
      <c r="G694" s="255">
        <f>(G625/G612)*AC91</f>
        <v>0</v>
      </c>
      <c r="H694" s="257">
        <f>(H628/H612)*AC60</f>
        <v>464.39129961589867</v>
      </c>
      <c r="I694" s="255" t="e">
        <f>(I629/I612)*AC92</f>
        <v>#DIV/0!</v>
      </c>
      <c r="J694" s="255" t="e">
        <f>(J630/J612)*AC93</f>
        <v>#DIV/0!</v>
      </c>
      <c r="K694" s="255" t="e">
        <f>(K644/K612)*AC89</f>
        <v>#DIV/0!</v>
      </c>
      <c r="L694" s="255" t="e">
        <f>(L647/L612)*AC94</f>
        <v>#DIV/0!</v>
      </c>
      <c r="M694" s="231" t="e">
        <f t="shared" si="18"/>
        <v>#DIV/0!</v>
      </c>
      <c r="N694" s="249" t="s">
        <v>634</v>
      </c>
    </row>
    <row r="695" spans="1:14" s="231" customFormat="1" ht="12.6" customHeight="1" x14ac:dyDescent="0.2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 t="e">
        <f>(I629/I612)*AD92</f>
        <v>#DIV/0!</v>
      </c>
      <c r="J695" s="255" t="e">
        <f>(J630/J612)*AD93</f>
        <v>#DIV/0!</v>
      </c>
      <c r="K695" s="255" t="e">
        <f>(K644/K612)*AD89</f>
        <v>#DIV/0!</v>
      </c>
      <c r="L695" s="255" t="e">
        <f>(L647/L612)*AD94</f>
        <v>#DIV/0!</v>
      </c>
      <c r="M695" s="231" t="e">
        <f t="shared" si="18"/>
        <v>#DIV/0!</v>
      </c>
      <c r="N695" s="249" t="s">
        <v>635</v>
      </c>
    </row>
    <row r="696" spans="1:14" s="231" customFormat="1" ht="12.6" customHeight="1" x14ac:dyDescent="0.2">
      <c r="A696" s="250">
        <v>7200</v>
      </c>
      <c r="B696" s="249" t="s">
        <v>636</v>
      </c>
      <c r="C696" s="255">
        <f>AE85</f>
        <v>165682</v>
      </c>
      <c r="D696" s="255">
        <f>(D615/D612)*AE90</f>
        <v>19071.022403258656</v>
      </c>
      <c r="E696" s="257">
        <f>(E623/E612)*SUM(C696:D696)</f>
        <v>55275.815495583403</v>
      </c>
      <c r="F696" s="257">
        <f>(F624/F612)*AE64</f>
        <v>63.560059693036656</v>
      </c>
      <c r="G696" s="255">
        <f>(G625/G612)*AE91</f>
        <v>0</v>
      </c>
      <c r="H696" s="257">
        <f>(H628/H612)*AE60</f>
        <v>773.98549935983124</v>
      </c>
      <c r="I696" s="255" t="e">
        <f>(I629/I612)*AE92</f>
        <v>#DIV/0!</v>
      </c>
      <c r="J696" s="255" t="e">
        <f>(J630/J612)*AE93</f>
        <v>#DIV/0!</v>
      </c>
      <c r="K696" s="255" t="e">
        <f>(K644/K612)*AE89</f>
        <v>#DIV/0!</v>
      </c>
      <c r="L696" s="255" t="e">
        <f>(L647/L612)*AE94</f>
        <v>#DIV/0!</v>
      </c>
      <c r="M696" s="231" t="e">
        <f t="shared" si="18"/>
        <v>#DIV/0!</v>
      </c>
      <c r="N696" s="249" t="s">
        <v>637</v>
      </c>
    </row>
    <row r="697" spans="1:14" s="231" customFormat="1" ht="12.6" customHeight="1" x14ac:dyDescent="0.2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 t="e">
        <f>(I629/I612)*AF92</f>
        <v>#DIV/0!</v>
      </c>
      <c r="J697" s="255" t="e">
        <f>(J630/J612)*AF93</f>
        <v>#DIV/0!</v>
      </c>
      <c r="K697" s="255" t="e">
        <f>(K644/K612)*AF89</f>
        <v>#DIV/0!</v>
      </c>
      <c r="L697" s="255" t="e">
        <f>(L647/L612)*AF94</f>
        <v>#DIV/0!</v>
      </c>
      <c r="M697" s="231" t="e">
        <f t="shared" si="18"/>
        <v>#DIV/0!</v>
      </c>
      <c r="N697" s="249" t="s">
        <v>639</v>
      </c>
    </row>
    <row r="698" spans="1:14" s="231" customFormat="1" ht="12.6" customHeight="1" x14ac:dyDescent="0.2">
      <c r="A698" s="250">
        <v>7230</v>
      </c>
      <c r="B698" s="249" t="s">
        <v>640</v>
      </c>
      <c r="C698" s="255">
        <f>AG85</f>
        <v>5687947.4399999995</v>
      </c>
      <c r="D698" s="255">
        <f>(D615/D612)*AG90</f>
        <v>64869.52179226069</v>
      </c>
      <c r="E698" s="257">
        <f>(E623/E612)*SUM(C698:D698)</f>
        <v>1721171.5663617905</v>
      </c>
      <c r="F698" s="257">
        <f>(F624/F612)*AG64</f>
        <v>8522.9416314511527</v>
      </c>
      <c r="G698" s="255">
        <f>(G625/G612)*AG91</f>
        <v>0</v>
      </c>
      <c r="H698" s="257">
        <f>(H628/H612)*AG60</f>
        <v>19107.767015445832</v>
      </c>
      <c r="I698" s="255" t="e">
        <f>(I629/I612)*AG92</f>
        <v>#DIV/0!</v>
      </c>
      <c r="J698" s="255" t="e">
        <f>(J630/J612)*AG93</f>
        <v>#DIV/0!</v>
      </c>
      <c r="K698" s="255" t="e">
        <f>(K644/K612)*AG89</f>
        <v>#DIV/0!</v>
      </c>
      <c r="L698" s="255" t="e">
        <f>(L647/L612)*AG94</f>
        <v>#DIV/0!</v>
      </c>
      <c r="M698" s="231" t="e">
        <f t="shared" si="18"/>
        <v>#DIV/0!</v>
      </c>
      <c r="N698" s="249" t="s">
        <v>641</v>
      </c>
    </row>
    <row r="699" spans="1:14" s="231" customFormat="1" ht="12.6" customHeight="1" x14ac:dyDescent="0.2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 t="e">
        <f>(I629/I612)*AH92</f>
        <v>#DIV/0!</v>
      </c>
      <c r="J699" s="255" t="e">
        <f>(J630/J612)*AH93</f>
        <v>#DIV/0!</v>
      </c>
      <c r="K699" s="255" t="e">
        <f>(K644/K612)*AH89</f>
        <v>#DIV/0!</v>
      </c>
      <c r="L699" s="255" t="e">
        <f>(L647/L612)*AH94</f>
        <v>#DIV/0!</v>
      </c>
      <c r="M699" s="231" t="e">
        <f t="shared" si="18"/>
        <v>#DIV/0!</v>
      </c>
      <c r="N699" s="249" t="s">
        <v>642</v>
      </c>
    </row>
    <row r="700" spans="1:14" s="231" customFormat="1" ht="12.6" customHeight="1" x14ac:dyDescent="0.2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 t="e">
        <f>(I629/I612)*AI92</f>
        <v>#DIV/0!</v>
      </c>
      <c r="J700" s="255" t="e">
        <f>(J630/J612)*AI93</f>
        <v>#DIV/0!</v>
      </c>
      <c r="K700" s="255" t="e">
        <f>(K644/K612)*AI89</f>
        <v>#DIV/0!</v>
      </c>
      <c r="L700" s="255" t="e">
        <f>(L647/L612)*AI94</f>
        <v>#DIV/0!</v>
      </c>
      <c r="M700" s="231" t="e">
        <f t="shared" si="18"/>
        <v>#DIV/0!</v>
      </c>
      <c r="N700" s="249" t="s">
        <v>644</v>
      </c>
    </row>
    <row r="701" spans="1:14" s="231" customFormat="1" ht="12.6" customHeight="1" x14ac:dyDescent="0.2">
      <c r="A701" s="250">
        <v>7260</v>
      </c>
      <c r="B701" s="249" t="s">
        <v>133</v>
      </c>
      <c r="C701" s="255">
        <f>AJ85</f>
        <v>8410754</v>
      </c>
      <c r="D701" s="255">
        <f>(D615/D612)*AJ90</f>
        <v>0</v>
      </c>
      <c r="E701" s="257">
        <f>(E623/E612)*SUM(C701:D701)</f>
        <v>2516393.4004174648</v>
      </c>
      <c r="F701" s="257">
        <f>(F624/F612)*AJ64</f>
        <v>9028.4915734563201</v>
      </c>
      <c r="G701" s="255">
        <f>(G625/G612)*AJ91</f>
        <v>0</v>
      </c>
      <c r="H701" s="257">
        <f>(H628/H612)*AJ60</f>
        <v>51363.6127012668</v>
      </c>
      <c r="I701" s="255" t="e">
        <f>(I629/I612)*AJ92</f>
        <v>#DIV/0!</v>
      </c>
      <c r="J701" s="255" t="e">
        <f>(J630/J612)*AJ93</f>
        <v>#DIV/0!</v>
      </c>
      <c r="K701" s="255" t="e">
        <f>(K644/K612)*AJ89</f>
        <v>#DIV/0!</v>
      </c>
      <c r="L701" s="255" t="e">
        <f>(L647/L612)*AJ94</f>
        <v>#DIV/0!</v>
      </c>
      <c r="M701" s="231" t="e">
        <f t="shared" si="18"/>
        <v>#DIV/0!</v>
      </c>
      <c r="N701" s="249" t="s">
        <v>645</v>
      </c>
    </row>
    <row r="702" spans="1:14" s="231" customFormat="1" ht="12.6" customHeight="1" x14ac:dyDescent="0.2">
      <c r="A702" s="250">
        <v>7310</v>
      </c>
      <c r="B702" s="249" t="s">
        <v>646</v>
      </c>
      <c r="C702" s="255">
        <f>AK85</f>
        <v>3364</v>
      </c>
      <c r="D702" s="255">
        <f>(D615/D612)*AK90</f>
        <v>0</v>
      </c>
      <c r="E702" s="257">
        <f>(E623/E612)*SUM(C702:D702)</f>
        <v>1006.4671251833488</v>
      </c>
      <c r="F702" s="257">
        <f>(F624/F612)*AK64</f>
        <v>0.32561505990285172</v>
      </c>
      <c r="G702" s="255">
        <f>(G625/G612)*AK91</f>
        <v>0</v>
      </c>
      <c r="H702" s="257">
        <f>(H628/H612)*AK60</f>
        <v>29.024456225993667</v>
      </c>
      <c r="I702" s="255" t="e">
        <f>(I629/I612)*AK92</f>
        <v>#DIV/0!</v>
      </c>
      <c r="J702" s="255" t="e">
        <f>(J630/J612)*AK93</f>
        <v>#DIV/0!</v>
      </c>
      <c r="K702" s="255" t="e">
        <f>(K644/K612)*AK89</f>
        <v>#DIV/0!</v>
      </c>
      <c r="L702" s="255" t="e">
        <f>(L647/L612)*AK94</f>
        <v>#DIV/0!</v>
      </c>
      <c r="M702" s="231" t="e">
        <f t="shared" si="18"/>
        <v>#DIV/0!</v>
      </c>
      <c r="N702" s="249" t="s">
        <v>647</v>
      </c>
    </row>
    <row r="703" spans="1:14" s="231" customFormat="1" ht="12.6" customHeight="1" x14ac:dyDescent="0.2">
      <c r="A703" s="250">
        <v>7320</v>
      </c>
      <c r="B703" s="249" t="s">
        <v>648</v>
      </c>
      <c r="C703" s="255">
        <f>AL85</f>
        <v>8192</v>
      </c>
      <c r="D703" s="255">
        <f>(D615/D612)*AL90</f>
        <v>0</v>
      </c>
      <c r="E703" s="257">
        <f>(E623/E612)*SUM(C703:D703)</f>
        <v>2450.9449136450635</v>
      </c>
      <c r="F703" s="257">
        <f>(F624/F612)*AL64</f>
        <v>0</v>
      </c>
      <c r="G703" s="255">
        <f>(G625/G612)*AL91</f>
        <v>0</v>
      </c>
      <c r="H703" s="257">
        <f>(H628/H612)*AL60</f>
        <v>58.048912451987334</v>
      </c>
      <c r="I703" s="255" t="e">
        <f>(I629/I612)*AL92</f>
        <v>#DIV/0!</v>
      </c>
      <c r="J703" s="255" t="e">
        <f>(J630/J612)*AL93</f>
        <v>#DIV/0!</v>
      </c>
      <c r="K703" s="255" t="e">
        <f>(K644/K612)*AL89</f>
        <v>#DIV/0!</v>
      </c>
      <c r="L703" s="255" t="e">
        <f>(L647/L612)*AL94</f>
        <v>#DIV/0!</v>
      </c>
      <c r="M703" s="231" t="e">
        <f t="shared" si="18"/>
        <v>#DIV/0!</v>
      </c>
      <c r="N703" s="249" t="s">
        <v>649</v>
      </c>
    </row>
    <row r="704" spans="1:14" s="231" customFormat="1" ht="12.6" customHeight="1" x14ac:dyDescent="0.2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 t="e">
        <f>(I629/I612)*AM92</f>
        <v>#DIV/0!</v>
      </c>
      <c r="J704" s="255" t="e">
        <f>(J630/J612)*AM93</f>
        <v>#DIV/0!</v>
      </c>
      <c r="K704" s="255" t="e">
        <f>(K644/K612)*AM89</f>
        <v>#DIV/0!</v>
      </c>
      <c r="L704" s="255" t="e">
        <f>(L647/L612)*AM94</f>
        <v>#DIV/0!</v>
      </c>
      <c r="M704" s="231" t="e">
        <f t="shared" si="18"/>
        <v>#DIV/0!</v>
      </c>
      <c r="N704" s="249" t="s">
        <v>651</v>
      </c>
    </row>
    <row r="705" spans="1:14" s="231" customFormat="1" ht="12.6" customHeight="1" x14ac:dyDescent="0.2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 t="e">
        <f>(I629/I612)*AN92</f>
        <v>#DIV/0!</v>
      </c>
      <c r="J705" s="255" t="e">
        <f>(J630/J612)*AN93</f>
        <v>#DIV/0!</v>
      </c>
      <c r="K705" s="255" t="e">
        <f>(K644/K612)*AN89</f>
        <v>#DIV/0!</v>
      </c>
      <c r="L705" s="255" t="e">
        <f>(L647/L612)*AN94</f>
        <v>#DIV/0!</v>
      </c>
      <c r="M705" s="231" t="e">
        <f t="shared" si="18"/>
        <v>#DIV/0!</v>
      </c>
      <c r="N705" s="249" t="s">
        <v>653</v>
      </c>
    </row>
    <row r="706" spans="1:14" s="231" customFormat="1" ht="12.6" customHeight="1" x14ac:dyDescent="0.2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 t="e">
        <f>(I629/I612)*AO92</f>
        <v>#DIV/0!</v>
      </c>
      <c r="J706" s="255" t="e">
        <f>(J630/J612)*AO93</f>
        <v>#DIV/0!</v>
      </c>
      <c r="K706" s="255" t="e">
        <f>(K644/K612)*AO89</f>
        <v>#DIV/0!</v>
      </c>
      <c r="L706" s="255" t="e">
        <f>(L647/L612)*AO94</f>
        <v>#DIV/0!</v>
      </c>
      <c r="M706" s="231" t="e">
        <f t="shared" si="18"/>
        <v>#DIV/0!</v>
      </c>
      <c r="N706" s="249" t="s">
        <v>655</v>
      </c>
    </row>
    <row r="707" spans="1:14" s="231" customFormat="1" ht="12.6" customHeight="1" x14ac:dyDescent="0.2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 t="e">
        <f>(I629/I612)*AP92</f>
        <v>#DIV/0!</v>
      </c>
      <c r="J707" s="255" t="e">
        <f>(J630/J612)*AP93</f>
        <v>#DIV/0!</v>
      </c>
      <c r="K707" s="255" t="e">
        <f>(K644/K612)*AP89</f>
        <v>#DIV/0!</v>
      </c>
      <c r="L707" s="255" t="e">
        <f>(L647/L612)*AP94</f>
        <v>#DIV/0!</v>
      </c>
      <c r="M707" s="231" t="e">
        <f t="shared" si="18"/>
        <v>#DIV/0!</v>
      </c>
      <c r="N707" s="249" t="s">
        <v>657</v>
      </c>
    </row>
    <row r="708" spans="1:14" s="231" customFormat="1" ht="12.6" customHeight="1" x14ac:dyDescent="0.2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 t="e">
        <f>(I629/I612)*AQ92</f>
        <v>#DIV/0!</v>
      </c>
      <c r="J708" s="255" t="e">
        <f>(J630/J612)*AQ93</f>
        <v>#DIV/0!</v>
      </c>
      <c r="K708" s="255" t="e">
        <f>(K644/K612)*AQ89</f>
        <v>#DIV/0!</v>
      </c>
      <c r="L708" s="255" t="e">
        <f>(L647/L612)*AQ94</f>
        <v>#DIV/0!</v>
      </c>
      <c r="M708" s="231" t="e">
        <f t="shared" si="18"/>
        <v>#DIV/0!</v>
      </c>
      <c r="N708" s="249" t="s">
        <v>659</v>
      </c>
    </row>
    <row r="709" spans="1:14" s="231" customFormat="1" ht="12.6" customHeight="1" x14ac:dyDescent="0.2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 t="e">
        <f>(I629/I612)*AR92</f>
        <v>#DIV/0!</v>
      </c>
      <c r="J709" s="255" t="e">
        <f>(J630/J612)*AR93</f>
        <v>#DIV/0!</v>
      </c>
      <c r="K709" s="255" t="e">
        <f>(K644/K612)*AR89</f>
        <v>#DIV/0!</v>
      </c>
      <c r="L709" s="255" t="e">
        <f>(L647/L612)*AR94</f>
        <v>#DIV/0!</v>
      </c>
      <c r="M709" s="231" t="e">
        <f t="shared" si="18"/>
        <v>#DIV/0!</v>
      </c>
      <c r="N709" s="249" t="s">
        <v>661</v>
      </c>
    </row>
    <row r="710" spans="1:14" s="231" customFormat="1" ht="12.6" customHeight="1" x14ac:dyDescent="0.2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 t="e">
        <f>(I629/I612)*AS92</f>
        <v>#DIV/0!</v>
      </c>
      <c r="J710" s="255" t="e">
        <f>(J630/J612)*AS93</f>
        <v>#DIV/0!</v>
      </c>
      <c r="K710" s="255" t="e">
        <f>(K644/K612)*AS89</f>
        <v>#DIV/0!</v>
      </c>
      <c r="L710" s="255" t="e">
        <f>(L647/L612)*AS94</f>
        <v>#DIV/0!</v>
      </c>
      <c r="M710" s="231" t="e">
        <f t="shared" si="18"/>
        <v>#DIV/0!</v>
      </c>
      <c r="N710" s="249" t="s">
        <v>662</v>
      </c>
    </row>
    <row r="711" spans="1:14" s="231" customFormat="1" ht="12.6" customHeight="1" x14ac:dyDescent="0.2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 t="e">
        <f>(I629/I612)*AT92</f>
        <v>#DIV/0!</v>
      </c>
      <c r="J711" s="255" t="e">
        <f>(J630/J612)*AT93</f>
        <v>#DIV/0!</v>
      </c>
      <c r="K711" s="255" t="e">
        <f>(K644/K612)*AT89</f>
        <v>#DIV/0!</v>
      </c>
      <c r="L711" s="255" t="e">
        <f>(L647/L612)*AT94</f>
        <v>#DIV/0!</v>
      </c>
      <c r="M711" s="231" t="e">
        <f t="shared" si="18"/>
        <v>#DIV/0!</v>
      </c>
      <c r="N711" s="249" t="s">
        <v>664</v>
      </c>
    </row>
    <row r="712" spans="1:14" s="231" customFormat="1" ht="12.6" customHeight="1" x14ac:dyDescent="0.2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 t="e">
        <f>(I629/I612)*AU92</f>
        <v>#DIV/0!</v>
      </c>
      <c r="J712" s="255" t="e">
        <f>(J630/J612)*AU93</f>
        <v>#DIV/0!</v>
      </c>
      <c r="K712" s="255" t="e">
        <f>(K644/K612)*AU89</f>
        <v>#DIV/0!</v>
      </c>
      <c r="L712" s="255" t="e">
        <f>(L647/L612)*AU94</f>
        <v>#DIV/0!</v>
      </c>
      <c r="M712" s="231" t="e">
        <f t="shared" si="18"/>
        <v>#DIV/0!</v>
      </c>
      <c r="N712" s="249" t="s">
        <v>666</v>
      </c>
    </row>
    <row r="713" spans="1:14" s="231" customFormat="1" ht="12.6" customHeight="1" x14ac:dyDescent="0.2">
      <c r="A713" s="250">
        <v>7490</v>
      </c>
      <c r="B713" s="249" t="s">
        <v>667</v>
      </c>
      <c r="C713" s="255">
        <f>AV85</f>
        <v>113</v>
      </c>
      <c r="D713" s="255">
        <f>(D615/D612)*AV90</f>
        <v>0</v>
      </c>
      <c r="E713" s="257">
        <f>(E623/E612)*SUM(C713:D713)</f>
        <v>33.808200102770037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 t="e">
        <f>(I629/I612)*AV92</f>
        <v>#DIV/0!</v>
      </c>
      <c r="J713" s="255" t="e">
        <f>(J630/J612)*AV93</f>
        <v>#DIV/0!</v>
      </c>
      <c r="K713" s="255" t="e">
        <f>(K644/K612)*AV89</f>
        <v>#DIV/0!</v>
      </c>
      <c r="L713" s="255" t="e">
        <f>(L647/L612)*AV94</f>
        <v>#DIV/0!</v>
      </c>
      <c r="M713" s="231" t="e">
        <f t="shared" si="18"/>
        <v>#DIV/0!</v>
      </c>
      <c r="N713" s="251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2">
        <f>SUM(C614:C647)+SUM(C668:C713)</f>
        <v>64926236.060000002</v>
      </c>
      <c r="D715" s="231">
        <f>SUM(D616:D647)+SUM(D668:D713)</f>
        <v>1067206</v>
      </c>
      <c r="E715" s="231">
        <f>SUM(E624:E647)+SUM(E668:E713)</f>
        <v>14951747.784521382</v>
      </c>
      <c r="F715" s="231">
        <f>SUM(F625:F648)+SUM(F668:F713)</f>
        <v>194305.90277112825</v>
      </c>
      <c r="G715" s="231">
        <f>SUM(G626:G647)+SUM(G668:G713)</f>
        <v>1034536.6396957779</v>
      </c>
      <c r="H715" s="231">
        <f>SUM(H629:H647)+SUM(H668:H713)</f>
        <v>229786.61994119189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49" t="s">
        <v>669</v>
      </c>
    </row>
    <row r="716" spans="1:14" s="231" customFormat="1" ht="12.6" customHeight="1" x14ac:dyDescent="0.2">
      <c r="C716" s="252">
        <f>CE85</f>
        <v>64926236.060000002</v>
      </c>
      <c r="D716" s="231">
        <f>D615</f>
        <v>1067206</v>
      </c>
      <c r="E716" s="231">
        <f>E623</f>
        <v>14951747.784521384</v>
      </c>
      <c r="F716" s="231">
        <f>F624</f>
        <v>194305.90277112823</v>
      </c>
      <c r="G716" s="231">
        <f>G625</f>
        <v>1034536.6396957779</v>
      </c>
      <c r="H716" s="231">
        <f>H628</f>
        <v>229786.61994119184</v>
      </c>
      <c r="I716" s="231">
        <f>I629</f>
        <v>943223.85989883845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20703605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7" workbookViewId="0">
      <selection activeCell="E17" sqref="E17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ASTRIA TOPPENISH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H-199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502 W 4th Ave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+data!C100</f>
        <v>Toppenish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+data!C101</f>
        <v>Washington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18" sqref="I1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3.109375" style="1" customWidth="1"/>
    <col min="10" max="10" width="40.21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693</v>
      </c>
    </row>
    <row r="3" spans="1:13" x14ac:dyDescent="0.25">
      <c r="A3" s="67"/>
    </row>
    <row r="4" spans="1:13" x14ac:dyDescent="0.25">
      <c r="A4" s="163" t="s">
        <v>694</v>
      </c>
    </row>
    <row r="5" spans="1:13" x14ac:dyDescent="0.25">
      <c r="A5" s="163" t="s">
        <v>695</v>
      </c>
    </row>
    <row r="6" spans="1:13" x14ac:dyDescent="0.25">
      <c r="A6" s="163" t="s">
        <v>696</v>
      </c>
    </row>
    <row r="7" spans="1:13" x14ac:dyDescent="0.25">
      <c r="A7" s="163"/>
    </row>
    <row r="8" spans="1:13" x14ac:dyDescent="0.25">
      <c r="A8" s="2" t="s">
        <v>697</v>
      </c>
    </row>
    <row r="9" spans="1:13" x14ac:dyDescent="0.25">
      <c r="A9" s="163" t="s">
        <v>17</v>
      </c>
    </row>
    <row r="12" spans="1:13" x14ac:dyDescent="0.25">
      <c r="A12" s="1" t="str">
        <f>data!C97</f>
        <v>199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2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2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25">
      <c r="A15" s="1" t="s">
        <v>708</v>
      </c>
      <c r="B15" s="274">
        <f>'Prior Year'!C86</f>
        <v>1222277.6399999999</v>
      </c>
      <c r="C15" s="274">
        <f>data!C85</f>
        <v>2798780</v>
      </c>
      <c r="D15" s="274">
        <f>'Prior Year'!C60</f>
        <v>1705</v>
      </c>
      <c r="E15" s="1">
        <f>data!C59</f>
        <v>1738</v>
      </c>
      <c r="F15" s="238">
        <f t="shared" ref="F15:F59" si="0">IF(B15=0,"",IF(D15=0,"",B15/D15))</f>
        <v>716.87838123167148</v>
      </c>
      <c r="G15" s="238">
        <f t="shared" ref="G15:G29" si="1">IF(C15=0,"",IF(E15=0,"",C15/E15))</f>
        <v>1610.3452243958573</v>
      </c>
      <c r="H15" s="6">
        <f t="shared" ref="H15:H59" si="2">IF(B15=0,"",IF(C15=0,"",IF(D15=0,"",IF(E15=0,"",IF(G15/F15-1&lt;-0.25,G15/F15-1,IF(G15/F15-1&gt;0.25,G15/F15-1,""))))))</f>
        <v>1.2463297353577842</v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25">
      <c r="A17" s="1" t="s">
        <v>710</v>
      </c>
      <c r="B17" s="274">
        <f>'Prior Year'!E86</f>
        <v>2277799.02</v>
      </c>
      <c r="C17" s="274">
        <f>data!E85</f>
        <v>3095948.37</v>
      </c>
      <c r="D17" s="274">
        <f>'Prior Year'!E60</f>
        <v>559</v>
      </c>
      <c r="E17" s="1">
        <f>data!E59</f>
        <v>1798</v>
      </c>
      <c r="F17" s="238">
        <f t="shared" si="0"/>
        <v>4074.7746332737029</v>
      </c>
      <c r="G17" s="238">
        <f t="shared" si="1"/>
        <v>1721.8845216907675</v>
      </c>
      <c r="H17" s="6">
        <f t="shared" si="2"/>
        <v>-0.57742828090902454</v>
      </c>
      <c r="I17" s="274" t="str">
        <f t="shared" si="3"/>
        <v/>
      </c>
      <c r="M17" s="7"/>
    </row>
    <row r="18" spans="1:13" x14ac:dyDescent="0.2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2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25">
      <c r="A20" s="1" t="s">
        <v>713</v>
      </c>
      <c r="B20" s="274">
        <f>'Prior Year'!H86</f>
        <v>3374554.44</v>
      </c>
      <c r="C20" s="274">
        <f>data!H85</f>
        <v>3990804</v>
      </c>
      <c r="D20" s="274">
        <f>'Prior Year'!H60</f>
        <v>5260</v>
      </c>
      <c r="E20" s="1">
        <f>data!H59</f>
        <v>5070</v>
      </c>
      <c r="F20" s="238">
        <f t="shared" si="0"/>
        <v>641.55027376425858</v>
      </c>
      <c r="G20" s="238">
        <f t="shared" si="1"/>
        <v>787.14082840236688</v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2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25">
      <c r="A22" s="1" t="s">
        <v>715</v>
      </c>
      <c r="B22" s="274">
        <f>'Prior Year'!J86</f>
        <v>7717</v>
      </c>
      <c r="C22" s="274">
        <f>data!J85</f>
        <v>0</v>
      </c>
      <c r="D22" s="274">
        <f>'Prior Year'!J60</f>
        <v>426</v>
      </c>
      <c r="E22" s="1">
        <f>data!J59</f>
        <v>444</v>
      </c>
      <c r="F22" s="238">
        <f t="shared" si="0"/>
        <v>18.115023474178404</v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2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2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2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2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25">
      <c r="A27" s="1" t="s">
        <v>720</v>
      </c>
      <c r="B27" s="274">
        <f>'Prior Year'!O86</f>
        <v>1953798.09</v>
      </c>
      <c r="C27" s="274">
        <f>data!O85</f>
        <v>2412339.25</v>
      </c>
      <c r="D27" s="274">
        <f>'Prior Year'!O60</f>
        <v>488</v>
      </c>
      <c r="E27" s="1">
        <f>data!O59</f>
        <v>544</v>
      </c>
      <c r="F27" s="238">
        <f t="shared" si="0"/>
        <v>4003.6846106557377</v>
      </c>
      <c r="G27" s="238">
        <f t="shared" si="1"/>
        <v>4434.4471507352937</v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25">
      <c r="A28" s="1" t="s">
        <v>721</v>
      </c>
      <c r="B28" s="274">
        <f>'Prior Year'!P86</f>
        <v>5499516.7000000002</v>
      </c>
      <c r="C28" s="274">
        <f>data!P85</f>
        <v>7427640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25">
      <c r="A29" s="1" t="s">
        <v>722</v>
      </c>
      <c r="B29" s="274">
        <f>'Prior Year'!Q86</f>
        <v>387096.28</v>
      </c>
      <c r="C29" s="274">
        <f>data!Q85</f>
        <v>1537274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25">
      <c r="A30" s="1" t="s">
        <v>723</v>
      </c>
      <c r="B30" s="274">
        <f>'Prior Year'!R86</f>
        <v>297639.01999999996</v>
      </c>
      <c r="C30" s="274">
        <f>data!R85</f>
        <v>748929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25">
      <c r="A31" s="1" t="s">
        <v>724</v>
      </c>
      <c r="B31" s="274">
        <f>'Prior Year'!S86</f>
        <v>57041.39</v>
      </c>
      <c r="C31" s="274">
        <f>data!S85</f>
        <v>21196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 x14ac:dyDescent="0.25">
      <c r="A32" s="1" t="s">
        <v>726</v>
      </c>
      <c r="B32" s="274">
        <f>'Prior Year'!T86</f>
        <v>0</v>
      </c>
      <c r="C32" s="274">
        <f>data!T85</f>
        <v>258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25">
      <c r="A33" s="1" t="s">
        <v>727</v>
      </c>
      <c r="B33" s="274">
        <f>'Prior Year'!U86</f>
        <v>2463692.3600000003</v>
      </c>
      <c r="C33" s="274">
        <f>data!U85</f>
        <v>3374071</v>
      </c>
      <c r="D33" s="274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25">
      <c r="A34" s="1" t="s">
        <v>728</v>
      </c>
      <c r="B34" s="274">
        <f>'Prior Year'!V86</f>
        <v>0</v>
      </c>
      <c r="C34" s="274">
        <f>data!V85</f>
        <v>87041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25">
      <c r="A35" s="1" t="s">
        <v>729</v>
      </c>
      <c r="B35" s="274">
        <f>'Prior Year'!W86</f>
        <v>178633.03</v>
      </c>
      <c r="C35" s="274">
        <f>data!W85</f>
        <v>300109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25">
      <c r="A36" s="1" t="s">
        <v>730</v>
      </c>
      <c r="B36" s="274">
        <f>'Prior Year'!X86</f>
        <v>133415.26999999999</v>
      </c>
      <c r="C36" s="274">
        <f>data!X85</f>
        <v>117190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25">
      <c r="A37" s="1" t="s">
        <v>731</v>
      </c>
      <c r="B37" s="274">
        <f>'Prior Year'!Y86</f>
        <v>1492851.0299999998</v>
      </c>
      <c r="C37" s="274">
        <f>data!Y85</f>
        <v>1490919</v>
      </c>
      <c r="D37" s="274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2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2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25">
      <c r="A40" s="1" t="s">
        <v>734</v>
      </c>
      <c r="B40" s="274">
        <f>'Prior Year'!AB86</f>
        <v>1312295.73</v>
      </c>
      <c r="C40" s="274">
        <f>data!AB85</f>
        <v>1780193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25">
      <c r="A41" s="1" t="s">
        <v>735</v>
      </c>
      <c r="B41" s="274">
        <f>'Prior Year'!AC86</f>
        <v>248775.07000000004</v>
      </c>
      <c r="C41" s="274">
        <f>data!AC85</f>
        <v>763887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2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25">
      <c r="A43" s="1" t="s">
        <v>737</v>
      </c>
      <c r="B43" s="274">
        <f>'Prior Year'!AE86</f>
        <v>94508.83</v>
      </c>
      <c r="C43" s="274">
        <f>data!AE85</f>
        <v>165682</v>
      </c>
      <c r="D43" s="274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2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25">
      <c r="A45" s="1" t="s">
        <v>739</v>
      </c>
      <c r="B45" s="274">
        <f>'Prior Year'!AG86</f>
        <v>3214270.8499999996</v>
      </c>
      <c r="C45" s="274">
        <f>data!AG85</f>
        <v>5687947.4399999995</v>
      </c>
      <c r="D45" s="274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2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2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742</v>
      </c>
      <c r="B48" s="274">
        <f>'Prior Year'!AJ86</f>
        <v>8919283.9900000002</v>
      </c>
      <c r="C48" s="274">
        <f>data!AJ85</f>
        <v>8410754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25">
      <c r="A49" s="1" t="s">
        <v>743</v>
      </c>
      <c r="B49" s="274">
        <f>'Prior Year'!AK86</f>
        <v>0</v>
      </c>
      <c r="C49" s="274">
        <f>data!AK85</f>
        <v>3364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25">
      <c r="A50" s="1" t="s">
        <v>744</v>
      </c>
      <c r="B50" s="274">
        <f>'Prior Year'!AL86</f>
        <v>0</v>
      </c>
      <c r="C50" s="274">
        <f>data!AL85</f>
        <v>8192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2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2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2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2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2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2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2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2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2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25">
      <c r="A60" s="1" t="s">
        <v>754</v>
      </c>
      <c r="B60" s="274">
        <f>'Prior Year'!AV86</f>
        <v>0</v>
      </c>
      <c r="C60" s="274">
        <f>data!AV85</f>
        <v>113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2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2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25">
      <c r="A63" s="1" t="s">
        <v>757</v>
      </c>
      <c r="B63" s="274">
        <f>'Prior Year'!AY86</f>
        <v>338927.82999999996</v>
      </c>
      <c r="C63" s="274">
        <f>data!AY85</f>
        <v>779484</v>
      </c>
      <c r="D63" s="274">
        <f>'Prior Year'!AY60</f>
        <v>28547</v>
      </c>
      <c r="E63" s="1">
        <f>data!AY59</f>
        <v>26331</v>
      </c>
      <c r="F63" s="238">
        <f>IF(B63=0,"",IF(D63=0,"",B63/D63))</f>
        <v>11.872625144498544</v>
      </c>
      <c r="G63" s="238">
        <f t="shared" si="5"/>
        <v>29.603281303406632</v>
      </c>
      <c r="H63" s="6">
        <f>IF(B63=0,"",IF(C63=0,"",IF(D63=0,"",IF(E63=0,"",IF(G63/F63-1&lt;-0.25,G63/F63-1,IF(G63/F63-1&gt;0.25,G63/F63-1,""))))))</f>
        <v>1.4934065502037686</v>
      </c>
      <c r="I63" s="274" t="str">
        <f t="shared" si="6"/>
        <v>Please provide explanation for the fluctuation noted here</v>
      </c>
      <c r="M63" s="7"/>
    </row>
    <row r="64" spans="1:13" x14ac:dyDescent="0.25">
      <c r="A64" s="1" t="s">
        <v>758</v>
      </c>
      <c r="B64" s="274">
        <f>'Prior Year'!AZ86</f>
        <v>389996.96</v>
      </c>
      <c r="C64" s="274">
        <f>data!AZ85</f>
        <v>21003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25">
      <c r="A65" s="1" t="s">
        <v>759</v>
      </c>
      <c r="B65" s="274">
        <f>'Prior Year'!BA86</f>
        <v>2687.36</v>
      </c>
      <c r="C65" s="274">
        <f>data!BA85</f>
        <v>0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2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2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25">
      <c r="A68" s="1" t="s">
        <v>762</v>
      </c>
      <c r="B68" s="274">
        <f>'Prior Year'!BD86</f>
        <v>131811.88</v>
      </c>
      <c r="C68" s="274">
        <f>data!BD85</f>
        <v>119719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25">
      <c r="A69" s="1" t="s">
        <v>763</v>
      </c>
      <c r="B69" s="274">
        <f>'Prior Year'!BE86</f>
        <v>921825.02000000014</v>
      </c>
      <c r="C69" s="274">
        <f>data!BE85</f>
        <v>1067206</v>
      </c>
      <c r="D69" s="274">
        <f>'Prior Year'!BE60</f>
        <v>70293</v>
      </c>
      <c r="E69" s="1">
        <f>data!BE59</f>
        <v>79212</v>
      </c>
      <c r="F69" s="238">
        <f>IF(B69=0,"",IF(D69=0,"",B69/D69))</f>
        <v>13.114037244106813</v>
      </c>
      <c r="G69" s="238">
        <f t="shared" si="5"/>
        <v>13.472781901732061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25">
      <c r="A70" s="1" t="s">
        <v>764</v>
      </c>
      <c r="B70" s="274">
        <f>'Prior Year'!BF86</f>
        <v>606006.87</v>
      </c>
      <c r="C70" s="274">
        <f>data!BF85</f>
        <v>706479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25">
      <c r="A71" s="1" t="s">
        <v>765</v>
      </c>
      <c r="B71" s="274">
        <f>'Prior Year'!BG86</f>
        <v>37660.43</v>
      </c>
      <c r="C71" s="274">
        <f>data!BG85</f>
        <v>35256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25">
      <c r="A72" s="1" t="s">
        <v>766</v>
      </c>
      <c r="B72" s="274">
        <f>'Prior Year'!BH86</f>
        <v>247021.92</v>
      </c>
      <c r="C72" s="274">
        <f>data!BH85</f>
        <v>438411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2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25">
      <c r="A74" s="1" t="s">
        <v>768</v>
      </c>
      <c r="B74" s="274">
        <f>'Prior Year'!BJ86</f>
        <v>0</v>
      </c>
      <c r="C74" s="274">
        <f>data!BJ85</f>
        <v>122541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25">
      <c r="A75" s="1" t="s">
        <v>769</v>
      </c>
      <c r="B75" s="274">
        <f>'Prior Year'!BK86</f>
        <v>31864.12</v>
      </c>
      <c r="C75" s="274">
        <f>data!BK85</f>
        <v>24448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25">
      <c r="A76" s="1" t="s">
        <v>770</v>
      </c>
      <c r="B76" s="274">
        <f>'Prior Year'!BL86</f>
        <v>578679.19000000006</v>
      </c>
      <c r="C76" s="274">
        <f>data!BL85</f>
        <v>662438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25">
      <c r="A77" s="1" t="s">
        <v>771</v>
      </c>
      <c r="B77" s="274">
        <f>'Prior Year'!BM86</f>
        <v>123462.8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25">
      <c r="A78" s="1" t="s">
        <v>772</v>
      </c>
      <c r="B78" s="274">
        <f>'Prior Year'!BN86</f>
        <v>10853659.280000001</v>
      </c>
      <c r="C78" s="274">
        <f>data!BN85</f>
        <v>10586255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25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2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25">
      <c r="A82" s="1" t="s">
        <v>776</v>
      </c>
      <c r="B82" s="274">
        <f>'Prior Year'!BR86</f>
        <v>98662.38</v>
      </c>
      <c r="C82" s="274">
        <f>data!BR85</f>
        <v>117542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25">
      <c r="A83" s="1" t="s">
        <v>777</v>
      </c>
      <c r="B83" s="274">
        <f>'Prior Year'!BS86</f>
        <v>3307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25">
      <c r="A84" s="1" t="s">
        <v>778</v>
      </c>
      <c r="B84" s="274">
        <f>'Prior Year'!BT86</f>
        <v>4189</v>
      </c>
      <c r="C84" s="274">
        <f>data!BT85</f>
        <v>4282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2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25">
      <c r="A86" s="1" t="s">
        <v>780</v>
      </c>
      <c r="B86" s="274">
        <f>'Prior Year'!BV86</f>
        <v>416890.67000000004</v>
      </c>
      <c r="C86" s="274">
        <f>data!BV85</f>
        <v>479170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2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25">
      <c r="A88" s="1" t="s">
        <v>782</v>
      </c>
      <c r="B88" s="274">
        <f>'Prior Year'!BX86</f>
        <v>336158.54000000004</v>
      </c>
      <c r="C88" s="274">
        <f>data!BX85</f>
        <v>462730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25">
      <c r="A89" s="1" t="s">
        <v>783</v>
      </c>
      <c r="B89" s="274">
        <f>'Prior Year'!BY86</f>
        <v>381383.62</v>
      </c>
      <c r="C89" s="274">
        <f>data!BY85</f>
        <v>1345244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2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25">
      <c r="A91" s="1" t="s">
        <v>785</v>
      </c>
      <c r="B91" s="274">
        <f>'Prior Year'!CA86</f>
        <v>4752.6099999999997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2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25">
      <c r="A93" s="1" t="s">
        <v>787</v>
      </c>
      <c r="B93" s="274">
        <f>'Prior Year'!CC86</f>
        <v>-2320484.75</v>
      </c>
      <c r="C93" s="274">
        <f>data!CC85</f>
        <v>3731397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25">
      <c r="A94" s="1" t="s">
        <v>788</v>
      </c>
      <c r="B94" s="274">
        <f>'Prior Year'!CD86</f>
        <v>0</v>
      </c>
      <c r="C94" s="274">
        <f>data!CD85</f>
        <v>0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8"/>
  <sheetViews>
    <sheetView topLeftCell="A4" workbookViewId="0">
      <selection activeCell="E37" sqref="E37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2" t="s">
        <v>1346</v>
      </c>
    </row>
    <row r="3" spans="1:4" x14ac:dyDescent="0.25">
      <c r="A3" s="11" t="s">
        <v>789</v>
      </c>
    </row>
    <row r="4" spans="1:4" x14ac:dyDescent="0.25">
      <c r="A4" s="330" t="s">
        <v>1344</v>
      </c>
    </row>
    <row r="5" spans="1:4" x14ac:dyDescent="0.25">
      <c r="A5" s="331" t="s">
        <v>1342</v>
      </c>
    </row>
    <row r="6" spans="1:4" x14ac:dyDescent="0.25">
      <c r="A6" s="329"/>
    </row>
    <row r="7" spans="1:4" x14ac:dyDescent="0.25">
      <c r="A7" s="330" t="s">
        <v>1345</v>
      </c>
    </row>
    <row r="8" spans="1:4" x14ac:dyDescent="0.25">
      <c r="A8" s="331" t="s">
        <v>1343</v>
      </c>
    </row>
    <row r="11" spans="1:4" x14ac:dyDescent="0.25">
      <c r="A11" s="13" t="s">
        <v>790</v>
      </c>
      <c r="D11" s="275">
        <f>data!C380</f>
        <v>2379434</v>
      </c>
    </row>
    <row r="12" spans="1:4" x14ac:dyDescent="0.2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25">
      <c r="A14" s="13" t="s">
        <v>792</v>
      </c>
      <c r="D14" s="14" t="s">
        <v>793</v>
      </c>
    </row>
    <row r="15" spans="1:4" x14ac:dyDescent="0.25">
      <c r="A15" s="12" t="s">
        <v>1387</v>
      </c>
      <c r="D15" s="15">
        <v>-2358900</v>
      </c>
    </row>
    <row r="16" spans="1:4" x14ac:dyDescent="0.25">
      <c r="A16" s="12" t="s">
        <v>1388</v>
      </c>
      <c r="D16" s="15">
        <v>-10289</v>
      </c>
    </row>
    <row r="17" spans="1:4" x14ac:dyDescent="0.25">
      <c r="A17" s="12" t="s">
        <v>1389</v>
      </c>
      <c r="D17" s="15">
        <f>-141-7936</f>
        <v>-8077</v>
      </c>
    </row>
    <row r="18" spans="1:4" x14ac:dyDescent="0.25">
      <c r="A18" s="12" t="s">
        <v>1390</v>
      </c>
      <c r="D18" s="15">
        <v>-98</v>
      </c>
    </row>
    <row r="19" spans="1:4" x14ac:dyDescent="0.25">
      <c r="A19" s="12" t="s">
        <v>1372</v>
      </c>
      <c r="D19" s="15">
        <v>-515</v>
      </c>
    </row>
    <row r="20" spans="1:4" x14ac:dyDescent="0.25">
      <c r="A20" s="12" t="s">
        <v>1373</v>
      </c>
      <c r="D20" s="15">
        <v>-1554</v>
      </c>
    </row>
    <row r="25" spans="1:4" x14ac:dyDescent="0.25">
      <c r="A25" s="13" t="s">
        <v>794</v>
      </c>
      <c r="D25" s="276">
        <f>data!C414</f>
        <v>751226</v>
      </c>
    </row>
    <row r="26" spans="1:4" x14ac:dyDescent="0.25">
      <c r="A26" s="13" t="s">
        <v>791</v>
      </c>
      <c r="D26" s="276" t="str">
        <f>IF(OR(data!C414&gt;1000000,data!C414/(data!D416)&gt;0.01),"Yes","No")</f>
        <v>Yes</v>
      </c>
    </row>
    <row r="28" spans="1:4" x14ac:dyDescent="0.25">
      <c r="A28" s="13" t="s">
        <v>792</v>
      </c>
      <c r="D28" s="14" t="s">
        <v>793</v>
      </c>
    </row>
    <row r="29" spans="1:4" x14ac:dyDescent="0.25">
      <c r="A29" s="12" t="s">
        <v>1374</v>
      </c>
      <c r="D29" s="15">
        <v>174817.4899999999</v>
      </c>
    </row>
    <row r="30" spans="1:4" x14ac:dyDescent="0.25">
      <c r="A30" s="12" t="s">
        <v>1375</v>
      </c>
      <c r="D30" s="15">
        <v>190577.74000000011</v>
      </c>
    </row>
    <row r="31" spans="1:4" x14ac:dyDescent="0.25">
      <c r="A31" s="12" t="s">
        <v>1376</v>
      </c>
      <c r="D31" s="15">
        <v>100748.03999999996</v>
      </c>
    </row>
    <row r="32" spans="1:4" x14ac:dyDescent="0.25">
      <c r="A32" s="12" t="s">
        <v>1377</v>
      </c>
      <c r="D32" s="15">
        <v>862.5100000000001</v>
      </c>
    </row>
    <row r="33" spans="1:4" x14ac:dyDescent="0.25">
      <c r="A33" s="12" t="s">
        <v>1378</v>
      </c>
      <c r="D33" s="15">
        <v>38232.180000000189</v>
      </c>
    </row>
    <row r="34" spans="1:4" x14ac:dyDescent="0.25">
      <c r="A34" s="12" t="s">
        <v>1379</v>
      </c>
      <c r="D34" s="15">
        <v>48288.289999999994</v>
      </c>
    </row>
    <row r="35" spans="1:4" x14ac:dyDescent="0.25">
      <c r="A35" s="12" t="s">
        <v>1380</v>
      </c>
      <c r="D35" s="15">
        <v>60198.92</v>
      </c>
    </row>
    <row r="36" spans="1:4" x14ac:dyDescent="0.25">
      <c r="A36" s="12" t="s">
        <v>1381</v>
      </c>
      <c r="D36" s="12">
        <v>14901.089999999998</v>
      </c>
    </row>
    <row r="37" spans="1:4" x14ac:dyDescent="0.25">
      <c r="A37" s="12" t="s">
        <v>1382</v>
      </c>
      <c r="D37" s="12">
        <v>200143.19000000009</v>
      </c>
    </row>
    <row r="38" spans="1:4" x14ac:dyDescent="0.25">
      <c r="A38" s="12" t="s">
        <v>1383</v>
      </c>
      <c r="D38" s="12">
        <v>-77543.939999999988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D10" sqref="D10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795</v>
      </c>
    </row>
    <row r="2" spans="1:7" ht="20.100000000000001" customHeight="1" x14ac:dyDescent="0.25">
      <c r="A2" s="76" t="s">
        <v>796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H-199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ASTRIA TOPPENISH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"&amp;data!C103</f>
        <v xml:space="preserve">  Yakima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797</v>
      </c>
      <c r="C7" s="81"/>
      <c r="D7" s="78" t="str">
        <f>"  "&amp;data!C104</f>
        <v xml:space="preserve">  Brian Gibbons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798</v>
      </c>
      <c r="C8" s="81"/>
      <c r="D8" s="78" t="str">
        <f>"  "&amp;data!C105</f>
        <v xml:space="preserve">  Maxwell Owens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799</v>
      </c>
      <c r="C9" s="81"/>
      <c r="D9" s="78" t="str">
        <f>"  "&amp;data!C106</f>
        <v xml:space="preserve">  Bertha Ortega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800</v>
      </c>
      <c r="C10" s="81"/>
      <c r="D10" s="78" t="str">
        <f>"  "&amp;data!C107</f>
        <v xml:space="preserve">  509-865-3105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801</v>
      </c>
      <c r="C11" s="81"/>
      <c r="D11" s="78" t="str">
        <f>"  "&amp;data!C108</f>
        <v xml:space="preserve">  509-865-1519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802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803</v>
      </c>
      <c r="E16" s="277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804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/>
      </c>
      <c r="B19" s="94" t="s">
        <v>805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806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807</v>
      </c>
      <c r="C23" s="78"/>
      <c r="D23" s="78"/>
      <c r="E23" s="78"/>
      <c r="F23" s="77">
        <f>data!C127</f>
        <v>1230</v>
      </c>
      <c r="G23" s="81">
        <f>data!D127</f>
        <v>9150</v>
      </c>
    </row>
    <row r="24" spans="1:7" ht="20.100000000000001" customHeight="1" x14ac:dyDescent="0.25">
      <c r="A24" s="77"/>
      <c r="B24" s="78" t="s">
        <v>808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00000000000001" customHeight="1" x14ac:dyDescent="0.25">
      <c r="A25" s="77"/>
      <c r="B25" s="78" t="s">
        <v>809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257</v>
      </c>
      <c r="G26" s="81">
        <f>data!D130</f>
        <v>444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810</v>
      </c>
      <c r="C29" s="81"/>
      <c r="D29" s="93" t="s">
        <v>179</v>
      </c>
      <c r="E29" s="97" t="s">
        <v>810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7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811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812</v>
      </c>
      <c r="C32" s="81"/>
      <c r="D32" s="81">
        <f>data!C134</f>
        <v>16</v>
      </c>
      <c r="E32" s="78" t="s">
        <v>813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814</v>
      </c>
      <c r="C33" s="81"/>
      <c r="D33" s="81">
        <f>data!C135</f>
        <v>0</v>
      </c>
      <c r="E33" s="78" t="s">
        <v>815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816</v>
      </c>
      <c r="C34" s="81"/>
      <c r="D34" s="81">
        <f>data!C136</f>
        <v>10</v>
      </c>
      <c r="E34" s="78" t="s">
        <v>324</v>
      </c>
      <c r="F34" s="81"/>
      <c r="G34" s="81">
        <f>data!E143</f>
        <v>48</v>
      </c>
    </row>
    <row r="35" spans="1:7" ht="20.100000000000001" customHeight="1" x14ac:dyDescent="0.25">
      <c r="A35" s="77"/>
      <c r="B35" s="97" t="s">
        <v>817</v>
      </c>
      <c r="C35" s="81"/>
      <c r="D35" s="81">
        <f>data!C137</f>
        <v>0</v>
      </c>
      <c r="E35" s="78" t="s">
        <v>818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15</v>
      </c>
      <c r="E36" s="78" t="s">
        <v>325</v>
      </c>
      <c r="F36" s="81"/>
      <c r="G36" s="81">
        <f>data!C144</f>
        <v>78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0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819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820</v>
      </c>
      <c r="G1" s="75" t="s">
        <v>821</v>
      </c>
    </row>
    <row r="2" spans="1:7" ht="20.100000000000001" customHeight="1" x14ac:dyDescent="0.25">
      <c r="A2" s="1" t="str">
        <f>"Hospital: "&amp;data!C98</f>
        <v>Hospital: ASTRIA TOPPENISH HOSPITAL</v>
      </c>
      <c r="G2" s="4" t="s">
        <v>822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823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824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825</v>
      </c>
      <c r="B6" s="93" t="s">
        <v>309</v>
      </c>
      <c r="C6" s="93" t="s">
        <v>826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430.41976643536424</v>
      </c>
      <c r="C7" s="141">
        <f>data!B155</f>
        <v>3079</v>
      </c>
      <c r="D7" s="141">
        <f>data!B156</f>
        <v>11327.037280467341</v>
      </c>
      <c r="E7" s="141">
        <f>data!B157</f>
        <v>18618060</v>
      </c>
      <c r="F7" s="141">
        <f>data!B158</f>
        <v>38947345</v>
      </c>
      <c r="G7" s="141">
        <f>data!B157+data!B158</f>
        <v>57565405</v>
      </c>
    </row>
    <row r="8" spans="1:7" ht="20.100000000000001" customHeight="1" x14ac:dyDescent="0.25">
      <c r="A8" s="77" t="s">
        <v>331</v>
      </c>
      <c r="B8" s="141">
        <f>data!C154</f>
        <v>681.28282368819566</v>
      </c>
      <c r="C8" s="141">
        <f>data!C155</f>
        <v>5599</v>
      </c>
      <c r="D8" s="141">
        <f>data!C156</f>
        <v>32172.890010209499</v>
      </c>
      <c r="E8" s="141">
        <f>data!C157</f>
        <v>29469289</v>
      </c>
      <c r="F8" s="141">
        <f>data!C158</f>
        <v>56004404</v>
      </c>
      <c r="G8" s="141">
        <f>data!C157+data!C158</f>
        <v>85473693</v>
      </c>
    </row>
    <row r="9" spans="1:7" ht="20.100000000000001" customHeight="1" x14ac:dyDescent="0.25">
      <c r="A9" s="77" t="s">
        <v>827</v>
      </c>
      <c r="B9" s="141">
        <f>data!D154</f>
        <v>118.29740987644004</v>
      </c>
      <c r="C9" s="141">
        <f>data!D155</f>
        <v>916</v>
      </c>
      <c r="D9" s="141">
        <f>data!D156</f>
        <v>45046.072709323162</v>
      </c>
      <c r="E9" s="141">
        <f>data!D157</f>
        <v>5117024</v>
      </c>
      <c r="F9" s="141">
        <f>data!D158</f>
        <v>59183175</v>
      </c>
      <c r="G9" s="141">
        <f>data!D157+data!D158</f>
        <v>64300199</v>
      </c>
    </row>
    <row r="10" spans="1:7" ht="20.100000000000001" customHeight="1" x14ac:dyDescent="0.25">
      <c r="A10" s="92" t="s">
        <v>215</v>
      </c>
      <c r="B10" s="141">
        <f>data!E154</f>
        <v>1230</v>
      </c>
      <c r="C10" s="141">
        <f>data!E155</f>
        <v>9594</v>
      </c>
      <c r="D10" s="141">
        <f>data!E156</f>
        <v>88546</v>
      </c>
      <c r="E10" s="141">
        <f>data!E157</f>
        <v>53204373</v>
      </c>
      <c r="F10" s="141">
        <f>data!E158</f>
        <v>154134924</v>
      </c>
      <c r="G10" s="141">
        <f>E10+F10</f>
        <v>207339297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828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824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825</v>
      </c>
      <c r="B15" s="93" t="s">
        <v>309</v>
      </c>
      <c r="C15" s="93" t="s">
        <v>826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00000000000001" customHeight="1" x14ac:dyDescent="0.2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00000000000001" customHeight="1" x14ac:dyDescent="0.25">
      <c r="A18" s="77" t="s">
        <v>827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00000000000001" customHeight="1" x14ac:dyDescent="0.2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829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824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825</v>
      </c>
      <c r="B24" s="93" t="s">
        <v>309</v>
      </c>
      <c r="C24" s="93" t="s">
        <v>826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827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830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831</v>
      </c>
      <c r="C32" s="153">
        <f>data!B173</f>
        <v>0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832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833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ASTRIA TOPPENISH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834</v>
      </c>
      <c r="C6" s="77">
        <f>data!C181</f>
        <v>1401956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132674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307026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2031938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0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595065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0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0</v>
      </c>
    </row>
    <row r="14" spans="1:3" ht="20.100000000000001" customHeight="1" x14ac:dyDescent="0.25">
      <c r="A14" s="158">
        <v>10</v>
      </c>
      <c r="B14" s="78" t="s">
        <v>835</v>
      </c>
      <c r="C14" s="77">
        <f>data!D189</f>
        <v>4468659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836</v>
      </c>
      <c r="C18" s="77">
        <f>data!C191</f>
        <v>887528</v>
      </c>
    </row>
    <row r="19" spans="1:3" ht="20.100000000000001" customHeight="1" x14ac:dyDescent="0.25">
      <c r="A19" s="77">
        <v>13</v>
      </c>
      <c r="B19" s="78" t="s">
        <v>837</v>
      </c>
      <c r="C19" s="77">
        <f>data!C192</f>
        <v>207651</v>
      </c>
    </row>
    <row r="20" spans="1:3" ht="20.100000000000001" customHeight="1" x14ac:dyDescent="0.25">
      <c r="A20" s="77">
        <v>14</v>
      </c>
      <c r="B20" s="78" t="s">
        <v>838</v>
      </c>
      <c r="C20" s="77">
        <f>data!D193</f>
        <v>1095179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839</v>
      </c>
      <c r="C24" s="162"/>
    </row>
    <row r="25" spans="1:3" ht="20.100000000000001" customHeight="1" x14ac:dyDescent="0.25">
      <c r="A25" s="77">
        <v>17</v>
      </c>
      <c r="B25" s="78" t="s">
        <v>840</v>
      </c>
      <c r="C25" s="77">
        <f>data!C195</f>
        <v>564029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10995</v>
      </c>
    </row>
    <row r="27" spans="1:3" ht="20.100000000000001" customHeight="1" x14ac:dyDescent="0.25">
      <c r="A27" s="77">
        <v>19</v>
      </c>
      <c r="B27" s="78" t="s">
        <v>841</v>
      </c>
      <c r="C27" s="77">
        <f>data!D197</f>
        <v>575024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842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5306</v>
      </c>
    </row>
    <row r="32" spans="1:3" ht="20.100000000000001" customHeight="1" x14ac:dyDescent="0.25">
      <c r="A32" s="77">
        <v>22</v>
      </c>
      <c r="B32" s="78" t="s">
        <v>843</v>
      </c>
      <c r="C32" s="77">
        <f>data!C200</f>
        <v>1868953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844</v>
      </c>
      <c r="C34" s="77">
        <f>data!D202</f>
        <v>1874259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845</v>
      </c>
      <c r="C38" s="77">
        <f>data!C204</f>
        <v>0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2483700</v>
      </c>
    </row>
    <row r="40" spans="1:3" ht="20.100000000000001" customHeight="1" x14ac:dyDescent="0.25">
      <c r="A40" s="77">
        <v>28</v>
      </c>
      <c r="B40" s="78" t="s">
        <v>846</v>
      </c>
      <c r="C40" s="77">
        <f>data!D206</f>
        <v>2483700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workbookViewId="0">
      <selection activeCell="E7" sqref="E7:E16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847</v>
      </c>
    </row>
    <row r="3" spans="1:6" ht="20.100000000000001" customHeight="1" x14ac:dyDescent="0.25">
      <c r="A3" s="134" t="str">
        <f>"Hospital: "&amp;data!C98</f>
        <v>Hospital: ASTRIA TOPPENISH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848</v>
      </c>
      <c r="D5" s="165"/>
      <c r="E5" s="165"/>
      <c r="F5" s="165" t="s">
        <v>849</v>
      </c>
    </row>
    <row r="6" spans="1:6" ht="20.100000000000001" customHeight="1" x14ac:dyDescent="0.25">
      <c r="A6" s="166"/>
      <c r="B6" s="84"/>
      <c r="C6" s="167" t="s">
        <v>850</v>
      </c>
      <c r="D6" s="167" t="s">
        <v>363</v>
      </c>
      <c r="E6" s="167" t="s">
        <v>851</v>
      </c>
      <c r="F6" s="167" t="s">
        <v>850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550000</v>
      </c>
      <c r="D7" s="81">
        <f>data!C211</f>
        <v>0</v>
      </c>
      <c r="E7" s="81">
        <f>data!D211</f>
        <v>0</v>
      </c>
      <c r="F7" s="81">
        <f>data!E211</f>
        <v>550000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26953</v>
      </c>
      <c r="D8" s="81">
        <f>data!C212</f>
        <v>0</v>
      </c>
      <c r="E8" s="81">
        <f>data!D212</f>
        <v>0</v>
      </c>
      <c r="F8" s="81">
        <f>data!E212</f>
        <v>26953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8034842</v>
      </c>
      <c r="D9" s="81">
        <f>data!C213</f>
        <v>209523</v>
      </c>
      <c r="E9" s="81">
        <f>data!D213</f>
        <v>0</v>
      </c>
      <c r="F9" s="81">
        <f>data!E213</f>
        <v>8244365</v>
      </c>
    </row>
    <row r="10" spans="1:6" ht="20.100000000000001" customHeight="1" x14ac:dyDescent="0.25">
      <c r="A10" s="77">
        <v>4</v>
      </c>
      <c r="B10" s="81" t="s">
        <v>852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00000000000001" customHeight="1" x14ac:dyDescent="0.25">
      <c r="A11" s="77">
        <v>5</v>
      </c>
      <c r="B11" s="81" t="s">
        <v>853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00000000000001" customHeight="1" x14ac:dyDescent="0.25">
      <c r="A12" s="77">
        <v>6</v>
      </c>
      <c r="B12" s="81" t="s">
        <v>854</v>
      </c>
      <c r="C12" s="81">
        <f>data!B216</f>
        <v>1892548</v>
      </c>
      <c r="D12" s="81">
        <f>data!C216</f>
        <v>22340</v>
      </c>
      <c r="E12" s="81">
        <f>data!D216</f>
        <v>58478</v>
      </c>
      <c r="F12" s="81">
        <f>data!E216</f>
        <v>1856410</v>
      </c>
    </row>
    <row r="13" spans="1:6" ht="20.100000000000001" customHeight="1" x14ac:dyDescent="0.25">
      <c r="A13" s="77">
        <v>7</v>
      </c>
      <c r="B13" s="81" t="s">
        <v>855</v>
      </c>
      <c r="C13" s="81">
        <f>data!B217</f>
        <v>477465</v>
      </c>
      <c r="D13" s="81">
        <f>data!C217</f>
        <v>17419</v>
      </c>
      <c r="E13" s="81">
        <f>data!D217</f>
        <v>86901</v>
      </c>
      <c r="F13" s="81">
        <f>data!E217</f>
        <v>407983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856</v>
      </c>
      <c r="C15" s="81">
        <f>data!B219</f>
        <v>255373</v>
      </c>
      <c r="D15" s="81">
        <f>data!C219</f>
        <v>964207</v>
      </c>
      <c r="E15" s="81">
        <f>data!D219</f>
        <v>110591</v>
      </c>
      <c r="F15" s="81">
        <f>data!E219</f>
        <v>1108989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11237181</v>
      </c>
      <c r="D16" s="81">
        <f>data!C220</f>
        <v>1213489</v>
      </c>
      <c r="E16" s="81">
        <f>data!D220</f>
        <v>255970</v>
      </c>
      <c r="F16" s="81">
        <f>data!E220</f>
        <v>12194700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848</v>
      </c>
      <c r="D21" s="4" t="s">
        <v>215</v>
      </c>
      <c r="E21" s="167"/>
      <c r="F21" s="167" t="s">
        <v>849</v>
      </c>
    </row>
    <row r="22" spans="1:6" ht="20.100000000000001" customHeight="1" x14ac:dyDescent="0.25">
      <c r="A22" s="168"/>
      <c r="B22" s="160"/>
      <c r="C22" s="167" t="s">
        <v>850</v>
      </c>
      <c r="D22" s="167" t="s">
        <v>857</v>
      </c>
      <c r="E22" s="167" t="s">
        <v>851</v>
      </c>
      <c r="F22" s="167" t="s">
        <v>850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4457</v>
      </c>
      <c r="D24" s="81">
        <f>data!C225</f>
        <v>1797</v>
      </c>
      <c r="E24" s="81">
        <f>data!D225</f>
        <v>0</v>
      </c>
      <c r="F24" s="81">
        <f>data!E225</f>
        <v>6254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2014147</v>
      </c>
      <c r="D25" s="81">
        <f>data!C226</f>
        <v>536529</v>
      </c>
      <c r="E25" s="81">
        <f>data!D226</f>
        <v>0</v>
      </c>
      <c r="F25" s="81">
        <f>data!E226</f>
        <v>2550676</v>
      </c>
    </row>
    <row r="26" spans="1:6" ht="20.100000000000001" customHeight="1" x14ac:dyDescent="0.25">
      <c r="A26" s="77">
        <v>14</v>
      </c>
      <c r="B26" s="81" t="s">
        <v>852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00000000000001" customHeight="1" x14ac:dyDescent="0.25">
      <c r="A27" s="77">
        <v>15</v>
      </c>
      <c r="B27" s="81" t="s">
        <v>853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00000000000001" customHeight="1" x14ac:dyDescent="0.25">
      <c r="A28" s="77">
        <v>16</v>
      </c>
      <c r="B28" s="81" t="s">
        <v>854</v>
      </c>
      <c r="C28" s="81">
        <f>data!B229</f>
        <v>1242414</v>
      </c>
      <c r="D28" s="81">
        <f>data!C229</f>
        <v>126656</v>
      </c>
      <c r="E28" s="81">
        <f>data!D229</f>
        <v>18403</v>
      </c>
      <c r="F28" s="81">
        <f>data!E229</f>
        <v>1350667</v>
      </c>
    </row>
    <row r="29" spans="1:6" ht="20.100000000000001" customHeight="1" x14ac:dyDescent="0.25">
      <c r="A29" s="77">
        <v>17</v>
      </c>
      <c r="B29" s="81" t="s">
        <v>855</v>
      </c>
      <c r="C29" s="81">
        <f>data!B230</f>
        <v>219154</v>
      </c>
      <c r="D29" s="81">
        <f>data!C230</f>
        <v>39618</v>
      </c>
      <c r="E29" s="81">
        <f>data!D230</f>
        <v>0</v>
      </c>
      <c r="F29" s="81">
        <f>data!E230</f>
        <v>258772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856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3480172</v>
      </c>
      <c r="D32" s="81">
        <f>data!C233</f>
        <v>704600</v>
      </c>
      <c r="E32" s="81">
        <f>data!D233</f>
        <v>18403</v>
      </c>
      <c r="F32" s="81">
        <f>data!E233</f>
        <v>4166369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858</v>
      </c>
      <c r="B1" s="76"/>
      <c r="C1" s="76"/>
      <c r="D1" s="75" t="s">
        <v>859</v>
      </c>
    </row>
    <row r="2" spans="1:4" ht="20.100000000000001" customHeight="1" x14ac:dyDescent="0.25">
      <c r="A2" s="134" t="str">
        <f>"Hospital: "&amp;data!C98</f>
        <v>Hospital: ASTRIA TOPPENISH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860</v>
      </c>
      <c r="C4" s="170" t="s">
        <v>861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8743018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43102380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68010301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4181785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3533047</v>
      </c>
    </row>
    <row r="11" spans="1:4" ht="20.100000000000001" customHeight="1" x14ac:dyDescent="0.25">
      <c r="A11" s="77">
        <v>7</v>
      </c>
      <c r="B11" s="172">
        <v>5850</v>
      </c>
      <c r="C11" s="81" t="s">
        <v>862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24761050</v>
      </c>
    </row>
    <row r="13" spans="1:4" ht="20.100000000000001" customHeight="1" x14ac:dyDescent="0.25">
      <c r="A13" s="77">
        <v>9</v>
      </c>
      <c r="B13" s="81"/>
      <c r="C13" s="81" t="s">
        <v>863</v>
      </c>
      <c r="D13" s="81">
        <f>data!D245</f>
        <v>143588563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864</v>
      </c>
      <c r="D16" s="77">
        <f>data!C247</f>
        <v>0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258499</v>
      </c>
    </row>
    <row r="19" spans="1:4" ht="20.100000000000001" customHeight="1" x14ac:dyDescent="0.25">
      <c r="A19" s="175">
        <v>15</v>
      </c>
      <c r="B19" s="172">
        <v>5910</v>
      </c>
      <c r="C19" s="94" t="s">
        <v>865</v>
      </c>
      <c r="D19" s="81">
        <f>data!C250</f>
        <v>1005308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866</v>
      </c>
      <c r="D22" s="81">
        <f>data!D252</f>
        <v>1263807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867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868</v>
      </c>
      <c r="C27" s="93"/>
      <c r="D27" s="81">
        <f>data!D256</f>
        <v>0</v>
      </c>
    </row>
    <row r="28" spans="1:4" ht="20.100000000000001" customHeight="1" x14ac:dyDescent="0.25">
      <c r="A28" s="86">
        <v>24</v>
      </c>
      <c r="B28" s="152" t="s">
        <v>869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workbookViewId="0">
      <selection activeCell="N34" sqref="N34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870</v>
      </c>
      <c r="B1" s="183"/>
      <c r="C1" s="183"/>
    </row>
    <row r="2" spans="1:3" ht="20.100000000000001" customHeight="1" x14ac:dyDescent="0.25">
      <c r="A2" s="182"/>
      <c r="B2" s="183"/>
      <c r="C2" s="108" t="s">
        <v>871</v>
      </c>
    </row>
    <row r="3" spans="1:3" ht="20.100000000000001" customHeight="1" x14ac:dyDescent="0.25">
      <c r="A3" s="134" t="str">
        <f>"Hospital: "&amp;data!C98</f>
        <v>Hospital: ASTRIA TOPPENISH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872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307312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55447099</v>
      </c>
    </row>
    <row r="9" spans="1:3" ht="20.100000000000001" customHeight="1" x14ac:dyDescent="0.25">
      <c r="A9" s="188">
        <v>5</v>
      </c>
      <c r="B9" s="190" t="s">
        <v>873</v>
      </c>
      <c r="C9" s="190">
        <f>data!C269</f>
        <v>44596843</v>
      </c>
    </row>
    <row r="10" spans="1:3" ht="20.100000000000001" customHeight="1" x14ac:dyDescent="0.25">
      <c r="A10" s="188">
        <v>6</v>
      </c>
      <c r="B10" s="190" t="s">
        <v>874</v>
      </c>
      <c r="C10" s="190">
        <f>data!C270</f>
        <v>0</v>
      </c>
    </row>
    <row r="11" spans="1:3" ht="20.100000000000001" customHeight="1" x14ac:dyDescent="0.25">
      <c r="A11" s="188">
        <v>7</v>
      </c>
      <c r="B11" s="190" t="s">
        <v>875</v>
      </c>
      <c r="C11" s="190">
        <f>data!C271</f>
        <v>0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2730152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378612</v>
      </c>
    </row>
    <row r="15" spans="1:3" ht="20.100000000000001" customHeight="1" x14ac:dyDescent="0.25">
      <c r="A15" s="188">
        <v>11</v>
      </c>
      <c r="B15" s="190" t="s">
        <v>876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877</v>
      </c>
      <c r="C16" s="190">
        <f>data!D276</f>
        <v>14266332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878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0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879</v>
      </c>
      <c r="C22" s="190">
        <f>data!D281</f>
        <v>0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880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550000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26953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8244365</v>
      </c>
    </row>
    <row r="28" spans="1:3" ht="20.100000000000001" customHeight="1" x14ac:dyDescent="0.25">
      <c r="A28" s="188">
        <v>24</v>
      </c>
      <c r="B28" s="190" t="s">
        <v>881</v>
      </c>
      <c r="C28" s="190">
        <f>data!C286</f>
        <v>0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0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2264393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1108989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882</v>
      </c>
      <c r="C34" s="190">
        <f>data!C292</f>
        <v>4166369</v>
      </c>
    </row>
    <row r="35" spans="1:3" ht="20.100000000000001" customHeight="1" x14ac:dyDescent="0.25">
      <c r="A35" s="188">
        <v>31</v>
      </c>
      <c r="B35" s="190" t="s">
        <v>883</v>
      </c>
      <c r="C35" s="190">
        <f>data!D293</f>
        <v>8028331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884</v>
      </c>
      <c r="C37" s="189"/>
    </row>
    <row r="38" spans="1:3" ht="20.100000000000001" customHeight="1" x14ac:dyDescent="0.25">
      <c r="A38" s="188">
        <v>34</v>
      </c>
      <c r="B38" s="190" t="s">
        <v>885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886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3937364</v>
      </c>
    </row>
    <row r="42" spans="1:3" ht="20.100000000000001" customHeight="1" x14ac:dyDescent="0.25">
      <c r="A42" s="188">
        <v>38</v>
      </c>
      <c r="B42" s="190" t="s">
        <v>887</v>
      </c>
      <c r="C42" s="190">
        <f>data!D299</f>
        <v>3937364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888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889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890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891</v>
      </c>
      <c r="C50" s="190">
        <f>data!D308</f>
        <v>26232027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892</v>
      </c>
      <c r="B53" s="183"/>
      <c r="C53" s="183"/>
    </row>
    <row r="54" spans="1:3" ht="20.100000000000001" customHeight="1" x14ac:dyDescent="0.25">
      <c r="A54" s="182"/>
      <c r="B54" s="183"/>
      <c r="C54" s="108" t="s">
        <v>893</v>
      </c>
    </row>
    <row r="55" spans="1:3" ht="20.100000000000001" customHeight="1" x14ac:dyDescent="0.25">
      <c r="A55" s="134" t="str">
        <f>"Hospital: "&amp;data!C98</f>
        <v>Hospital: ASTRIA TOPPENISH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894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895</v>
      </c>
      <c r="C59" s="190">
        <f>data!C315</f>
        <v>4931802</v>
      </c>
    </row>
    <row r="60" spans="1:3" ht="20.100000000000001" customHeight="1" x14ac:dyDescent="0.25">
      <c r="A60" s="188">
        <v>4</v>
      </c>
      <c r="B60" s="190" t="s">
        <v>896</v>
      </c>
      <c r="C60" s="190">
        <f>data!C316</f>
        <v>650632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1343481</v>
      </c>
    </row>
    <row r="62" spans="1:3" ht="20.100000000000001" customHeight="1" x14ac:dyDescent="0.25">
      <c r="A62" s="188">
        <v>6</v>
      </c>
      <c r="B62" s="190" t="s">
        <v>897</v>
      </c>
      <c r="C62" s="190">
        <f>data!C318</f>
        <v>-501191</v>
      </c>
    </row>
    <row r="63" spans="1:3" ht="20.100000000000001" customHeight="1" x14ac:dyDescent="0.25">
      <c r="A63" s="188">
        <v>7</v>
      </c>
      <c r="B63" s="190" t="s">
        <v>898</v>
      </c>
      <c r="C63" s="190">
        <f>data!C319</f>
        <v>0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25182</v>
      </c>
    </row>
    <row r="67" spans="1:3" ht="20.100000000000001" customHeight="1" x14ac:dyDescent="0.25">
      <c r="A67" s="188">
        <v>11</v>
      </c>
      <c r="B67" s="190" t="s">
        <v>899</v>
      </c>
      <c r="C67" s="190">
        <f>data!C323</f>
        <v>555064</v>
      </c>
    </row>
    <row r="68" spans="1:3" ht="20.100000000000001" customHeight="1" x14ac:dyDescent="0.25">
      <c r="A68" s="188">
        <v>12</v>
      </c>
      <c r="B68" s="190" t="s">
        <v>900</v>
      </c>
      <c r="C68" s="190">
        <f>data!D324</f>
        <v>7004970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901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902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903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158865</v>
      </c>
    </row>
    <row r="78" spans="1:3" ht="20.100000000000001" customHeight="1" x14ac:dyDescent="0.25">
      <c r="A78" s="188">
        <v>22</v>
      </c>
      <c r="B78" s="190" t="s">
        <v>904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905</v>
      </c>
      <c r="C80" s="190">
        <f>data!C334</f>
        <v>3953869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906</v>
      </c>
      <c r="C82" s="190">
        <f>data!C336</f>
        <v>25171592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29284326</v>
      </c>
    </row>
    <row r="86" spans="1:3" ht="20.100000000000001" customHeight="1" x14ac:dyDescent="0.25">
      <c r="A86" s="188">
        <v>30</v>
      </c>
      <c r="B86" s="190" t="s">
        <v>907</v>
      </c>
      <c r="C86" s="190">
        <f>data!D340</f>
        <v>555064</v>
      </c>
    </row>
    <row r="87" spans="1:3" ht="20.100000000000001" customHeight="1" x14ac:dyDescent="0.25">
      <c r="A87" s="188">
        <v>31</v>
      </c>
      <c r="B87" s="190" t="s">
        <v>908</v>
      </c>
      <c r="C87" s="190">
        <f>data!D341</f>
        <v>28729262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909</v>
      </c>
      <c r="C89" s="190">
        <f>data!C343</f>
        <v>-9502205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910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911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912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913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914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915</v>
      </c>
      <c r="C102" s="190">
        <f>data!C343+data!C345+data!C346+data!C347+data!C348-data!C349</f>
        <v>-9502205</v>
      </c>
    </row>
    <row r="103" spans="1:3" ht="20.100000000000001" customHeight="1" x14ac:dyDescent="0.25">
      <c r="A103" s="188">
        <v>47</v>
      </c>
      <c r="B103" s="190" t="s">
        <v>916</v>
      </c>
      <c r="C103" s="190">
        <f>data!D352</f>
        <v>26232027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917</v>
      </c>
      <c r="B106" s="183"/>
      <c r="C106" s="183"/>
    </row>
    <row r="107" spans="1:3" ht="20.100000000000001" customHeight="1" x14ac:dyDescent="0.25">
      <c r="A107" s="184"/>
      <c r="C107" s="108" t="s">
        <v>918</v>
      </c>
    </row>
    <row r="108" spans="1:3" ht="20.100000000000001" customHeight="1" x14ac:dyDescent="0.25">
      <c r="A108" s="134" t="str">
        <f>"Hospital: "&amp;data!C98</f>
        <v>Hospital: ASTRIA TOPPENISH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919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53204373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154134924</v>
      </c>
    </row>
    <row r="113" spans="1:3" ht="20.100000000000001" customHeight="1" x14ac:dyDescent="0.25">
      <c r="A113" s="188">
        <v>4</v>
      </c>
      <c r="B113" s="190" t="s">
        <v>920</v>
      </c>
      <c r="C113" s="190">
        <f>data!D360</f>
        <v>207339297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921</v>
      </c>
      <c r="C115" s="189"/>
    </row>
    <row r="116" spans="1:3" ht="20.100000000000001" customHeight="1" x14ac:dyDescent="0.25">
      <c r="A116" s="188">
        <v>7</v>
      </c>
      <c r="B116" s="202" t="s">
        <v>922</v>
      </c>
      <c r="C116" s="203">
        <f>data!C362</f>
        <v>8743018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143588563</v>
      </c>
    </row>
    <row r="118" spans="1:3" ht="20.100000000000001" customHeight="1" x14ac:dyDescent="0.25">
      <c r="A118" s="188">
        <v>9</v>
      </c>
      <c r="B118" s="190" t="s">
        <v>923</v>
      </c>
      <c r="C118" s="203">
        <f>data!C364</f>
        <v>1263807</v>
      </c>
    </row>
    <row r="119" spans="1:3" ht="20.100000000000001" customHeight="1" x14ac:dyDescent="0.25">
      <c r="A119" s="188">
        <v>10</v>
      </c>
      <c r="B119" s="190" t="s">
        <v>924</v>
      </c>
      <c r="C119" s="203">
        <f>data!C365</f>
        <v>0</v>
      </c>
    </row>
    <row r="120" spans="1:3" ht="20.100000000000001" customHeight="1" x14ac:dyDescent="0.25">
      <c r="A120" s="188">
        <v>11</v>
      </c>
      <c r="B120" s="190" t="s">
        <v>868</v>
      </c>
      <c r="C120" s="203">
        <f>data!D366</f>
        <v>153595388</v>
      </c>
    </row>
    <row r="121" spans="1:3" ht="20.100000000000001" customHeight="1" x14ac:dyDescent="0.25">
      <c r="A121" s="188">
        <v>12</v>
      </c>
      <c r="B121" s="190" t="s">
        <v>925</v>
      </c>
      <c r="C121" s="203">
        <f>data!D367</f>
        <v>53743909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926</v>
      </c>
      <c r="B125" s="206" t="s">
        <v>479</v>
      </c>
      <c r="C125" s="205">
        <f>data!C370</f>
        <v>200</v>
      </c>
    </row>
    <row r="126" spans="1:3" ht="20.100000000000001" customHeight="1" x14ac:dyDescent="0.25">
      <c r="A126" s="209" t="s">
        <v>927</v>
      </c>
      <c r="B126" s="206" t="s">
        <v>480</v>
      </c>
      <c r="C126" s="205">
        <f>data!C371</f>
        <v>1213461</v>
      </c>
    </row>
    <row r="127" spans="1:3" ht="20.100000000000001" customHeight="1" x14ac:dyDescent="0.25">
      <c r="A127" s="209" t="s">
        <v>928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929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930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931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932</v>
      </c>
      <c r="B131" s="206" t="s">
        <v>485</v>
      </c>
      <c r="C131" s="205">
        <f>data!C376</f>
        <v>11322</v>
      </c>
    </row>
    <row r="132" spans="1:3" ht="20.100000000000001" customHeight="1" x14ac:dyDescent="0.25">
      <c r="A132" s="209" t="s">
        <v>933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934</v>
      </c>
      <c r="B133" s="206" t="s">
        <v>487</v>
      </c>
      <c r="C133" s="205">
        <f>data!C378</f>
        <v>158183</v>
      </c>
    </row>
    <row r="134" spans="1:3" ht="20.100000000000001" customHeight="1" x14ac:dyDescent="0.25">
      <c r="A134" s="209" t="s">
        <v>935</v>
      </c>
      <c r="B134" s="206" t="s">
        <v>488</v>
      </c>
      <c r="C134" s="205">
        <f>data!C379</f>
        <v>86678</v>
      </c>
    </row>
    <row r="135" spans="1:3" ht="20.100000000000001" customHeight="1" x14ac:dyDescent="0.25">
      <c r="A135" s="209" t="s">
        <v>936</v>
      </c>
      <c r="B135" s="206" t="s">
        <v>489</v>
      </c>
      <c r="C135" s="205">
        <f>data!C380</f>
        <v>2379434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937</v>
      </c>
      <c r="C137" s="203">
        <f>data!D383</f>
        <v>3849278</v>
      </c>
    </row>
    <row r="138" spans="1:3" ht="20.100000000000001" customHeight="1" x14ac:dyDescent="0.25">
      <c r="A138" s="188">
        <v>18</v>
      </c>
      <c r="B138" s="190" t="s">
        <v>938</v>
      </c>
      <c r="C138" s="203">
        <f>data!D384</f>
        <v>57593187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939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21035919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4468667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4767567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5974751</v>
      </c>
    </row>
    <row r="145" spans="1:3" ht="20.100000000000001" customHeight="1" x14ac:dyDescent="0.25">
      <c r="A145" s="188">
        <v>25</v>
      </c>
      <c r="B145" s="190" t="s">
        <v>940</v>
      </c>
      <c r="C145" s="203">
        <f>data!C393</f>
        <v>0</v>
      </c>
    </row>
    <row r="146" spans="1:3" ht="20.100000000000001" customHeight="1" x14ac:dyDescent="0.25">
      <c r="A146" s="188">
        <v>26</v>
      </c>
      <c r="B146" s="190" t="s">
        <v>941</v>
      </c>
      <c r="C146" s="203">
        <f>data!C394</f>
        <v>4497938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715558</v>
      </c>
    </row>
    <row r="148" spans="1:3" ht="20.100000000000001" customHeight="1" x14ac:dyDescent="0.25">
      <c r="A148" s="188">
        <v>28</v>
      </c>
      <c r="B148" s="190" t="s">
        <v>942</v>
      </c>
      <c r="C148" s="203">
        <f>data!C396</f>
        <v>1095180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575024</v>
      </c>
    </row>
    <row r="150" spans="1:3" ht="20.100000000000001" customHeight="1" x14ac:dyDescent="0.25">
      <c r="A150" s="188">
        <v>30</v>
      </c>
      <c r="B150" s="190" t="s">
        <v>943</v>
      </c>
      <c r="C150" s="203">
        <f>data!C398</f>
        <v>0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2483700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944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945</v>
      </c>
      <c r="B154" s="207" t="s">
        <v>256</v>
      </c>
      <c r="C154" s="203">
        <f>data!C402</f>
        <v>6942785</v>
      </c>
    </row>
    <row r="155" spans="1:3" ht="20.100000000000001" customHeight="1" x14ac:dyDescent="0.25">
      <c r="A155" s="209" t="s">
        <v>946</v>
      </c>
      <c r="B155" s="207" t="s">
        <v>947</v>
      </c>
      <c r="C155" s="203">
        <f>data!C403</f>
        <v>0</v>
      </c>
    </row>
    <row r="156" spans="1:3" ht="20.100000000000001" customHeight="1" x14ac:dyDescent="0.25">
      <c r="A156" s="209" t="s">
        <v>948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949</v>
      </c>
      <c r="B157" s="207" t="s">
        <v>259</v>
      </c>
      <c r="C157" s="203">
        <f>data!C405</f>
        <v>0</v>
      </c>
    </row>
    <row r="158" spans="1:3" ht="20.100000000000001" customHeight="1" x14ac:dyDescent="0.25">
      <c r="A158" s="209" t="s">
        <v>950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951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952</v>
      </c>
      <c r="B160" s="207" t="s">
        <v>262</v>
      </c>
      <c r="C160" s="203">
        <f>data!C408</f>
        <v>277566</v>
      </c>
    </row>
    <row r="161" spans="1:3" ht="20.100000000000001" customHeight="1" x14ac:dyDescent="0.25">
      <c r="A161" s="209" t="s">
        <v>953</v>
      </c>
      <c r="B161" s="207" t="s">
        <v>263</v>
      </c>
      <c r="C161" s="203">
        <f>data!C409</f>
        <v>8854382</v>
      </c>
    </row>
    <row r="162" spans="1:3" ht="20.100000000000001" customHeight="1" x14ac:dyDescent="0.25">
      <c r="A162" s="209" t="s">
        <v>954</v>
      </c>
      <c r="B162" s="207" t="s">
        <v>264</v>
      </c>
      <c r="C162" s="203">
        <f>data!C410</f>
        <v>0</v>
      </c>
    </row>
    <row r="163" spans="1:3" ht="20.100000000000001" customHeight="1" x14ac:dyDescent="0.25">
      <c r="A163" s="209" t="s">
        <v>955</v>
      </c>
      <c r="B163" s="207" t="s">
        <v>265</v>
      </c>
      <c r="C163" s="203">
        <f>data!C411</f>
        <v>0</v>
      </c>
    </row>
    <row r="164" spans="1:3" ht="20.100000000000001" customHeight="1" x14ac:dyDescent="0.25">
      <c r="A164" s="209" t="s">
        <v>956</v>
      </c>
      <c r="B164" s="207" t="s">
        <v>266</v>
      </c>
      <c r="C164" s="203">
        <f>data!C412</f>
        <v>1874259</v>
      </c>
    </row>
    <row r="165" spans="1:3" ht="20.100000000000001" customHeight="1" x14ac:dyDescent="0.25">
      <c r="A165" s="209" t="s">
        <v>957</v>
      </c>
      <c r="B165" s="207" t="s">
        <v>267</v>
      </c>
      <c r="C165" s="203">
        <f>data!C413</f>
        <v>611713</v>
      </c>
    </row>
    <row r="166" spans="1:3" ht="20.100000000000001" customHeight="1" x14ac:dyDescent="0.25">
      <c r="A166" s="209" t="s">
        <v>958</v>
      </c>
      <c r="B166" s="207" t="s">
        <v>959</v>
      </c>
      <c r="C166" s="203">
        <f>data!C414</f>
        <v>751226</v>
      </c>
    </row>
    <row r="167" spans="1:3" ht="20.100000000000001" customHeight="1" x14ac:dyDescent="0.25">
      <c r="A167" s="188">
        <v>34</v>
      </c>
      <c r="B167" s="190" t="s">
        <v>960</v>
      </c>
      <c r="C167" s="203">
        <f>data!D416</f>
        <v>64926235</v>
      </c>
    </row>
    <row r="168" spans="1:3" ht="20.100000000000001" customHeight="1" x14ac:dyDescent="0.25">
      <c r="A168" s="188">
        <v>35</v>
      </c>
      <c r="B168" s="190" t="s">
        <v>961</v>
      </c>
      <c r="C168" s="203">
        <f>data!D417</f>
        <v>-7333048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962</v>
      </c>
      <c r="C170" s="203">
        <f>data!D420</f>
        <v>0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963</v>
      </c>
      <c r="C172" s="190">
        <f>data!D421</f>
        <v>-7333048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964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965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966</v>
      </c>
      <c r="C177" s="203">
        <f>data!D424</f>
        <v>-7333048</v>
      </c>
    </row>
    <row r="178" spans="1:3" ht="20.100000000000001" customHeight="1" x14ac:dyDescent="0.25">
      <c r="A178" s="193">
        <v>45</v>
      </c>
      <c r="B178" s="192" t="s">
        <v>967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0" width="8.88671875" style="281" customWidth="1"/>
    <col min="11" max="16384" width="8.88671875" style="281"/>
  </cols>
  <sheetData>
    <row r="1" spans="1:9" ht="20.100000000000001" customHeight="1" x14ac:dyDescent="0.2">
      <c r="A1" s="279" t="s">
        <v>968</v>
      </c>
      <c r="B1" s="280"/>
      <c r="C1" s="280"/>
      <c r="D1" s="280"/>
      <c r="E1" s="280"/>
      <c r="F1" s="280"/>
      <c r="G1" s="280"/>
      <c r="H1" s="280"/>
    </row>
    <row r="2" spans="1:9" ht="20.100000000000001" customHeight="1" x14ac:dyDescent="0.2">
      <c r="A2" s="282"/>
      <c r="I2" s="283" t="s">
        <v>969</v>
      </c>
    </row>
    <row r="3" spans="1:9" ht="20.100000000000001" customHeight="1" x14ac:dyDescent="0.2">
      <c r="A3" s="282"/>
      <c r="I3" s="282"/>
    </row>
    <row r="4" spans="1:9" ht="20.100000000000001" customHeight="1" x14ac:dyDescent="0.2">
      <c r="A4" s="284" t="str">
        <f>"Hospital: "&amp;data!C98</f>
        <v>Hospital: ASTRIA TOPPENISH HOSPITAL</v>
      </c>
      <c r="G4" s="285"/>
      <c r="H4" s="284" t="str">
        <f>"FYE: "&amp;data!C96</f>
        <v>FYE: 12/31/2022</v>
      </c>
    </row>
    <row r="5" spans="1:9" ht="20.100000000000001" customHeight="1" x14ac:dyDescent="0.2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00000000000001" customHeight="1" x14ac:dyDescent="0.2">
      <c r="A6" s="289">
        <v>2</v>
      </c>
      <c r="B6" s="290" t="s">
        <v>970</v>
      </c>
      <c r="C6" s="291" t="s">
        <v>103</v>
      </c>
      <c r="D6" s="292" t="s">
        <v>971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00000000000001" customHeight="1" x14ac:dyDescent="0.2">
      <c r="A7" s="289"/>
      <c r="B7" s="290"/>
      <c r="C7" s="292" t="s">
        <v>175</v>
      </c>
      <c r="D7" s="292" t="s">
        <v>972</v>
      </c>
      <c r="E7" s="292" t="s">
        <v>175</v>
      </c>
      <c r="F7" s="292" t="s">
        <v>973</v>
      </c>
      <c r="G7" s="292" t="s">
        <v>177</v>
      </c>
      <c r="H7" s="292" t="s">
        <v>175</v>
      </c>
      <c r="I7" s="292" t="s">
        <v>178</v>
      </c>
    </row>
    <row r="8" spans="1:9" ht="20.100000000000001" customHeight="1" x14ac:dyDescent="0.2">
      <c r="A8" s="278">
        <v>3</v>
      </c>
      <c r="B8" s="286" t="s">
        <v>974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00000000000001" customHeight="1" x14ac:dyDescent="0.2">
      <c r="A9" s="278">
        <v>4</v>
      </c>
      <c r="B9" s="286" t="s">
        <v>246</v>
      </c>
      <c r="C9" s="286">
        <f>data!C59</f>
        <v>1738</v>
      </c>
      <c r="D9" s="286">
        <f>data!D59</f>
        <v>0</v>
      </c>
      <c r="E9" s="286">
        <f>data!E59</f>
        <v>1798</v>
      </c>
      <c r="F9" s="286">
        <f>data!F59</f>
        <v>0</v>
      </c>
      <c r="G9" s="286">
        <f>data!G59</f>
        <v>0</v>
      </c>
      <c r="H9" s="286">
        <f>data!H59</f>
        <v>5070</v>
      </c>
      <c r="I9" s="286">
        <f>data!I59</f>
        <v>0</v>
      </c>
    </row>
    <row r="10" spans="1:9" ht="20.100000000000001" customHeight="1" x14ac:dyDescent="0.2">
      <c r="A10" s="278">
        <v>5</v>
      </c>
      <c r="B10" s="286" t="s">
        <v>247</v>
      </c>
      <c r="C10" s="293">
        <f>data!C60</f>
        <v>7.75</v>
      </c>
      <c r="D10" s="293">
        <f>data!D60</f>
        <v>0</v>
      </c>
      <c r="E10" s="293">
        <f>data!E60</f>
        <v>11.06</v>
      </c>
      <c r="F10" s="293">
        <f>data!F60</f>
        <v>0</v>
      </c>
      <c r="G10" s="293">
        <f>data!G60</f>
        <v>0</v>
      </c>
      <c r="H10" s="293">
        <f>data!H60</f>
        <v>27.91</v>
      </c>
      <c r="I10" s="293">
        <f>data!I60</f>
        <v>0</v>
      </c>
    </row>
    <row r="11" spans="1:9" ht="20.100000000000001" customHeight="1" x14ac:dyDescent="0.2">
      <c r="A11" s="278">
        <v>6</v>
      </c>
      <c r="B11" s="286" t="s">
        <v>248</v>
      </c>
      <c r="C11" s="286">
        <f>data!C61</f>
        <v>691127</v>
      </c>
      <c r="D11" s="286">
        <f>data!D61</f>
        <v>0</v>
      </c>
      <c r="E11" s="286">
        <f>data!E61</f>
        <v>999703</v>
      </c>
      <c r="F11" s="286">
        <f>data!F61</f>
        <v>0</v>
      </c>
      <c r="G11" s="286">
        <f>data!G61</f>
        <v>0</v>
      </c>
      <c r="H11" s="286">
        <f>data!H61</f>
        <v>1727641</v>
      </c>
      <c r="I11" s="286">
        <f>data!I61</f>
        <v>0</v>
      </c>
    </row>
    <row r="12" spans="1:9" ht="20.100000000000001" customHeight="1" x14ac:dyDescent="0.2">
      <c r="A12" s="278">
        <v>7</v>
      </c>
      <c r="B12" s="286" t="s">
        <v>9</v>
      </c>
      <c r="C12" s="286">
        <f>data!C62</f>
        <v>155635</v>
      </c>
      <c r="D12" s="286">
        <f>data!D62</f>
        <v>0</v>
      </c>
      <c r="E12" s="286">
        <f>data!E62</f>
        <v>233858</v>
      </c>
      <c r="F12" s="286">
        <f>data!F62</f>
        <v>0</v>
      </c>
      <c r="G12" s="286">
        <f>data!G62</f>
        <v>0</v>
      </c>
      <c r="H12" s="286">
        <f>data!H62</f>
        <v>414490</v>
      </c>
      <c r="I12" s="286">
        <f>data!I62</f>
        <v>0</v>
      </c>
    </row>
    <row r="13" spans="1:9" ht="20.100000000000001" customHeight="1" x14ac:dyDescent="0.2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1093678</v>
      </c>
      <c r="F13" s="286">
        <f>data!F63</f>
        <v>0</v>
      </c>
      <c r="G13" s="286">
        <f>data!G63</f>
        <v>0</v>
      </c>
      <c r="H13" s="286">
        <f>data!H63</f>
        <v>824819</v>
      </c>
      <c r="I13" s="286">
        <f>data!I63</f>
        <v>0</v>
      </c>
    </row>
    <row r="14" spans="1:9" ht="20.100000000000001" customHeight="1" x14ac:dyDescent="0.2">
      <c r="A14" s="278">
        <v>9</v>
      </c>
      <c r="B14" s="286" t="s">
        <v>250</v>
      </c>
      <c r="C14" s="286">
        <f>data!C64</f>
        <v>202366</v>
      </c>
      <c r="D14" s="286">
        <f>data!D64</f>
        <v>0</v>
      </c>
      <c r="E14" s="286">
        <f>data!E64</f>
        <v>32848</v>
      </c>
      <c r="F14" s="286">
        <f>data!F64</f>
        <v>0</v>
      </c>
      <c r="G14" s="286">
        <f>data!G64</f>
        <v>0</v>
      </c>
      <c r="H14" s="286">
        <f>data!H64</f>
        <v>26534</v>
      </c>
      <c r="I14" s="286">
        <f>data!I64</f>
        <v>0</v>
      </c>
    </row>
    <row r="15" spans="1:9" ht="20.100000000000001" customHeight="1" x14ac:dyDescent="0.2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00000000000001" customHeight="1" x14ac:dyDescent="0.2">
      <c r="A16" s="278">
        <v>11</v>
      </c>
      <c r="B16" s="286" t="s">
        <v>498</v>
      </c>
      <c r="C16" s="286">
        <f>data!C66</f>
        <v>54848</v>
      </c>
      <c r="D16" s="286">
        <f>data!D66</f>
        <v>0</v>
      </c>
      <c r="E16" s="286">
        <f>data!E66</f>
        <v>91026</v>
      </c>
      <c r="F16" s="286">
        <f>data!F66</f>
        <v>0</v>
      </c>
      <c r="G16" s="286">
        <f>data!G66</f>
        <v>0</v>
      </c>
      <c r="H16" s="286">
        <f>data!H66</f>
        <v>35300</v>
      </c>
      <c r="I16" s="286">
        <f>data!I66</f>
        <v>0</v>
      </c>
    </row>
    <row r="17" spans="1:9" ht="20.100000000000001" customHeight="1" x14ac:dyDescent="0.2">
      <c r="A17" s="278">
        <v>12</v>
      </c>
      <c r="B17" s="286" t="s">
        <v>11</v>
      </c>
      <c r="C17" s="286">
        <f>data!C67</f>
        <v>27100</v>
      </c>
      <c r="D17" s="286">
        <f>data!D67</f>
        <v>0</v>
      </c>
      <c r="E17" s="286">
        <f>data!E67</f>
        <v>0</v>
      </c>
      <c r="F17" s="286">
        <f>data!F67</f>
        <v>0</v>
      </c>
      <c r="G17" s="286">
        <f>data!G67</f>
        <v>0</v>
      </c>
      <c r="H17" s="286">
        <f>data!H67</f>
        <v>43342</v>
      </c>
      <c r="I17" s="286">
        <f>data!I67</f>
        <v>0</v>
      </c>
    </row>
    <row r="18" spans="1:9" ht="20.100000000000001" customHeight="1" x14ac:dyDescent="0.2">
      <c r="A18" s="278">
        <v>13</v>
      </c>
      <c r="B18" s="286" t="s">
        <v>975</v>
      </c>
      <c r="C18" s="286">
        <f>data!C68</f>
        <v>1437</v>
      </c>
      <c r="D18" s="286">
        <f>data!D68</f>
        <v>0</v>
      </c>
      <c r="E18" s="286">
        <f>data!E68</f>
        <v>0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00000000000001" customHeight="1" x14ac:dyDescent="0.2">
      <c r="A19" s="278">
        <v>14</v>
      </c>
      <c r="B19" s="286" t="s">
        <v>976</v>
      </c>
      <c r="C19" s="286">
        <f>data!C69</f>
        <v>1666267</v>
      </c>
      <c r="D19" s="286">
        <f>data!D69</f>
        <v>0</v>
      </c>
      <c r="E19" s="286">
        <f>data!E69</f>
        <v>644835.37</v>
      </c>
      <c r="F19" s="286">
        <f>data!F69</f>
        <v>0</v>
      </c>
      <c r="G19" s="286">
        <f>data!G69</f>
        <v>0</v>
      </c>
      <c r="H19" s="286">
        <f>data!H69</f>
        <v>918678</v>
      </c>
      <c r="I19" s="286">
        <f>data!I69</f>
        <v>0</v>
      </c>
    </row>
    <row r="20" spans="1:9" ht="20.100000000000001" customHeight="1" x14ac:dyDescent="0.2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00000000000001" customHeight="1" x14ac:dyDescent="0.2">
      <c r="A21" s="278">
        <v>16</v>
      </c>
      <c r="B21" s="294" t="s">
        <v>977</v>
      </c>
      <c r="C21" s="286">
        <f>data!C85</f>
        <v>2798780</v>
      </c>
      <c r="D21" s="286">
        <f>data!D85</f>
        <v>0</v>
      </c>
      <c r="E21" s="286">
        <f>data!E85</f>
        <v>3095948.37</v>
      </c>
      <c r="F21" s="286">
        <f>data!F85</f>
        <v>0</v>
      </c>
      <c r="G21" s="286">
        <f>data!G85</f>
        <v>0</v>
      </c>
      <c r="H21" s="286">
        <f>data!H85</f>
        <v>3990804</v>
      </c>
      <c r="I21" s="286">
        <f>data!I85</f>
        <v>0</v>
      </c>
    </row>
    <row r="22" spans="1:9" ht="20.100000000000001" customHeight="1" x14ac:dyDescent="0.2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00000000000001" customHeight="1" x14ac:dyDescent="0.2">
      <c r="A23" s="278">
        <v>18</v>
      </c>
      <c r="B23" s="286" t="s">
        <v>978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ht="20.100000000000001" customHeight="1" x14ac:dyDescent="0.2">
      <c r="A24" s="278">
        <v>19</v>
      </c>
      <c r="B24" s="294" t="s">
        <v>979</v>
      </c>
      <c r="C24" s="286">
        <f>data!C87</f>
        <v>-2398807</v>
      </c>
      <c r="D24" s="286">
        <f>data!D87</f>
        <v>0</v>
      </c>
      <c r="E24" s="286">
        <f>data!E87</f>
        <v>-4895168</v>
      </c>
      <c r="F24" s="286">
        <f>data!F87</f>
        <v>0</v>
      </c>
      <c r="G24" s="286">
        <f>data!G87</f>
        <v>0</v>
      </c>
      <c r="H24" s="286">
        <f>data!H87</f>
        <v>-11415280</v>
      </c>
      <c r="I24" s="286">
        <f>data!I87</f>
        <v>0</v>
      </c>
    </row>
    <row r="25" spans="1:9" ht="20.100000000000001" customHeight="1" x14ac:dyDescent="0.2">
      <c r="A25" s="278">
        <v>20</v>
      </c>
      <c r="B25" s="294" t="s">
        <v>980</v>
      </c>
      <c r="C25" s="286">
        <f>data!C88</f>
        <v>-672</v>
      </c>
      <c r="D25" s="286">
        <f>data!D88</f>
        <v>0</v>
      </c>
      <c r="E25" s="286">
        <f>data!E88</f>
        <v>-2112846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2">
      <c r="A26" s="278">
        <v>21</v>
      </c>
      <c r="B26" s="294" t="s">
        <v>981</v>
      </c>
      <c r="C26" s="286">
        <f>data!C89</f>
        <v>-2399479</v>
      </c>
      <c r="D26" s="286">
        <f>data!D89</f>
        <v>0</v>
      </c>
      <c r="E26" s="286">
        <f>data!E89</f>
        <v>-7008014</v>
      </c>
      <c r="F26" s="286">
        <f>data!F89</f>
        <v>0</v>
      </c>
      <c r="G26" s="286">
        <f>data!G89</f>
        <v>0</v>
      </c>
      <c r="H26" s="286">
        <f>data!H89</f>
        <v>-11415280</v>
      </c>
      <c r="I26" s="286">
        <f>data!I89</f>
        <v>0</v>
      </c>
    </row>
    <row r="27" spans="1:9" ht="20.100000000000001" customHeight="1" x14ac:dyDescent="0.2">
      <c r="A27" s="278" t="s">
        <v>982</v>
      </c>
      <c r="B27" s="286"/>
      <c r="C27" s="296"/>
      <c r="D27" s="296"/>
      <c r="E27" s="296"/>
      <c r="F27" s="296"/>
      <c r="G27" s="296"/>
      <c r="H27" s="296"/>
      <c r="I27" s="296"/>
    </row>
    <row r="28" spans="1:9" ht="20.100000000000001" customHeight="1" x14ac:dyDescent="0.2">
      <c r="A28" s="278">
        <v>22</v>
      </c>
      <c r="B28" s="286" t="s">
        <v>983</v>
      </c>
      <c r="C28" s="286">
        <f>data!C90</f>
        <v>3000</v>
      </c>
      <c r="D28" s="286">
        <f>data!D90</f>
        <v>0</v>
      </c>
      <c r="E28" s="286">
        <f>data!E90</f>
        <v>0</v>
      </c>
      <c r="F28" s="286">
        <f>data!F90</f>
        <v>0</v>
      </c>
      <c r="G28" s="286">
        <f>data!G90</f>
        <v>0</v>
      </c>
      <c r="H28" s="286">
        <f>data!H90</f>
        <v>4798</v>
      </c>
      <c r="I28" s="286">
        <f>data!I90</f>
        <v>0</v>
      </c>
    </row>
    <row r="29" spans="1:9" ht="20.100000000000001" customHeight="1" x14ac:dyDescent="0.2">
      <c r="A29" s="278">
        <v>23</v>
      </c>
      <c r="B29" s="286" t="s">
        <v>984</v>
      </c>
      <c r="C29" s="286">
        <f>data!C91</f>
        <v>4729</v>
      </c>
      <c r="D29" s="286">
        <f>data!D91</f>
        <v>0</v>
      </c>
      <c r="E29" s="286">
        <f>data!E91</f>
        <v>0</v>
      </c>
      <c r="F29" s="286">
        <f>data!F91</f>
        <v>0</v>
      </c>
      <c r="G29" s="286">
        <f>data!G91</f>
        <v>0</v>
      </c>
      <c r="H29" s="286">
        <f>data!H91</f>
        <v>15242</v>
      </c>
      <c r="I29" s="286">
        <f>data!I91</f>
        <v>0</v>
      </c>
    </row>
    <row r="30" spans="1:9" ht="20.100000000000001" customHeight="1" x14ac:dyDescent="0.2">
      <c r="A30" s="278">
        <v>24</v>
      </c>
      <c r="B30" s="286" t="s">
        <v>985</v>
      </c>
      <c r="C30" s="286">
        <f>data!C92</f>
        <v>0</v>
      </c>
      <c r="D30" s="286">
        <f>data!D92</f>
        <v>0</v>
      </c>
      <c r="E30" s="286">
        <f>data!E92</f>
        <v>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00000000000001" customHeight="1" x14ac:dyDescent="0.2">
      <c r="A31" s="278">
        <v>25</v>
      </c>
      <c r="B31" s="286" t="s">
        <v>986</v>
      </c>
      <c r="C31" s="286">
        <f>data!C93</f>
        <v>76829</v>
      </c>
      <c r="D31" s="286">
        <f>data!D93</f>
        <v>0</v>
      </c>
      <c r="E31" s="286">
        <f>data!E93</f>
        <v>0</v>
      </c>
      <c r="F31" s="286">
        <f>data!F93</f>
        <v>0</v>
      </c>
      <c r="G31" s="286">
        <f>data!G93</f>
        <v>0</v>
      </c>
      <c r="H31" s="286">
        <f>data!H93</f>
        <v>46098</v>
      </c>
      <c r="I31" s="286">
        <f>data!I93</f>
        <v>0</v>
      </c>
    </row>
    <row r="32" spans="1:9" ht="20.100000000000001" customHeight="1" x14ac:dyDescent="0.2">
      <c r="A32" s="278">
        <v>26</v>
      </c>
      <c r="B32" s="286" t="s">
        <v>279</v>
      </c>
      <c r="C32" s="293">
        <f>data!C94</f>
        <v>3.89</v>
      </c>
      <c r="D32" s="293">
        <f>data!D94</f>
        <v>0</v>
      </c>
      <c r="E32" s="293">
        <f>data!E94</f>
        <v>6.35</v>
      </c>
      <c r="F32" s="293">
        <f>data!F94</f>
        <v>0</v>
      </c>
      <c r="G32" s="293">
        <f>data!G94</f>
        <v>0</v>
      </c>
      <c r="H32" s="293">
        <f>data!H94</f>
        <v>6.9</v>
      </c>
      <c r="I32" s="293">
        <f>data!I94</f>
        <v>0</v>
      </c>
    </row>
    <row r="33" spans="1:9" ht="20.100000000000001" customHeight="1" x14ac:dyDescent="0.2">
      <c r="A33" s="279" t="s">
        <v>968</v>
      </c>
      <c r="B33" s="280"/>
      <c r="C33" s="280"/>
      <c r="D33" s="280"/>
      <c r="E33" s="280"/>
      <c r="F33" s="280"/>
      <c r="G33" s="280"/>
      <c r="H33" s="280"/>
      <c r="I33" s="279"/>
    </row>
    <row r="34" spans="1:9" ht="20.100000000000001" customHeight="1" x14ac:dyDescent="0.2">
      <c r="A34" s="282"/>
      <c r="I34" s="283" t="s">
        <v>987</v>
      </c>
    </row>
    <row r="35" spans="1:9" ht="20.100000000000001" customHeight="1" x14ac:dyDescent="0.2">
      <c r="A35" s="282"/>
      <c r="I35" s="282"/>
    </row>
    <row r="36" spans="1:9" ht="20.100000000000001" customHeight="1" x14ac:dyDescent="0.2">
      <c r="A36" s="284" t="str">
        <f>"Hospital: "&amp;data!C98</f>
        <v>Hospital: ASTRIA TOPPENISH HOSPITAL</v>
      </c>
      <c r="G36" s="285"/>
      <c r="H36" s="284" t="str">
        <f>"FYE: "&amp;data!C96</f>
        <v>FYE: 12/31/2022</v>
      </c>
    </row>
    <row r="37" spans="1:9" ht="20.100000000000001" customHeight="1" x14ac:dyDescent="0.2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00000000000001" customHeight="1" x14ac:dyDescent="0.2">
      <c r="A38" s="289">
        <v>2</v>
      </c>
      <c r="B38" s="290" t="s">
        <v>970</v>
      </c>
      <c r="C38" s="292"/>
      <c r="D38" s="292" t="s">
        <v>111</v>
      </c>
      <c r="E38" s="292" t="s">
        <v>112</v>
      </c>
      <c r="F38" s="292" t="s">
        <v>988</v>
      </c>
      <c r="G38" s="292" t="s">
        <v>114</v>
      </c>
      <c r="H38" s="292" t="s">
        <v>989</v>
      </c>
      <c r="I38" s="292" t="s">
        <v>116</v>
      </c>
    </row>
    <row r="39" spans="1:9" ht="20.100000000000001" customHeight="1" x14ac:dyDescent="0.2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00000000000001" customHeight="1" x14ac:dyDescent="0.2">
      <c r="A40" s="278">
        <v>3</v>
      </c>
      <c r="B40" s="286" t="s">
        <v>974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00000000000001" customHeight="1" x14ac:dyDescent="0.2">
      <c r="A41" s="278">
        <v>4</v>
      </c>
      <c r="B41" s="286" t="s">
        <v>246</v>
      </c>
      <c r="C41" s="286">
        <f>data!J59</f>
        <v>444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544</v>
      </c>
      <c r="I41" s="286">
        <f>data!P59</f>
        <v>0</v>
      </c>
    </row>
    <row r="42" spans="1:9" ht="20.100000000000001" customHeight="1" x14ac:dyDescent="0.2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9.61</v>
      </c>
      <c r="I42" s="293">
        <f>data!P60</f>
        <v>31.77</v>
      </c>
    </row>
    <row r="43" spans="1:9" ht="20.100000000000001" customHeight="1" x14ac:dyDescent="0.2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1100479.25</v>
      </c>
      <c r="I43" s="286">
        <f>data!P61</f>
        <v>2620689</v>
      </c>
    </row>
    <row r="44" spans="1:9" ht="20.100000000000001" customHeight="1" x14ac:dyDescent="0.2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252942</v>
      </c>
      <c r="I44" s="286">
        <f>data!P62</f>
        <v>573068</v>
      </c>
    </row>
    <row r="45" spans="1:9" ht="20.100000000000001" customHeight="1" x14ac:dyDescent="0.2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919678</v>
      </c>
      <c r="I45" s="286">
        <f>data!P63</f>
        <v>94786</v>
      </c>
    </row>
    <row r="46" spans="1:9" ht="20.100000000000001" customHeight="1" x14ac:dyDescent="0.2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90289</v>
      </c>
      <c r="I46" s="286">
        <f>data!P64</f>
        <v>2795277</v>
      </c>
    </row>
    <row r="47" spans="1:9" ht="20.100000000000001" customHeight="1" x14ac:dyDescent="0.2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00000000000001" customHeight="1" x14ac:dyDescent="0.2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173451</v>
      </c>
    </row>
    <row r="49" spans="1:11" ht="20.100000000000001" customHeight="1" x14ac:dyDescent="0.2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52322</v>
      </c>
    </row>
    <row r="50" spans="1:11" ht="20.100000000000001" customHeight="1" x14ac:dyDescent="0.2">
      <c r="A50" s="278">
        <v>13</v>
      </c>
      <c r="B50" s="286" t="s">
        <v>975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527983</v>
      </c>
    </row>
    <row r="51" spans="1:11" ht="20.100000000000001" customHeight="1" x14ac:dyDescent="0.2">
      <c r="A51" s="278">
        <v>14</v>
      </c>
      <c r="B51" s="286" t="s">
        <v>976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48951</v>
      </c>
      <c r="I51" s="286">
        <f>data!P69</f>
        <v>590064</v>
      </c>
    </row>
    <row r="52" spans="1:11" ht="20.100000000000001" customHeight="1" x14ac:dyDescent="0.2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00000000000001" customHeight="1" x14ac:dyDescent="0.2">
      <c r="A53" s="278">
        <v>16</v>
      </c>
      <c r="B53" s="294" t="s">
        <v>977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2412339.25</v>
      </c>
      <c r="I53" s="286">
        <f>data!P85</f>
        <v>7427640</v>
      </c>
    </row>
    <row r="54" spans="1:11" ht="20.100000000000001" customHeight="1" x14ac:dyDescent="0.2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00000000000001" customHeight="1" x14ac:dyDescent="0.2">
      <c r="A55" s="278">
        <v>18</v>
      </c>
      <c r="B55" s="286" t="s">
        <v>978</v>
      </c>
      <c r="C55" s="294" t="e">
        <f>+data!M675</f>
        <v>#DIV/0!</v>
      </c>
      <c r="D55" s="294" t="e">
        <f>+data!M676</f>
        <v>#DIV/0!</v>
      </c>
      <c r="E55" s="294" t="e">
        <f>+data!M677</f>
        <v>#DIV/0!</v>
      </c>
      <c r="F55" s="294" t="e">
        <f>+data!M678</f>
        <v>#DIV/0!</v>
      </c>
      <c r="G55" s="294" t="e">
        <f>+data!M679</f>
        <v>#DIV/0!</v>
      </c>
      <c r="H55" s="294" t="e">
        <f>+data!M680</f>
        <v>#DIV/0!</v>
      </c>
      <c r="I55" s="294" t="e">
        <f>+data!M681</f>
        <v>#DIV/0!</v>
      </c>
    </row>
    <row r="56" spans="1:11" ht="20.100000000000001" customHeight="1" x14ac:dyDescent="0.2">
      <c r="A56" s="278">
        <v>19</v>
      </c>
      <c r="B56" s="294" t="s">
        <v>979</v>
      </c>
      <c r="C56" s="286">
        <f>data!J87</f>
        <v>-644475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-2220772</v>
      </c>
      <c r="I56" s="286">
        <f>data!P87</f>
        <v>-3076562</v>
      </c>
    </row>
    <row r="57" spans="1:11" ht="20.100000000000001" customHeight="1" x14ac:dyDescent="0.2">
      <c r="A57" s="278">
        <v>20</v>
      </c>
      <c r="B57" s="294" t="s">
        <v>980</v>
      </c>
      <c r="C57" s="286">
        <f>data!J88</f>
        <v>-16720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-285757</v>
      </c>
      <c r="I57" s="286">
        <f>data!P88</f>
        <v>-50365009</v>
      </c>
    </row>
    <row r="58" spans="1:11" ht="20.100000000000001" customHeight="1" x14ac:dyDescent="0.2">
      <c r="A58" s="278">
        <v>21</v>
      </c>
      <c r="B58" s="294" t="s">
        <v>981</v>
      </c>
      <c r="C58" s="286">
        <f>data!J89</f>
        <v>-661195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-2506529</v>
      </c>
      <c r="I58" s="286">
        <f>data!P89</f>
        <v>-53441571</v>
      </c>
    </row>
    <row r="59" spans="1:11" ht="20.100000000000001" customHeight="1" x14ac:dyDescent="0.2">
      <c r="A59" s="278" t="s">
        <v>982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00000000000001" customHeight="1" x14ac:dyDescent="0.25">
      <c r="A60" s="278">
        <v>22</v>
      </c>
      <c r="B60" s="286" t="s">
        <v>983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5792</v>
      </c>
      <c r="K60" s="297"/>
    </row>
    <row r="61" spans="1:11" ht="20.100000000000001" customHeight="1" x14ac:dyDescent="0.2">
      <c r="A61" s="278">
        <v>23</v>
      </c>
      <c r="B61" s="286" t="s">
        <v>984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6360</v>
      </c>
      <c r="I61" s="286">
        <f>data!P91</f>
        <v>0</v>
      </c>
    </row>
    <row r="62" spans="1:11" ht="20.100000000000001" customHeight="1" x14ac:dyDescent="0.2">
      <c r="A62" s="278">
        <v>24</v>
      </c>
      <c r="B62" s="286" t="s">
        <v>985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00000000000001" customHeight="1" x14ac:dyDescent="0.2">
      <c r="A63" s="278">
        <v>25</v>
      </c>
      <c r="B63" s="286" t="s">
        <v>986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36878</v>
      </c>
      <c r="I63" s="286">
        <f>data!P93</f>
        <v>33805</v>
      </c>
    </row>
    <row r="64" spans="1:11" ht="20.100000000000001" customHeight="1" x14ac:dyDescent="0.2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7.38</v>
      </c>
      <c r="I64" s="293">
        <f>data!P94</f>
        <v>14.45</v>
      </c>
    </row>
    <row r="65" spans="1:9" ht="20.100000000000001" customHeight="1" x14ac:dyDescent="0.2">
      <c r="A65" s="279" t="s">
        <v>968</v>
      </c>
      <c r="B65" s="280"/>
      <c r="C65" s="280"/>
      <c r="D65" s="280"/>
      <c r="E65" s="280"/>
      <c r="F65" s="280"/>
      <c r="G65" s="280"/>
      <c r="H65" s="280"/>
      <c r="I65" s="279"/>
    </row>
    <row r="66" spans="1:9" ht="20.100000000000001" customHeight="1" x14ac:dyDescent="0.2">
      <c r="D66" s="282"/>
      <c r="I66" s="283" t="s">
        <v>990</v>
      </c>
    </row>
    <row r="67" spans="1:9" ht="20.100000000000001" customHeight="1" x14ac:dyDescent="0.2">
      <c r="A67" s="282"/>
    </row>
    <row r="68" spans="1:9" ht="20.100000000000001" customHeight="1" x14ac:dyDescent="0.2">
      <c r="A68" s="284" t="str">
        <f>"Hospital: "&amp;data!C98</f>
        <v>Hospital: ASTRIA TOPPENISH HOSPITAL</v>
      </c>
      <c r="G68" s="285"/>
      <c r="H68" s="284" t="str">
        <f>"FYE: "&amp;data!C96</f>
        <v>FYE: 12/31/2022</v>
      </c>
    </row>
    <row r="69" spans="1:9" ht="20.100000000000001" customHeight="1" x14ac:dyDescent="0.2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00000000000001" customHeight="1" x14ac:dyDescent="0.2">
      <c r="A70" s="289">
        <v>2</v>
      </c>
      <c r="B70" s="290" t="s">
        <v>970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00000000000001" customHeight="1" x14ac:dyDescent="0.2">
      <c r="A71" s="289"/>
      <c r="B71" s="290"/>
      <c r="C71" s="292" t="s">
        <v>183</v>
      </c>
      <c r="D71" s="292" t="s">
        <v>991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00000000000001" customHeight="1" x14ac:dyDescent="0.2">
      <c r="A72" s="278">
        <v>3</v>
      </c>
      <c r="B72" s="286" t="s">
        <v>974</v>
      </c>
      <c r="C72" s="288" t="s">
        <v>992</v>
      </c>
      <c r="D72" s="287" t="s">
        <v>993</v>
      </c>
      <c r="E72" s="298"/>
      <c r="F72" s="298"/>
      <c r="G72" s="287" t="s">
        <v>994</v>
      </c>
      <c r="H72" s="287" t="s">
        <v>994</v>
      </c>
      <c r="I72" s="288" t="s">
        <v>235</v>
      </c>
    </row>
    <row r="73" spans="1:9" ht="20.100000000000001" customHeight="1" x14ac:dyDescent="0.2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00000000000001" customHeight="1" x14ac:dyDescent="0.2">
      <c r="A74" s="278">
        <v>5</v>
      </c>
      <c r="B74" s="286" t="s">
        <v>247</v>
      </c>
      <c r="C74" s="293">
        <f>data!Q60</f>
        <v>3.41</v>
      </c>
      <c r="D74" s="293">
        <f>data!R60</f>
        <v>0</v>
      </c>
      <c r="E74" s="293">
        <f>data!S60</f>
        <v>0</v>
      </c>
      <c r="F74" s="293">
        <f>data!T60</f>
        <v>0</v>
      </c>
      <c r="G74" s="293">
        <f>data!U60</f>
        <v>17.72</v>
      </c>
      <c r="H74" s="293">
        <f>data!V60</f>
        <v>0</v>
      </c>
      <c r="I74" s="293">
        <f>data!W60</f>
        <v>7.0000000000000007E-2</v>
      </c>
    </row>
    <row r="75" spans="1:9" ht="20.100000000000001" customHeight="1" x14ac:dyDescent="0.2">
      <c r="A75" s="278">
        <v>6</v>
      </c>
      <c r="B75" s="286" t="s">
        <v>248</v>
      </c>
      <c r="C75" s="286">
        <f>data!Q61</f>
        <v>410801</v>
      </c>
      <c r="D75" s="286">
        <f>data!R61</f>
        <v>0</v>
      </c>
      <c r="E75" s="286">
        <f>data!S61</f>
        <v>0</v>
      </c>
      <c r="F75" s="286">
        <f>data!T61</f>
        <v>0</v>
      </c>
      <c r="G75" s="286">
        <f>data!U61</f>
        <v>977903</v>
      </c>
      <c r="H75" s="286">
        <f>data!V61</f>
        <v>69439</v>
      </c>
      <c r="I75" s="286">
        <f>data!W61</f>
        <v>6298</v>
      </c>
    </row>
    <row r="76" spans="1:9" ht="20.100000000000001" customHeight="1" x14ac:dyDescent="0.2">
      <c r="A76" s="278">
        <v>7</v>
      </c>
      <c r="B76" s="286" t="s">
        <v>9</v>
      </c>
      <c r="C76" s="286">
        <f>data!Q62</f>
        <v>91406</v>
      </c>
      <c r="D76" s="286">
        <f>data!R62</f>
        <v>0</v>
      </c>
      <c r="E76" s="286">
        <f>data!S62</f>
        <v>0</v>
      </c>
      <c r="F76" s="286">
        <f>data!T62</f>
        <v>0</v>
      </c>
      <c r="G76" s="286">
        <f>data!U62</f>
        <v>229933</v>
      </c>
      <c r="H76" s="286">
        <f>data!V62</f>
        <v>16011</v>
      </c>
      <c r="I76" s="286">
        <f>data!W62</f>
        <v>1511</v>
      </c>
    </row>
    <row r="77" spans="1:9" ht="20.100000000000001" customHeight="1" x14ac:dyDescent="0.2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50000</v>
      </c>
      <c r="H77" s="286">
        <f>data!V63</f>
        <v>0</v>
      </c>
      <c r="I77" s="286">
        <f>data!W63</f>
        <v>0</v>
      </c>
    </row>
    <row r="78" spans="1:9" ht="20.100000000000001" customHeight="1" x14ac:dyDescent="0.2">
      <c r="A78" s="278">
        <v>9</v>
      </c>
      <c r="B78" s="286" t="s">
        <v>250</v>
      </c>
      <c r="C78" s="286">
        <f>data!Q64</f>
        <v>37172</v>
      </c>
      <c r="D78" s="286">
        <f>data!R64</f>
        <v>10668</v>
      </c>
      <c r="E78" s="286">
        <f>data!S64</f>
        <v>-4585</v>
      </c>
      <c r="F78" s="286">
        <f>data!T64</f>
        <v>-352</v>
      </c>
      <c r="G78" s="286">
        <f>data!U64</f>
        <v>755072</v>
      </c>
      <c r="H78" s="286">
        <f>data!V64</f>
        <v>0</v>
      </c>
      <c r="I78" s="286">
        <f>data!W64</f>
        <v>457</v>
      </c>
    </row>
    <row r="79" spans="1:9" ht="20.100000000000001" customHeight="1" x14ac:dyDescent="0.2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00000000000001" customHeight="1" x14ac:dyDescent="0.2">
      <c r="A80" s="278">
        <v>11</v>
      </c>
      <c r="B80" s="286" t="s">
        <v>498</v>
      </c>
      <c r="C80" s="286">
        <f>data!Q66</f>
        <v>210</v>
      </c>
      <c r="D80" s="286">
        <f>data!R66</f>
        <v>733217</v>
      </c>
      <c r="E80" s="286">
        <f>data!S66</f>
        <v>46</v>
      </c>
      <c r="F80" s="286">
        <f>data!T66</f>
        <v>610</v>
      </c>
      <c r="G80" s="286">
        <f>data!U66</f>
        <v>624670</v>
      </c>
      <c r="H80" s="286">
        <f>data!V66</f>
        <v>0</v>
      </c>
      <c r="I80" s="286">
        <f>data!W66</f>
        <v>289614</v>
      </c>
    </row>
    <row r="81" spans="1:9" ht="20.100000000000001" customHeight="1" x14ac:dyDescent="0.2">
      <c r="A81" s="278">
        <v>12</v>
      </c>
      <c r="B81" s="286" t="s">
        <v>11</v>
      </c>
      <c r="C81" s="286">
        <f>data!Q67</f>
        <v>35276</v>
      </c>
      <c r="D81" s="286">
        <f>data!R67</f>
        <v>1445</v>
      </c>
      <c r="E81" s="286">
        <f>data!S67</f>
        <v>0</v>
      </c>
      <c r="F81" s="286">
        <f>data!T67</f>
        <v>0</v>
      </c>
      <c r="G81" s="286">
        <f>data!U67</f>
        <v>24761</v>
      </c>
      <c r="H81" s="286">
        <f>data!V67</f>
        <v>0</v>
      </c>
      <c r="I81" s="286">
        <f>data!W67</f>
        <v>0</v>
      </c>
    </row>
    <row r="82" spans="1:9" ht="20.100000000000001" customHeight="1" x14ac:dyDescent="0.2">
      <c r="A82" s="278">
        <v>13</v>
      </c>
      <c r="B82" s="286" t="s">
        <v>975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39438</v>
      </c>
      <c r="H82" s="286">
        <f>data!V68</f>
        <v>0</v>
      </c>
      <c r="I82" s="286">
        <f>data!W68</f>
        <v>0</v>
      </c>
    </row>
    <row r="83" spans="1:9" ht="20.100000000000001" customHeight="1" x14ac:dyDescent="0.2">
      <c r="A83" s="278">
        <v>14</v>
      </c>
      <c r="B83" s="286" t="s">
        <v>976</v>
      </c>
      <c r="C83" s="286">
        <f>data!Q69</f>
        <v>962409</v>
      </c>
      <c r="D83" s="286">
        <f>data!R69</f>
        <v>3599</v>
      </c>
      <c r="E83" s="286">
        <f>data!S69</f>
        <v>25735</v>
      </c>
      <c r="F83" s="286">
        <f>data!T69</f>
        <v>0</v>
      </c>
      <c r="G83" s="286">
        <f>data!U69</f>
        <v>672294</v>
      </c>
      <c r="H83" s="286">
        <f>data!V69</f>
        <v>1591</v>
      </c>
      <c r="I83" s="286">
        <f>data!W69</f>
        <v>2229</v>
      </c>
    </row>
    <row r="84" spans="1:9" ht="20.100000000000001" customHeight="1" x14ac:dyDescent="0.2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00000000000001" customHeight="1" x14ac:dyDescent="0.2">
      <c r="A85" s="278">
        <v>16</v>
      </c>
      <c r="B85" s="294" t="s">
        <v>977</v>
      </c>
      <c r="C85" s="286">
        <f>data!Q85</f>
        <v>1537274</v>
      </c>
      <c r="D85" s="286">
        <f>data!R85</f>
        <v>748929</v>
      </c>
      <c r="E85" s="286">
        <f>data!S85</f>
        <v>21196</v>
      </c>
      <c r="F85" s="286">
        <f>data!T85</f>
        <v>258</v>
      </c>
      <c r="G85" s="286">
        <f>data!U85</f>
        <v>3374071</v>
      </c>
      <c r="H85" s="286">
        <f>data!V85</f>
        <v>87041</v>
      </c>
      <c r="I85" s="286">
        <f>data!W85</f>
        <v>300109</v>
      </c>
    </row>
    <row r="86" spans="1:9" ht="20.100000000000001" customHeight="1" x14ac:dyDescent="0.2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00000000000001" customHeight="1" x14ac:dyDescent="0.2">
      <c r="A87" s="278">
        <v>18</v>
      </c>
      <c r="B87" s="286" t="s">
        <v>978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ht="20.100000000000001" customHeight="1" x14ac:dyDescent="0.2">
      <c r="A88" s="278">
        <v>19</v>
      </c>
      <c r="B88" s="294" t="s">
        <v>979</v>
      </c>
      <c r="C88" s="286">
        <f>data!Q87</f>
        <v>-31686</v>
      </c>
      <c r="D88" s="286">
        <f>data!R87</f>
        <v>-192584</v>
      </c>
      <c r="E88" s="286">
        <f>data!S87</f>
        <v>-60274</v>
      </c>
      <c r="F88" s="286">
        <f>data!T87</f>
        <v>-5558</v>
      </c>
      <c r="G88" s="286">
        <f>data!U87</f>
        <v>-7732124</v>
      </c>
      <c r="H88" s="286">
        <f>data!V87</f>
        <v>-703399</v>
      </c>
      <c r="I88" s="286">
        <f>data!W87</f>
        <v>-241486</v>
      </c>
    </row>
    <row r="89" spans="1:9" ht="20.100000000000001" customHeight="1" x14ac:dyDescent="0.2">
      <c r="A89" s="278">
        <v>20</v>
      </c>
      <c r="B89" s="294" t="s">
        <v>980</v>
      </c>
      <c r="C89" s="286">
        <f>data!Q88</f>
        <v>-686982</v>
      </c>
      <c r="D89" s="286">
        <f>data!R88</f>
        <v>-494722</v>
      </c>
      <c r="E89" s="286">
        <f>data!S88</f>
        <v>-306426</v>
      </c>
      <c r="F89" s="286">
        <f>data!T88</f>
        <v>-302792</v>
      </c>
      <c r="G89" s="286">
        <f>data!U88</f>
        <v>-13302481</v>
      </c>
      <c r="H89" s="286">
        <f>data!V88</f>
        <v>-2007981</v>
      </c>
      <c r="I89" s="286">
        <f>data!W88</f>
        <v>-2390526.7999999998</v>
      </c>
    </row>
    <row r="90" spans="1:9" ht="20.100000000000001" customHeight="1" x14ac:dyDescent="0.2">
      <c r="A90" s="278">
        <v>21</v>
      </c>
      <c r="B90" s="294" t="s">
        <v>981</v>
      </c>
      <c r="C90" s="286">
        <f>data!Q89</f>
        <v>-718668</v>
      </c>
      <c r="D90" s="286">
        <f>data!R89</f>
        <v>-687306</v>
      </c>
      <c r="E90" s="286">
        <f>data!S89</f>
        <v>-366700</v>
      </c>
      <c r="F90" s="286">
        <f>data!T89</f>
        <v>-308350</v>
      </c>
      <c r="G90" s="286">
        <f>data!U89</f>
        <v>-21034605</v>
      </c>
      <c r="H90" s="286">
        <f>data!V89</f>
        <v>-2711380</v>
      </c>
      <c r="I90" s="286">
        <f>data!W89</f>
        <v>-2632012.7999999998</v>
      </c>
    </row>
    <row r="91" spans="1:9" ht="20.100000000000001" customHeight="1" x14ac:dyDescent="0.2">
      <c r="A91" s="278" t="s">
        <v>982</v>
      </c>
      <c r="B91" s="286"/>
      <c r="C91" s="296"/>
      <c r="D91" s="296"/>
      <c r="E91" s="296"/>
      <c r="F91" s="296"/>
      <c r="G91" s="296"/>
      <c r="H91" s="296"/>
      <c r="I91" s="296"/>
    </row>
    <row r="92" spans="1:9" ht="20.100000000000001" customHeight="1" x14ac:dyDescent="0.2">
      <c r="A92" s="278">
        <v>22</v>
      </c>
      <c r="B92" s="286" t="s">
        <v>983</v>
      </c>
      <c r="C92" s="286">
        <f>data!Q90</f>
        <v>3905</v>
      </c>
      <c r="D92" s="286">
        <f>data!R90</f>
        <v>160</v>
      </c>
      <c r="E92" s="286">
        <f>data!S90</f>
        <v>0</v>
      </c>
      <c r="F92" s="286">
        <f>data!T90</f>
        <v>0</v>
      </c>
      <c r="G92" s="286">
        <f>data!U90</f>
        <v>2741</v>
      </c>
      <c r="H92" s="286">
        <f>data!V90</f>
        <v>0</v>
      </c>
      <c r="I92" s="286">
        <f>data!W90</f>
        <v>0</v>
      </c>
    </row>
    <row r="93" spans="1:9" ht="20.100000000000001" customHeight="1" x14ac:dyDescent="0.2">
      <c r="A93" s="278">
        <v>23</v>
      </c>
      <c r="B93" s="286" t="s">
        <v>984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00000000000001" customHeight="1" x14ac:dyDescent="0.2">
      <c r="A94" s="278">
        <v>24</v>
      </c>
      <c r="B94" s="286" t="s">
        <v>985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00000000000001" customHeight="1" x14ac:dyDescent="0.2">
      <c r="A95" s="278">
        <v>25</v>
      </c>
      <c r="B95" s="286" t="s">
        <v>986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00000000000001" customHeight="1" x14ac:dyDescent="0.2">
      <c r="A96" s="278">
        <v>26</v>
      </c>
      <c r="B96" s="286" t="s">
        <v>279</v>
      </c>
      <c r="C96" s="293">
        <f>data!Q94</f>
        <v>3.41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00000000000001" customHeight="1" x14ac:dyDescent="0.2">
      <c r="A97" s="279" t="s">
        <v>968</v>
      </c>
      <c r="B97" s="280"/>
      <c r="C97" s="280"/>
      <c r="D97" s="280"/>
      <c r="E97" s="280"/>
      <c r="F97" s="280"/>
      <c r="G97" s="280"/>
      <c r="H97" s="280"/>
      <c r="I97" s="279"/>
    </row>
    <row r="98" spans="1:9" ht="20.100000000000001" customHeight="1" x14ac:dyDescent="0.2">
      <c r="D98" s="282"/>
      <c r="I98" s="283" t="s">
        <v>995</v>
      </c>
    </row>
    <row r="99" spans="1:9" ht="20.100000000000001" customHeight="1" x14ac:dyDescent="0.2">
      <c r="A99" s="282"/>
    </row>
    <row r="100" spans="1:9" ht="20.100000000000001" customHeight="1" x14ac:dyDescent="0.2">
      <c r="A100" s="284" t="str">
        <f>"Hospital: "&amp;data!C98</f>
        <v>Hospital: ASTRIA TOPPENISH HOSPITAL</v>
      </c>
      <c r="G100" s="285"/>
      <c r="H100" s="284" t="str">
        <f>"FYE: "&amp;data!C96</f>
        <v>FYE: 12/31/2022</v>
      </c>
    </row>
    <row r="101" spans="1:9" ht="20.100000000000001" customHeight="1" x14ac:dyDescent="0.2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00000000000001" customHeight="1" x14ac:dyDescent="0.2">
      <c r="A102" s="289">
        <v>2</v>
      </c>
      <c r="B102" s="290" t="s">
        <v>970</v>
      </c>
      <c r="C102" s="292" t="s">
        <v>996</v>
      </c>
      <c r="D102" s="292" t="s">
        <v>997</v>
      </c>
      <c r="E102" s="292" t="s">
        <v>997</v>
      </c>
      <c r="F102" s="292" t="s">
        <v>126</v>
      </c>
      <c r="G102" s="292"/>
      <c r="H102" s="292" t="s">
        <v>128</v>
      </c>
      <c r="I102" s="292"/>
    </row>
    <row r="103" spans="1:9" ht="20.100000000000001" customHeight="1" x14ac:dyDescent="0.2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00000000000001" customHeight="1" x14ac:dyDescent="0.2">
      <c r="A104" s="278">
        <v>3</v>
      </c>
      <c r="B104" s="286" t="s">
        <v>974</v>
      </c>
      <c r="C104" s="287" t="s">
        <v>236</v>
      </c>
      <c r="D104" s="288" t="s">
        <v>998</v>
      </c>
      <c r="E104" s="288" t="s">
        <v>998</v>
      </c>
      <c r="F104" s="288" t="s">
        <v>998</v>
      </c>
      <c r="G104" s="298"/>
      <c r="H104" s="288" t="s">
        <v>238</v>
      </c>
      <c r="I104" s="288" t="s">
        <v>239</v>
      </c>
    </row>
    <row r="105" spans="1:9" ht="20.100000000000001" customHeight="1" x14ac:dyDescent="0.2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00000000000001" customHeight="1" x14ac:dyDescent="0.2">
      <c r="A106" s="278">
        <v>5</v>
      </c>
      <c r="B106" s="286" t="s">
        <v>247</v>
      </c>
      <c r="C106" s="293">
        <f>data!X60</f>
        <v>0.9</v>
      </c>
      <c r="D106" s="293">
        <f>data!Y60</f>
        <v>15.45</v>
      </c>
      <c r="E106" s="293">
        <f>data!Z60</f>
        <v>0</v>
      </c>
      <c r="F106" s="293">
        <f>data!AA60</f>
        <v>0</v>
      </c>
      <c r="G106" s="293">
        <f>data!AB60</f>
        <v>4.84</v>
      </c>
      <c r="H106" s="293">
        <f>data!AC60</f>
        <v>0.48</v>
      </c>
      <c r="I106" s="293">
        <f>data!AD60</f>
        <v>0</v>
      </c>
    </row>
    <row r="107" spans="1:9" ht="20.100000000000001" customHeight="1" x14ac:dyDescent="0.2">
      <c r="A107" s="278">
        <v>6</v>
      </c>
      <c r="B107" s="286" t="s">
        <v>248</v>
      </c>
      <c r="C107" s="286">
        <f>data!X61</f>
        <v>74779</v>
      </c>
      <c r="D107" s="286">
        <f>data!Y61</f>
        <v>958775</v>
      </c>
      <c r="E107" s="286">
        <f>data!Z61</f>
        <v>0</v>
      </c>
      <c r="F107" s="286">
        <f>data!AA61</f>
        <v>0</v>
      </c>
      <c r="G107" s="286">
        <f>data!AB61</f>
        <v>464893</v>
      </c>
      <c r="H107" s="286">
        <f>data!AC61</f>
        <v>45180</v>
      </c>
      <c r="I107" s="286">
        <f>data!AD61</f>
        <v>0</v>
      </c>
    </row>
    <row r="108" spans="1:9" ht="20.100000000000001" customHeight="1" x14ac:dyDescent="0.2">
      <c r="A108" s="278">
        <v>7</v>
      </c>
      <c r="B108" s="286" t="s">
        <v>9</v>
      </c>
      <c r="C108" s="286">
        <f>data!X62</f>
        <v>15281</v>
      </c>
      <c r="D108" s="286">
        <f>data!Y62</f>
        <v>224819</v>
      </c>
      <c r="E108" s="286">
        <f>data!Z62</f>
        <v>0</v>
      </c>
      <c r="F108" s="286">
        <f>data!AA62</f>
        <v>0</v>
      </c>
      <c r="G108" s="286">
        <f>data!AB62</f>
        <v>108623</v>
      </c>
      <c r="H108" s="286">
        <f>data!AC62</f>
        <v>10305</v>
      </c>
      <c r="I108" s="286">
        <f>data!AD62</f>
        <v>0</v>
      </c>
    </row>
    <row r="109" spans="1:9" ht="20.100000000000001" customHeight="1" x14ac:dyDescent="0.2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00000000000001" customHeight="1" x14ac:dyDescent="0.2">
      <c r="A110" s="278">
        <v>9</v>
      </c>
      <c r="B110" s="286" t="s">
        <v>250</v>
      </c>
      <c r="C110" s="286">
        <f>data!X64</f>
        <v>26605</v>
      </c>
      <c r="D110" s="286">
        <f>data!Y64</f>
        <v>20227</v>
      </c>
      <c r="E110" s="286">
        <f>data!Z64</f>
        <v>0</v>
      </c>
      <c r="F110" s="286">
        <f>data!AA64</f>
        <v>0</v>
      </c>
      <c r="G110" s="286">
        <f>data!AB64</f>
        <v>909248</v>
      </c>
      <c r="H110" s="286">
        <f>data!AC64</f>
        <v>35139</v>
      </c>
      <c r="I110" s="286">
        <f>data!AD64</f>
        <v>0</v>
      </c>
    </row>
    <row r="111" spans="1:9" ht="20.100000000000001" customHeight="1" x14ac:dyDescent="0.2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00000000000001" customHeight="1" x14ac:dyDescent="0.2">
      <c r="A112" s="278">
        <v>11</v>
      </c>
      <c r="B112" s="286" t="s">
        <v>498</v>
      </c>
      <c r="C112" s="286">
        <f>data!X66</f>
        <v>0</v>
      </c>
      <c r="D112" s="286">
        <f>data!Y66</f>
        <v>260910</v>
      </c>
      <c r="E112" s="286">
        <f>data!Z66</f>
        <v>0</v>
      </c>
      <c r="F112" s="286">
        <f>data!AA66</f>
        <v>0</v>
      </c>
      <c r="G112" s="286">
        <f>data!AB66</f>
        <v>244420</v>
      </c>
      <c r="H112" s="286">
        <f>data!AC66</f>
        <v>687184</v>
      </c>
      <c r="I112" s="286">
        <f>data!AD66</f>
        <v>0</v>
      </c>
    </row>
    <row r="113" spans="1:9" ht="20.100000000000001" customHeight="1" x14ac:dyDescent="0.2">
      <c r="A113" s="278">
        <v>12</v>
      </c>
      <c r="B113" s="286" t="s">
        <v>11</v>
      </c>
      <c r="C113" s="286">
        <f>data!X67</f>
        <v>0</v>
      </c>
      <c r="D113" s="286">
        <f>data!Y67</f>
        <v>36838</v>
      </c>
      <c r="E113" s="286">
        <f>data!Z67</f>
        <v>0</v>
      </c>
      <c r="F113" s="286">
        <f>data!AA67</f>
        <v>0</v>
      </c>
      <c r="G113" s="286">
        <f>data!AB67</f>
        <v>9594</v>
      </c>
      <c r="H113" s="286">
        <f>data!AC67</f>
        <v>7606</v>
      </c>
      <c r="I113" s="286">
        <f>data!AD67</f>
        <v>0</v>
      </c>
    </row>
    <row r="114" spans="1:9" ht="20.100000000000001" customHeight="1" x14ac:dyDescent="0.2">
      <c r="A114" s="278">
        <v>13</v>
      </c>
      <c r="B114" s="286" t="s">
        <v>975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00000000000001" customHeight="1" x14ac:dyDescent="0.2">
      <c r="A115" s="278">
        <v>14</v>
      </c>
      <c r="B115" s="286" t="s">
        <v>976</v>
      </c>
      <c r="C115" s="286">
        <f>data!X69</f>
        <v>525</v>
      </c>
      <c r="D115" s="286">
        <f>data!Y69</f>
        <v>-10650</v>
      </c>
      <c r="E115" s="286">
        <f>data!Z69</f>
        <v>0</v>
      </c>
      <c r="F115" s="286">
        <f>data!AA69</f>
        <v>0</v>
      </c>
      <c r="G115" s="286">
        <f>data!AB69</f>
        <v>43415</v>
      </c>
      <c r="H115" s="286">
        <f>data!AC69</f>
        <v>-21527</v>
      </c>
      <c r="I115" s="286">
        <f>data!AD69</f>
        <v>0</v>
      </c>
    </row>
    <row r="116" spans="1:9" ht="20.100000000000001" customHeight="1" x14ac:dyDescent="0.2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00000000000001" customHeight="1" x14ac:dyDescent="0.2">
      <c r="A117" s="278">
        <v>16</v>
      </c>
      <c r="B117" s="294" t="s">
        <v>977</v>
      </c>
      <c r="C117" s="286">
        <f>data!X85</f>
        <v>117190</v>
      </c>
      <c r="D117" s="286">
        <f>data!Y85</f>
        <v>1490919</v>
      </c>
      <c r="E117" s="286">
        <f>data!Z85</f>
        <v>0</v>
      </c>
      <c r="F117" s="286">
        <f>data!AA85</f>
        <v>0</v>
      </c>
      <c r="G117" s="286">
        <f>data!AB85</f>
        <v>1780193</v>
      </c>
      <c r="H117" s="286">
        <f>data!AC85</f>
        <v>763887</v>
      </c>
      <c r="I117" s="286">
        <f>data!AD85</f>
        <v>0</v>
      </c>
    </row>
    <row r="118" spans="1:9" ht="20.100000000000001" customHeight="1" x14ac:dyDescent="0.2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00000000000001" customHeight="1" x14ac:dyDescent="0.2">
      <c r="A119" s="278">
        <v>18</v>
      </c>
      <c r="B119" s="286" t="s">
        <v>978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ht="20.100000000000001" customHeight="1" x14ac:dyDescent="0.2">
      <c r="A120" s="278">
        <v>19</v>
      </c>
      <c r="B120" s="294" t="s">
        <v>979</v>
      </c>
      <c r="C120" s="286">
        <f>data!X87</f>
        <v>-3588394</v>
      </c>
      <c r="D120" s="286">
        <f>data!Y87</f>
        <v>-1243916</v>
      </c>
      <c r="E120" s="286">
        <f>data!Z87</f>
        <v>0</v>
      </c>
      <c r="F120" s="286">
        <f>data!AA87</f>
        <v>0</v>
      </c>
      <c r="G120" s="286">
        <f>data!AB87</f>
        <v>-7373555</v>
      </c>
      <c r="H120" s="286">
        <f>data!AC87</f>
        <v>-2475173</v>
      </c>
      <c r="I120" s="286">
        <f>data!AD87</f>
        <v>0</v>
      </c>
    </row>
    <row r="121" spans="1:9" ht="20.100000000000001" customHeight="1" x14ac:dyDescent="0.2">
      <c r="A121" s="278">
        <v>20</v>
      </c>
      <c r="B121" s="294" t="s">
        <v>980</v>
      </c>
      <c r="C121" s="286">
        <f>data!X88</f>
        <v>-17994024</v>
      </c>
      <c r="D121" s="286">
        <f>data!Y88</f>
        <v>-9216696</v>
      </c>
      <c r="E121" s="286">
        <f>data!Z88</f>
        <v>0</v>
      </c>
      <c r="F121" s="286">
        <f>data!AA88</f>
        <v>0</v>
      </c>
      <c r="G121" s="286">
        <f>data!AB88</f>
        <v>-3630406</v>
      </c>
      <c r="H121" s="286">
        <f>data!AC88</f>
        <v>-643735</v>
      </c>
      <c r="I121" s="286">
        <f>data!AD88</f>
        <v>0</v>
      </c>
    </row>
    <row r="122" spans="1:9" ht="20.100000000000001" customHeight="1" x14ac:dyDescent="0.2">
      <c r="A122" s="278">
        <v>21</v>
      </c>
      <c r="B122" s="294" t="s">
        <v>981</v>
      </c>
      <c r="C122" s="286">
        <f>data!X89</f>
        <v>-21582418</v>
      </c>
      <c r="D122" s="286">
        <f>data!Y89</f>
        <v>-10460612</v>
      </c>
      <c r="E122" s="286">
        <f>data!Z89</f>
        <v>0</v>
      </c>
      <c r="F122" s="286">
        <f>data!AA89</f>
        <v>0</v>
      </c>
      <c r="G122" s="286">
        <f>data!AB89</f>
        <v>-11003961</v>
      </c>
      <c r="H122" s="286">
        <f>data!AC89</f>
        <v>-3118908</v>
      </c>
      <c r="I122" s="286">
        <f>data!AD89</f>
        <v>0</v>
      </c>
    </row>
    <row r="123" spans="1:9" ht="20.100000000000001" customHeight="1" x14ac:dyDescent="0.2">
      <c r="A123" s="278" t="s">
        <v>982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00000000000001" customHeight="1" x14ac:dyDescent="0.2">
      <c r="A124" s="278">
        <v>22</v>
      </c>
      <c r="B124" s="286" t="s">
        <v>983</v>
      </c>
      <c r="C124" s="286">
        <f>data!X90</f>
        <v>0</v>
      </c>
      <c r="D124" s="286">
        <f>data!Y90</f>
        <v>4078</v>
      </c>
      <c r="E124" s="286">
        <f>data!Z90</f>
        <v>0</v>
      </c>
      <c r="F124" s="286">
        <f>data!AA90</f>
        <v>0</v>
      </c>
      <c r="G124" s="286">
        <f>data!AB90</f>
        <v>1062</v>
      </c>
      <c r="H124" s="286">
        <f>data!AC90</f>
        <v>842</v>
      </c>
      <c r="I124" s="286">
        <f>data!AD90</f>
        <v>0</v>
      </c>
    </row>
    <row r="125" spans="1:9" ht="20.100000000000001" customHeight="1" x14ac:dyDescent="0.2">
      <c r="A125" s="278">
        <v>23</v>
      </c>
      <c r="B125" s="286" t="s">
        <v>984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00000000000001" customHeight="1" x14ac:dyDescent="0.2">
      <c r="A126" s="278">
        <v>24</v>
      </c>
      <c r="B126" s="286" t="s">
        <v>985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00000000000001" customHeight="1" x14ac:dyDescent="0.2">
      <c r="A127" s="278">
        <v>25</v>
      </c>
      <c r="B127" s="286" t="s">
        <v>986</v>
      </c>
      <c r="C127" s="286">
        <f>data!X93</f>
        <v>0</v>
      </c>
      <c r="D127" s="286">
        <f>data!Y93</f>
        <v>21513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00000000000001" customHeight="1" x14ac:dyDescent="0.2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00000000000001" customHeight="1" x14ac:dyDescent="0.2">
      <c r="A129" s="279" t="s">
        <v>968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00000000000001" customHeight="1" x14ac:dyDescent="0.2">
      <c r="D130" s="282"/>
      <c r="I130" s="283" t="s">
        <v>999</v>
      </c>
    </row>
    <row r="131" spans="1:14" ht="20.100000000000001" customHeight="1" x14ac:dyDescent="0.2">
      <c r="A131" s="282"/>
    </row>
    <row r="132" spans="1:14" ht="20.100000000000001" customHeight="1" x14ac:dyDescent="0.2">
      <c r="A132" s="284" t="str">
        <f>"Hospital: "&amp;data!C98</f>
        <v>Hospital: ASTRIA TOPPENISH HOSPITAL</v>
      </c>
      <c r="G132" s="285"/>
      <c r="H132" s="284" t="str">
        <f>"FYE: "&amp;data!C96</f>
        <v>FYE: 12/31/2022</v>
      </c>
    </row>
    <row r="133" spans="1:14" ht="20.100000000000001" customHeight="1" x14ac:dyDescent="0.2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00000000000001" customHeight="1" x14ac:dyDescent="0.2">
      <c r="A134" s="289">
        <v>2</v>
      </c>
      <c r="B134" s="290" t="s">
        <v>970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1000</v>
      </c>
      <c r="H134" s="292"/>
      <c r="I134" s="292" t="s">
        <v>134</v>
      </c>
    </row>
    <row r="135" spans="1:14" ht="20.100000000000001" customHeight="1" x14ac:dyDescent="0.2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00000000000001" customHeight="1" x14ac:dyDescent="0.2">
      <c r="A136" s="278">
        <v>3</v>
      </c>
      <c r="B136" s="286" t="s">
        <v>974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1001</v>
      </c>
      <c r="H136" s="288" t="s">
        <v>240</v>
      </c>
      <c r="I136" s="288" t="s">
        <v>238</v>
      </c>
    </row>
    <row r="137" spans="1:14" ht="20.100000000000001" customHeight="1" x14ac:dyDescent="0.25">
      <c r="A137" s="278">
        <v>4</v>
      </c>
      <c r="B137" s="286" t="s">
        <v>246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00000000000001" customHeight="1" x14ac:dyDescent="0.2">
      <c r="A138" s="278">
        <v>5</v>
      </c>
      <c r="B138" s="286" t="s">
        <v>247</v>
      </c>
      <c r="C138" s="293">
        <f>data!AE60</f>
        <v>0.8</v>
      </c>
      <c r="D138" s="293">
        <f>data!AF60</f>
        <v>0</v>
      </c>
      <c r="E138" s="293">
        <f>data!AG60</f>
        <v>19.75</v>
      </c>
      <c r="F138" s="293">
        <f>data!AH60</f>
        <v>0</v>
      </c>
      <c r="G138" s="293">
        <f>data!AI60</f>
        <v>0</v>
      </c>
      <c r="H138" s="293">
        <f>data!AJ60</f>
        <v>53.09</v>
      </c>
      <c r="I138" s="293">
        <f>data!AK60</f>
        <v>0.03</v>
      </c>
    </row>
    <row r="139" spans="1:14" ht="20.100000000000001" customHeight="1" x14ac:dyDescent="0.2">
      <c r="A139" s="278">
        <v>6</v>
      </c>
      <c r="B139" s="286" t="s">
        <v>248</v>
      </c>
      <c r="C139" s="286">
        <f>data!AE61</f>
        <v>97118</v>
      </c>
      <c r="D139" s="286">
        <f>data!AF61</f>
        <v>0</v>
      </c>
      <c r="E139" s="286">
        <f>data!AG61</f>
        <v>2009345</v>
      </c>
      <c r="F139" s="286">
        <f>data!AH61</f>
        <v>0</v>
      </c>
      <c r="G139" s="286">
        <f>data!AI61</f>
        <v>0</v>
      </c>
      <c r="H139" s="286">
        <f>data!AJ61</f>
        <v>6151462</v>
      </c>
      <c r="I139" s="286">
        <f>data!AK61</f>
        <v>2769</v>
      </c>
    </row>
    <row r="140" spans="1:14" ht="20.100000000000001" customHeight="1" x14ac:dyDescent="0.2">
      <c r="A140" s="278">
        <v>7</v>
      </c>
      <c r="B140" s="286" t="s">
        <v>9</v>
      </c>
      <c r="C140" s="286">
        <f>data!AE62</f>
        <v>19830</v>
      </c>
      <c r="D140" s="286">
        <f>data!AF62</f>
        <v>0</v>
      </c>
      <c r="E140" s="286">
        <f>data!AG62</f>
        <v>447654</v>
      </c>
      <c r="F140" s="286">
        <f>data!AH62</f>
        <v>0</v>
      </c>
      <c r="G140" s="286">
        <f>data!AI62</f>
        <v>0</v>
      </c>
      <c r="H140" s="286">
        <f>data!AJ62</f>
        <v>1155019</v>
      </c>
      <c r="I140" s="286">
        <f>data!AK62</f>
        <v>575</v>
      </c>
    </row>
    <row r="141" spans="1:14" ht="20.100000000000001" customHeight="1" x14ac:dyDescent="0.2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1728345.44</v>
      </c>
      <c r="F141" s="286">
        <f>data!AH63</f>
        <v>0</v>
      </c>
      <c r="G141" s="286">
        <f>data!AI63</f>
        <v>0</v>
      </c>
      <c r="H141" s="286">
        <f>data!AJ63</f>
        <v>8085</v>
      </c>
      <c r="I141" s="286">
        <f>data!AK63</f>
        <v>0</v>
      </c>
    </row>
    <row r="142" spans="1:14" ht="20.100000000000001" customHeight="1" x14ac:dyDescent="0.2">
      <c r="A142" s="278">
        <v>9</v>
      </c>
      <c r="B142" s="286" t="s">
        <v>250</v>
      </c>
      <c r="C142" s="286">
        <f>data!AE64</f>
        <v>1952</v>
      </c>
      <c r="D142" s="286">
        <f>data!AF64</f>
        <v>0</v>
      </c>
      <c r="E142" s="286">
        <f>data!AG64</f>
        <v>261749</v>
      </c>
      <c r="F142" s="286">
        <f>data!AH64</f>
        <v>0</v>
      </c>
      <c r="G142" s="286">
        <f>data!AI64</f>
        <v>0</v>
      </c>
      <c r="H142" s="286">
        <f>data!AJ64</f>
        <v>277275</v>
      </c>
      <c r="I142" s="286">
        <f>data!AK64</f>
        <v>10</v>
      </c>
    </row>
    <row r="143" spans="1:14" ht="20.100000000000001" customHeight="1" x14ac:dyDescent="0.2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00000000000001" customHeight="1" x14ac:dyDescent="0.2">
      <c r="A144" s="278">
        <v>11</v>
      </c>
      <c r="B144" s="286" t="s">
        <v>498</v>
      </c>
      <c r="C144" s="286">
        <f>data!AE66</f>
        <v>0</v>
      </c>
      <c r="D144" s="286">
        <f>data!AF66</f>
        <v>0</v>
      </c>
      <c r="E144" s="286">
        <f>data!AG66</f>
        <v>11370</v>
      </c>
      <c r="F144" s="286">
        <f>data!AH66</f>
        <v>0</v>
      </c>
      <c r="G144" s="286">
        <f>data!AI66</f>
        <v>0</v>
      </c>
      <c r="H144" s="286">
        <f>data!AJ66</f>
        <v>227611</v>
      </c>
      <c r="I144" s="286">
        <f>data!AK66</f>
        <v>10</v>
      </c>
    </row>
    <row r="145" spans="1:9" ht="20.100000000000001" customHeight="1" x14ac:dyDescent="0.2">
      <c r="A145" s="278">
        <v>12</v>
      </c>
      <c r="B145" s="286" t="s">
        <v>11</v>
      </c>
      <c r="C145" s="286">
        <f>data!AE67</f>
        <v>12285</v>
      </c>
      <c r="D145" s="286">
        <f>data!AF67</f>
        <v>0</v>
      </c>
      <c r="E145" s="286">
        <f>data!AG67</f>
        <v>41789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00000000000001" customHeight="1" x14ac:dyDescent="0.2">
      <c r="A146" s="278">
        <v>13</v>
      </c>
      <c r="B146" s="286" t="s">
        <v>975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420982</v>
      </c>
      <c r="I146" s="286">
        <f>data!AK68</f>
        <v>0</v>
      </c>
    </row>
    <row r="147" spans="1:9" ht="20.100000000000001" customHeight="1" x14ac:dyDescent="0.2">
      <c r="A147" s="278">
        <v>14</v>
      </c>
      <c r="B147" s="286" t="s">
        <v>976</v>
      </c>
      <c r="C147" s="286">
        <f>data!AE69</f>
        <v>34497</v>
      </c>
      <c r="D147" s="286">
        <f>data!AF69</f>
        <v>0</v>
      </c>
      <c r="E147" s="286">
        <f>data!AG69</f>
        <v>1187695</v>
      </c>
      <c r="F147" s="286">
        <f>data!AH69</f>
        <v>0</v>
      </c>
      <c r="G147" s="286">
        <f>data!AI69</f>
        <v>0</v>
      </c>
      <c r="H147" s="286">
        <f>data!AJ69</f>
        <v>170320</v>
      </c>
      <c r="I147" s="286">
        <f>data!AK69</f>
        <v>0</v>
      </c>
    </row>
    <row r="148" spans="1:9" ht="20.100000000000001" customHeight="1" x14ac:dyDescent="0.2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00000000000001" customHeight="1" x14ac:dyDescent="0.2">
      <c r="A149" s="278">
        <v>16</v>
      </c>
      <c r="B149" s="294" t="s">
        <v>977</v>
      </c>
      <c r="C149" s="286">
        <f>data!AE85</f>
        <v>165682</v>
      </c>
      <c r="D149" s="286">
        <f>data!AF85</f>
        <v>0</v>
      </c>
      <c r="E149" s="286">
        <f>data!AG85</f>
        <v>5687947.4399999995</v>
      </c>
      <c r="F149" s="286">
        <f>data!AH85</f>
        <v>0</v>
      </c>
      <c r="G149" s="286">
        <f>data!AI85</f>
        <v>0</v>
      </c>
      <c r="H149" s="286">
        <f>data!AJ85</f>
        <v>8410754</v>
      </c>
      <c r="I149" s="286">
        <f>data!AK85</f>
        <v>3364</v>
      </c>
    </row>
    <row r="150" spans="1:9" ht="20.100000000000001" customHeight="1" x14ac:dyDescent="0.2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00000000000001" customHeight="1" x14ac:dyDescent="0.2">
      <c r="A151" s="278">
        <v>18</v>
      </c>
      <c r="B151" s="286" t="s">
        <v>978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ht="20.100000000000001" customHeight="1" x14ac:dyDescent="0.2">
      <c r="A152" s="278">
        <v>19</v>
      </c>
      <c r="B152" s="294" t="s">
        <v>979</v>
      </c>
      <c r="C152" s="286">
        <f>data!AE87</f>
        <v>-167878</v>
      </c>
      <c r="D152" s="286">
        <f>data!AF87</f>
        <v>0</v>
      </c>
      <c r="E152" s="286">
        <f>data!AG87</f>
        <v>-3223731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-91549</v>
      </c>
    </row>
    <row r="153" spans="1:9" ht="20.100000000000001" customHeight="1" x14ac:dyDescent="0.2">
      <c r="A153" s="278">
        <v>20</v>
      </c>
      <c r="B153" s="294" t="s">
        <v>980</v>
      </c>
      <c r="C153" s="286">
        <f>data!AE88</f>
        <v>-286339</v>
      </c>
      <c r="D153" s="286">
        <f>data!AF88</f>
        <v>0</v>
      </c>
      <c r="E153" s="286">
        <f>data!AG88</f>
        <v>-23819438</v>
      </c>
      <c r="F153" s="286">
        <f>data!AH88</f>
        <v>0</v>
      </c>
      <c r="G153" s="286">
        <f>data!AI88</f>
        <v>0</v>
      </c>
      <c r="H153" s="286">
        <f>data!AJ88</f>
        <v>-26042000</v>
      </c>
      <c r="I153" s="286">
        <f>data!AK88</f>
        <v>-1812</v>
      </c>
    </row>
    <row r="154" spans="1:9" ht="20.100000000000001" customHeight="1" x14ac:dyDescent="0.2">
      <c r="A154" s="278">
        <v>21</v>
      </c>
      <c r="B154" s="294" t="s">
        <v>981</v>
      </c>
      <c r="C154" s="286">
        <f>data!AE89</f>
        <v>-454217</v>
      </c>
      <c r="D154" s="286">
        <f>data!AF89</f>
        <v>0</v>
      </c>
      <c r="E154" s="286">
        <f>data!AG89</f>
        <v>-27043169</v>
      </c>
      <c r="F154" s="286">
        <f>data!AH89</f>
        <v>0</v>
      </c>
      <c r="G154" s="286">
        <f>data!AI89</f>
        <v>0</v>
      </c>
      <c r="H154" s="286">
        <f>data!AJ89</f>
        <v>-26042000</v>
      </c>
      <c r="I154" s="286">
        <f>data!AK89</f>
        <v>-93361</v>
      </c>
    </row>
    <row r="155" spans="1:9" ht="20.100000000000001" customHeight="1" x14ac:dyDescent="0.2">
      <c r="A155" s="278" t="s">
        <v>982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00000000000001" customHeight="1" x14ac:dyDescent="0.2">
      <c r="A156" s="278">
        <v>22</v>
      </c>
      <c r="B156" s="286" t="s">
        <v>983</v>
      </c>
      <c r="C156" s="286">
        <f>data!AE90</f>
        <v>1360</v>
      </c>
      <c r="D156" s="286">
        <f>data!AF90</f>
        <v>0</v>
      </c>
      <c r="E156" s="286">
        <f>data!AG90</f>
        <v>4626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00000000000001" customHeight="1" x14ac:dyDescent="0.2">
      <c r="A157" s="278">
        <v>23</v>
      </c>
      <c r="B157" s="286" t="s">
        <v>984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00000000000001" customHeight="1" x14ac:dyDescent="0.2">
      <c r="A158" s="278">
        <v>24</v>
      </c>
      <c r="B158" s="286" t="s">
        <v>985</v>
      </c>
      <c r="C158" s="286">
        <f>data!AE92</f>
        <v>0</v>
      </c>
      <c r="D158" s="286">
        <f>data!AF92</f>
        <v>0</v>
      </c>
      <c r="E158" s="286">
        <f>data!AG92</f>
        <v>0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00000000000001" customHeight="1" x14ac:dyDescent="0.2">
      <c r="A159" s="278">
        <v>25</v>
      </c>
      <c r="B159" s="286" t="s">
        <v>986</v>
      </c>
      <c r="C159" s="286">
        <f>data!AE93</f>
        <v>0</v>
      </c>
      <c r="D159" s="286">
        <f>data!AF93</f>
        <v>0</v>
      </c>
      <c r="E159" s="286">
        <f>data!AG93</f>
        <v>92195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00000000000001" customHeight="1" x14ac:dyDescent="0.2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10.75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00000000000001" customHeight="1" x14ac:dyDescent="0.2">
      <c r="A161" s="279" t="s">
        <v>968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00000000000001" customHeight="1" x14ac:dyDescent="0.2">
      <c r="D162" s="282"/>
      <c r="I162" s="283" t="s">
        <v>1002</v>
      </c>
    </row>
    <row r="163" spans="1:9" ht="20.100000000000001" customHeight="1" x14ac:dyDescent="0.2">
      <c r="A163" s="282"/>
    </row>
    <row r="164" spans="1:9" ht="20.100000000000001" customHeight="1" x14ac:dyDescent="0.2">
      <c r="A164" s="284" t="str">
        <f>"Hospital: "&amp;data!C98</f>
        <v>Hospital: ASTRIA TOPPENISH HOSPITAL</v>
      </c>
      <c r="G164" s="285"/>
      <c r="H164" s="284" t="str">
        <f>"FYE: "&amp;data!C96</f>
        <v>FYE: 12/31/2022</v>
      </c>
    </row>
    <row r="165" spans="1:9" ht="20.100000000000001" customHeight="1" x14ac:dyDescent="0.2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00000000000001" customHeight="1" x14ac:dyDescent="0.2">
      <c r="A166" s="289">
        <v>2</v>
      </c>
      <c r="B166" s="290" t="s">
        <v>970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1003</v>
      </c>
      <c r="H166" s="292" t="s">
        <v>139</v>
      </c>
      <c r="I166" s="292" t="s">
        <v>140</v>
      </c>
    </row>
    <row r="167" spans="1:9" ht="20.100000000000001" customHeight="1" x14ac:dyDescent="0.2">
      <c r="A167" s="289"/>
      <c r="B167" s="290"/>
      <c r="C167" s="292" t="s">
        <v>184</v>
      </c>
      <c r="D167" s="292" t="s">
        <v>184</v>
      </c>
      <c r="E167" s="292" t="s">
        <v>1004</v>
      </c>
      <c r="F167" s="292" t="s">
        <v>194</v>
      </c>
      <c r="G167" s="292" t="s">
        <v>133</v>
      </c>
      <c r="H167" s="291" t="s">
        <v>1005</v>
      </c>
      <c r="I167" s="292" t="s">
        <v>181</v>
      </c>
    </row>
    <row r="168" spans="1:9" ht="20.100000000000001" customHeight="1" x14ac:dyDescent="0.2">
      <c r="A168" s="278">
        <v>3</v>
      </c>
      <c r="B168" s="286" t="s">
        <v>974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00000000000001" customHeight="1" x14ac:dyDescent="0.2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00000000000001" customHeight="1" x14ac:dyDescent="0.2">
      <c r="A170" s="278">
        <v>5</v>
      </c>
      <c r="B170" s="286" t="s">
        <v>247</v>
      </c>
      <c r="C170" s="293">
        <f>data!AL60</f>
        <v>0.06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00000000000001" customHeight="1" x14ac:dyDescent="0.2">
      <c r="A171" s="278">
        <v>6</v>
      </c>
      <c r="B171" s="286" t="s">
        <v>248</v>
      </c>
      <c r="C171" s="286">
        <f>data!AL61</f>
        <v>6771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00000000000001" customHeight="1" x14ac:dyDescent="0.2">
      <c r="A172" s="278">
        <v>7</v>
      </c>
      <c r="B172" s="286" t="s">
        <v>9</v>
      </c>
      <c r="C172" s="286">
        <f>data!AL62</f>
        <v>1421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00000000000001" customHeight="1" x14ac:dyDescent="0.2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00000000000001" customHeight="1" x14ac:dyDescent="0.2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00000000000001" customHeight="1" x14ac:dyDescent="0.2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00000000000001" customHeight="1" x14ac:dyDescent="0.2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00000000000001" customHeight="1" x14ac:dyDescent="0.2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00000000000001" customHeight="1" x14ac:dyDescent="0.2">
      <c r="A178" s="278">
        <v>13</v>
      </c>
      <c r="B178" s="286" t="s">
        <v>975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00000000000001" customHeight="1" x14ac:dyDescent="0.2">
      <c r="A179" s="278">
        <v>14</v>
      </c>
      <c r="B179" s="286" t="s">
        <v>976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00000000000001" customHeight="1" x14ac:dyDescent="0.2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00000000000001" customHeight="1" x14ac:dyDescent="0.2">
      <c r="A181" s="278">
        <v>16</v>
      </c>
      <c r="B181" s="294" t="s">
        <v>977</v>
      </c>
      <c r="C181" s="286">
        <f>data!AL85</f>
        <v>8192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00000000000001" customHeight="1" x14ac:dyDescent="0.2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00000000000001" customHeight="1" x14ac:dyDescent="0.2">
      <c r="A183" s="278">
        <v>18</v>
      </c>
      <c r="B183" s="286" t="s">
        <v>978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ht="20.100000000000001" customHeight="1" x14ac:dyDescent="0.2">
      <c r="A184" s="278">
        <v>19</v>
      </c>
      <c r="B184" s="294" t="s">
        <v>979</v>
      </c>
      <c r="C184" s="286">
        <f>data!AL87</f>
        <v>-30351</v>
      </c>
      <c r="D184" s="286">
        <f>data!AM87</f>
        <v>0</v>
      </c>
      <c r="E184" s="286">
        <f>data!AN87</f>
        <v>0</v>
      </c>
      <c r="F184" s="286">
        <f>data!AO87</f>
        <v>-1318007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00000000000001" customHeight="1" x14ac:dyDescent="0.2">
      <c r="A185" s="278">
        <v>20</v>
      </c>
      <c r="B185" s="294" t="s">
        <v>980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-128567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00000000000001" customHeight="1" x14ac:dyDescent="0.2">
      <c r="A186" s="278">
        <v>21</v>
      </c>
      <c r="B186" s="294" t="s">
        <v>981</v>
      </c>
      <c r="C186" s="286">
        <f>data!AL89</f>
        <v>-30351</v>
      </c>
      <c r="D186" s="286">
        <f>data!AM89</f>
        <v>0</v>
      </c>
      <c r="E186" s="286">
        <f>data!AN89</f>
        <v>0</v>
      </c>
      <c r="F186" s="286">
        <f>data!AO89</f>
        <v>-1446574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00000000000001" customHeight="1" x14ac:dyDescent="0.2">
      <c r="A187" s="278" t="s">
        <v>982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00000000000001" customHeight="1" x14ac:dyDescent="0.2">
      <c r="A188" s="278">
        <v>22</v>
      </c>
      <c r="B188" s="286" t="s">
        <v>983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00000000000001" customHeight="1" x14ac:dyDescent="0.2">
      <c r="A189" s="278">
        <v>23</v>
      </c>
      <c r="B189" s="286" t="s">
        <v>984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00000000000001" customHeight="1" x14ac:dyDescent="0.2">
      <c r="A190" s="278">
        <v>24</v>
      </c>
      <c r="B190" s="286" t="s">
        <v>985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00000000000001" customHeight="1" x14ac:dyDescent="0.2">
      <c r="A191" s="278">
        <v>25</v>
      </c>
      <c r="B191" s="286" t="s">
        <v>986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00000000000001" customHeight="1" x14ac:dyDescent="0.2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00000000000001" customHeight="1" x14ac:dyDescent="0.2">
      <c r="A193" s="279" t="s">
        <v>968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00000000000001" customHeight="1" x14ac:dyDescent="0.2">
      <c r="D194" s="282"/>
      <c r="I194" s="283" t="s">
        <v>1006</v>
      </c>
    </row>
    <row r="195" spans="1:9" ht="20.100000000000001" customHeight="1" x14ac:dyDescent="0.2">
      <c r="A195" s="282"/>
    </row>
    <row r="196" spans="1:9" ht="20.100000000000001" customHeight="1" x14ac:dyDescent="0.2">
      <c r="A196" s="284" t="str">
        <f>"Hospital: "&amp;data!C98</f>
        <v>Hospital: ASTRIA TOPPENISH HOSPITAL</v>
      </c>
      <c r="G196" s="285"/>
      <c r="H196" s="284" t="str">
        <f>"FYE: "&amp;data!C96</f>
        <v>FYE: 12/31/2022</v>
      </c>
    </row>
    <row r="197" spans="1:9" ht="20.100000000000001" customHeight="1" x14ac:dyDescent="0.2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00000000000001" customHeight="1" x14ac:dyDescent="0.2">
      <c r="A198" s="289">
        <v>2</v>
      </c>
      <c r="B198" s="290" t="s">
        <v>970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1007</v>
      </c>
      <c r="H198" s="292" t="s">
        <v>146</v>
      </c>
      <c r="I198" s="292"/>
    </row>
    <row r="199" spans="1:9" ht="20.100000000000001" customHeight="1" x14ac:dyDescent="0.2">
      <c r="A199" s="289"/>
      <c r="B199" s="290"/>
      <c r="C199" s="292" t="s">
        <v>141</v>
      </c>
      <c r="D199" s="292" t="s">
        <v>243</v>
      </c>
      <c r="E199" s="292" t="s">
        <v>1008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00000000000001" customHeight="1" x14ac:dyDescent="0.2">
      <c r="A200" s="278">
        <v>3</v>
      </c>
      <c r="B200" s="286" t="s">
        <v>974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00000000000001" customHeight="1" x14ac:dyDescent="0.2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26331</v>
      </c>
    </row>
    <row r="202" spans="1:9" ht="20.100000000000001" customHeight="1" x14ac:dyDescent="0.2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7.38</v>
      </c>
    </row>
    <row r="203" spans="1:9" ht="20.100000000000001" customHeight="1" x14ac:dyDescent="0.2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282969</v>
      </c>
    </row>
    <row r="204" spans="1:9" ht="20.100000000000001" customHeight="1" x14ac:dyDescent="0.2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70234</v>
      </c>
    </row>
    <row r="205" spans="1:9" ht="20.100000000000001" customHeight="1" x14ac:dyDescent="0.2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00000000000001" customHeight="1" x14ac:dyDescent="0.2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369739</v>
      </c>
    </row>
    <row r="207" spans="1:9" ht="20.100000000000001" customHeight="1" x14ac:dyDescent="0.2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00000000000001" customHeight="1" x14ac:dyDescent="0.2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113</v>
      </c>
      <c r="G208" s="286">
        <f>data!AW66</f>
        <v>0</v>
      </c>
      <c r="H208" s="286">
        <f>data!AX66</f>
        <v>0</v>
      </c>
      <c r="I208" s="286">
        <f>data!AY66</f>
        <v>14021</v>
      </c>
    </row>
    <row r="209" spans="1:9" ht="20.100000000000001" customHeight="1" x14ac:dyDescent="0.2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4860</v>
      </c>
    </row>
    <row r="210" spans="1:9" ht="20.100000000000001" customHeight="1" x14ac:dyDescent="0.2">
      <c r="A210" s="278">
        <v>13</v>
      </c>
      <c r="B210" s="286" t="s">
        <v>975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1448</v>
      </c>
    </row>
    <row r="211" spans="1:9" ht="20.100000000000001" customHeight="1" x14ac:dyDescent="0.2">
      <c r="A211" s="278">
        <v>14</v>
      </c>
      <c r="B211" s="286" t="s">
        <v>976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36213</v>
      </c>
    </row>
    <row r="212" spans="1:9" ht="20.100000000000001" customHeight="1" x14ac:dyDescent="0.2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00000000000001" customHeight="1" x14ac:dyDescent="0.2">
      <c r="A213" s="278">
        <v>16</v>
      </c>
      <c r="B213" s="294" t="s">
        <v>977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113</v>
      </c>
      <c r="G213" s="286">
        <f>data!AW85</f>
        <v>0</v>
      </c>
      <c r="H213" s="286">
        <f>data!AX85</f>
        <v>0</v>
      </c>
      <c r="I213" s="286">
        <f>data!AY85</f>
        <v>779484</v>
      </c>
    </row>
    <row r="214" spans="1:9" ht="20.100000000000001" customHeight="1" x14ac:dyDescent="0.2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00000000000001" customHeight="1" x14ac:dyDescent="0.2">
      <c r="A215" s="278">
        <v>18</v>
      </c>
      <c r="B215" s="286" t="s">
        <v>978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ht="20.100000000000001" customHeight="1" x14ac:dyDescent="0.2">
      <c r="A216" s="278">
        <v>19</v>
      </c>
      <c r="B216" s="294" t="s">
        <v>979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-73644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00000000000001" customHeight="1" x14ac:dyDescent="0.2">
      <c r="A217" s="278">
        <v>20</v>
      </c>
      <c r="B217" s="294" t="s">
        <v>980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-98992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00000000000001" customHeight="1" x14ac:dyDescent="0.2">
      <c r="A218" s="278">
        <v>21</v>
      </c>
      <c r="B218" s="294" t="s">
        <v>981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-172636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00000000000001" customHeight="1" x14ac:dyDescent="0.2">
      <c r="A219" s="278" t="s">
        <v>982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00000000000001" customHeight="1" x14ac:dyDescent="0.2">
      <c r="A220" s="278">
        <v>22</v>
      </c>
      <c r="B220" s="286" t="s">
        <v>983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538</v>
      </c>
    </row>
    <row r="221" spans="1:9" ht="20.100000000000001" customHeight="1" x14ac:dyDescent="0.2">
      <c r="A221" s="278">
        <v>23</v>
      </c>
      <c r="B221" s="286" t="s">
        <v>984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>
        <f>IF(data!AY77&gt;0,data!AY77,"")</f>
        <v>1201</v>
      </c>
    </row>
    <row r="222" spans="1:9" ht="20.100000000000001" customHeight="1" x14ac:dyDescent="0.2">
      <c r="A222" s="278">
        <v>24</v>
      </c>
      <c r="B222" s="286" t="s">
        <v>985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00000000000001" customHeight="1" x14ac:dyDescent="0.2">
      <c r="A223" s="278">
        <v>25</v>
      </c>
      <c r="B223" s="286" t="s">
        <v>986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00000000000001" customHeight="1" x14ac:dyDescent="0.2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00000000000001" customHeight="1" x14ac:dyDescent="0.2">
      <c r="A225" s="279" t="s">
        <v>968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00000000000001" customHeight="1" x14ac:dyDescent="0.2">
      <c r="D226" s="282"/>
      <c r="I226" s="283" t="s">
        <v>1009</v>
      </c>
    </row>
    <row r="227" spans="1:9" ht="20.100000000000001" customHeight="1" x14ac:dyDescent="0.2">
      <c r="A227" s="282"/>
    </row>
    <row r="228" spans="1:9" ht="20.100000000000001" customHeight="1" x14ac:dyDescent="0.2">
      <c r="A228" s="284" t="str">
        <f>"Hospital: "&amp;data!C98</f>
        <v>Hospital: ASTRIA TOPPENISH HOSPITAL</v>
      </c>
      <c r="G228" s="285"/>
      <c r="H228" s="284" t="str">
        <f>"FYE: "&amp;data!C96</f>
        <v>FYE: 12/31/2022</v>
      </c>
    </row>
    <row r="229" spans="1:9" ht="20.100000000000001" customHeight="1" x14ac:dyDescent="0.2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00000000000001" customHeight="1" x14ac:dyDescent="0.2">
      <c r="A230" s="289">
        <v>2</v>
      </c>
      <c r="B230" s="290" t="s">
        <v>970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00000000000001" customHeight="1" x14ac:dyDescent="0.2">
      <c r="A231" s="289"/>
      <c r="B231" s="290"/>
      <c r="C231" s="292" t="s">
        <v>148</v>
      </c>
      <c r="D231" s="292" t="s">
        <v>201</v>
      </c>
      <c r="E231" s="292" t="s">
        <v>1010</v>
      </c>
      <c r="F231" s="292" t="s">
        <v>1011</v>
      </c>
      <c r="G231" s="292" t="s">
        <v>151</v>
      </c>
      <c r="H231" s="292" t="s">
        <v>152</v>
      </c>
      <c r="I231" s="292" t="s">
        <v>153</v>
      </c>
    </row>
    <row r="232" spans="1:9" ht="20.100000000000001" customHeight="1" x14ac:dyDescent="0.2">
      <c r="A232" s="278">
        <v>3</v>
      </c>
      <c r="B232" s="286" t="s">
        <v>974</v>
      </c>
      <c r="C232" s="288" t="s">
        <v>1012</v>
      </c>
      <c r="D232" s="288" t="s">
        <v>1013</v>
      </c>
      <c r="E232" s="298"/>
      <c r="F232" s="298"/>
      <c r="G232" s="298"/>
      <c r="H232" s="288" t="s">
        <v>245</v>
      </c>
      <c r="I232" s="298"/>
    </row>
    <row r="233" spans="1:9" ht="20.100000000000001" customHeight="1" x14ac:dyDescent="0.2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79212</v>
      </c>
      <c r="I233" s="298"/>
    </row>
    <row r="234" spans="1:9" ht="20.100000000000001" customHeight="1" x14ac:dyDescent="0.2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3.81</v>
      </c>
      <c r="H234" s="293">
        <f>data!BE60</f>
        <v>5.93</v>
      </c>
      <c r="I234" s="293">
        <f>data!BF60</f>
        <v>7.95</v>
      </c>
    </row>
    <row r="235" spans="1:9" ht="20.100000000000001" customHeight="1" x14ac:dyDescent="0.2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0</v>
      </c>
      <c r="F235" s="286">
        <f>data!BC61</f>
        <v>0</v>
      </c>
      <c r="G235" s="286">
        <f>data!BD61</f>
        <v>159811</v>
      </c>
      <c r="H235" s="286">
        <f>data!BE61</f>
        <v>169112</v>
      </c>
      <c r="I235" s="286">
        <f>data!BF61</f>
        <v>313981</v>
      </c>
    </row>
    <row r="236" spans="1:9" ht="20.100000000000001" customHeight="1" x14ac:dyDescent="0.2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0</v>
      </c>
      <c r="F236" s="286">
        <f>data!BC62</f>
        <v>0</v>
      </c>
      <c r="G236" s="286">
        <f>data!BD62</f>
        <v>38584</v>
      </c>
      <c r="H236" s="286">
        <f>data!BE62</f>
        <v>47185</v>
      </c>
      <c r="I236" s="286">
        <f>data!BF62</f>
        <v>80317</v>
      </c>
    </row>
    <row r="237" spans="1:9" ht="20.100000000000001" customHeight="1" x14ac:dyDescent="0.2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00000000000001" customHeight="1" x14ac:dyDescent="0.2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0</v>
      </c>
      <c r="F238" s="286">
        <f>data!BC64</f>
        <v>0</v>
      </c>
      <c r="G238" s="286">
        <f>data!BD64</f>
        <v>-47512</v>
      </c>
      <c r="H238" s="286">
        <f>data!BE64</f>
        <v>48410</v>
      </c>
      <c r="I238" s="286">
        <f>data!BF64</f>
        <v>96600</v>
      </c>
    </row>
    <row r="239" spans="1:9" ht="20.100000000000001" customHeight="1" x14ac:dyDescent="0.2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0</v>
      </c>
      <c r="I239" s="286">
        <f>data!BF65</f>
        <v>0</v>
      </c>
    </row>
    <row r="240" spans="1:9" ht="20.100000000000001" customHeight="1" x14ac:dyDescent="0.2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4117</v>
      </c>
      <c r="H240" s="286">
        <f>data!BE66</f>
        <v>58207</v>
      </c>
      <c r="I240" s="286">
        <f>data!BF66</f>
        <v>206541</v>
      </c>
    </row>
    <row r="241" spans="1:9" ht="20.100000000000001" customHeight="1" x14ac:dyDescent="0.2">
      <c r="A241" s="278">
        <v>12</v>
      </c>
      <c r="B241" s="286" t="s">
        <v>11</v>
      </c>
      <c r="C241" s="286">
        <f>data!AZ67</f>
        <v>21003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19223</v>
      </c>
      <c r="H241" s="286">
        <f>data!BE67</f>
        <v>28067</v>
      </c>
      <c r="I241" s="286">
        <f>data!BF67</f>
        <v>7209</v>
      </c>
    </row>
    <row r="242" spans="1:9" ht="20.100000000000001" customHeight="1" x14ac:dyDescent="0.2">
      <c r="A242" s="278">
        <v>13</v>
      </c>
      <c r="B242" s="286" t="s">
        <v>975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18704</v>
      </c>
      <c r="I242" s="286">
        <f>data!BF68</f>
        <v>489</v>
      </c>
    </row>
    <row r="243" spans="1:9" ht="20.100000000000001" customHeight="1" x14ac:dyDescent="0.2">
      <c r="A243" s="278">
        <v>14</v>
      </c>
      <c r="B243" s="286" t="s">
        <v>976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-54504</v>
      </c>
      <c r="H243" s="286">
        <f>data!BE69</f>
        <v>697521</v>
      </c>
      <c r="I243" s="286">
        <f>data!BF69</f>
        <v>1342</v>
      </c>
    </row>
    <row r="244" spans="1:9" ht="20.100000000000001" customHeight="1" x14ac:dyDescent="0.2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00000000000001" customHeight="1" x14ac:dyDescent="0.2">
      <c r="A245" s="278">
        <v>16</v>
      </c>
      <c r="B245" s="294" t="s">
        <v>977</v>
      </c>
      <c r="C245" s="286">
        <f>data!AZ85</f>
        <v>21003</v>
      </c>
      <c r="D245" s="286">
        <f>data!BA85</f>
        <v>0</v>
      </c>
      <c r="E245" s="286">
        <f>data!BB85</f>
        <v>0</v>
      </c>
      <c r="F245" s="286">
        <f>data!BC85</f>
        <v>0</v>
      </c>
      <c r="G245" s="286">
        <f>data!BD85</f>
        <v>119719</v>
      </c>
      <c r="H245" s="286">
        <f>data!BE85</f>
        <v>1067206</v>
      </c>
      <c r="I245" s="286">
        <f>data!BF85</f>
        <v>706479</v>
      </c>
    </row>
    <row r="246" spans="1:9" ht="20.100000000000001" customHeight="1" x14ac:dyDescent="0.2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00000000000001" customHeight="1" x14ac:dyDescent="0.2">
      <c r="A247" s="278">
        <v>18</v>
      </c>
      <c r="B247" s="286" t="s">
        <v>978</v>
      </c>
      <c r="C247" s="286"/>
      <c r="D247" s="286"/>
      <c r="E247" s="286"/>
      <c r="F247" s="286"/>
      <c r="G247" s="286"/>
      <c r="H247" s="286"/>
      <c r="I247" s="286"/>
    </row>
    <row r="248" spans="1:9" ht="20.100000000000001" customHeight="1" x14ac:dyDescent="0.2">
      <c r="A248" s="278">
        <v>19</v>
      </c>
      <c r="B248" s="294" t="s">
        <v>979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00000000000001" customHeight="1" x14ac:dyDescent="0.2">
      <c r="A249" s="278">
        <v>20</v>
      </c>
      <c r="B249" s="294" t="s">
        <v>980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00000000000001" customHeight="1" x14ac:dyDescent="0.2">
      <c r="A250" s="278">
        <v>21</v>
      </c>
      <c r="B250" s="294" t="s">
        <v>981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00000000000001" customHeight="1" x14ac:dyDescent="0.2">
      <c r="A251" s="278" t="s">
        <v>982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00000000000001" customHeight="1" x14ac:dyDescent="0.2">
      <c r="A252" s="278">
        <v>22</v>
      </c>
      <c r="B252" s="286" t="s">
        <v>983</v>
      </c>
      <c r="C252" s="302">
        <f>data!AZ90</f>
        <v>2325</v>
      </c>
      <c r="D252" s="302">
        <f>data!BA90</f>
        <v>0</v>
      </c>
      <c r="E252" s="302">
        <f>data!BB90</f>
        <v>0</v>
      </c>
      <c r="F252" s="302">
        <f>data!BC90</f>
        <v>0</v>
      </c>
      <c r="G252" s="302">
        <f>data!BD90</f>
        <v>2128</v>
      </c>
      <c r="H252" s="302">
        <f>data!BE90</f>
        <v>3107</v>
      </c>
      <c r="I252" s="302">
        <f>data!BF90</f>
        <v>798</v>
      </c>
    </row>
    <row r="253" spans="1:9" ht="20.100000000000001" customHeight="1" x14ac:dyDescent="0.2">
      <c r="A253" s="278">
        <v>23</v>
      </c>
      <c r="B253" s="286" t="s">
        <v>984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>
        <f>IF(data!BD77&gt;0,data!BD77,"")</f>
        <v>10</v>
      </c>
      <c r="H253" s="301">
        <f>IF(data!BE77&gt;0,data!BE77,"")</f>
        <v>181650</v>
      </c>
      <c r="I253" s="302">
        <f>data!BF91</f>
        <v>0</v>
      </c>
    </row>
    <row r="254" spans="1:9" ht="20.100000000000001" customHeight="1" x14ac:dyDescent="0.2">
      <c r="A254" s="278">
        <v>24</v>
      </c>
      <c r="B254" s="286" t="s">
        <v>985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00000000000001" customHeight="1" x14ac:dyDescent="0.2">
      <c r="A255" s="278">
        <v>25</v>
      </c>
      <c r="B255" s="286" t="s">
        <v>986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00000000000001" customHeight="1" x14ac:dyDescent="0.2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00000000000001" customHeight="1" x14ac:dyDescent="0.2">
      <c r="A257" s="279" t="s">
        <v>968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00000000000001" customHeight="1" x14ac:dyDescent="0.2">
      <c r="D258" s="282"/>
      <c r="I258" s="283" t="s">
        <v>1014</v>
      </c>
    </row>
    <row r="259" spans="1:9" ht="20.100000000000001" customHeight="1" x14ac:dyDescent="0.2">
      <c r="A259" s="282"/>
    </row>
    <row r="260" spans="1:9" ht="20.100000000000001" customHeight="1" x14ac:dyDescent="0.2">
      <c r="A260" s="284" t="str">
        <f>"Hospital: "&amp;data!C98</f>
        <v>Hospital: ASTRIA TOPPENISH HOSPITAL</v>
      </c>
      <c r="G260" s="285"/>
      <c r="H260" s="284" t="str">
        <f>"FYE: "&amp;data!C96</f>
        <v>FYE: 12/31/2022</v>
      </c>
    </row>
    <row r="261" spans="1:9" ht="20.100000000000001" customHeight="1" x14ac:dyDescent="0.2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00000000000001" customHeight="1" x14ac:dyDescent="0.2">
      <c r="A262" s="289">
        <v>2</v>
      </c>
      <c r="B262" s="290" t="s">
        <v>970</v>
      </c>
      <c r="C262" s="292" t="s">
        <v>1015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00000000000001" customHeight="1" x14ac:dyDescent="0.2">
      <c r="A263" s="289"/>
      <c r="B263" s="290"/>
      <c r="C263" s="292" t="s">
        <v>1016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1017</v>
      </c>
    </row>
    <row r="264" spans="1:9" ht="20.100000000000001" customHeight="1" x14ac:dyDescent="0.2">
      <c r="A264" s="278">
        <v>3</v>
      </c>
      <c r="B264" s="286" t="s">
        <v>974</v>
      </c>
      <c r="C264" s="298"/>
      <c r="D264" s="298"/>
      <c r="E264" s="298"/>
      <c r="F264" s="298"/>
      <c r="G264" s="298"/>
      <c r="H264" s="298"/>
      <c r="I264" s="298"/>
    </row>
    <row r="265" spans="1:9" ht="20.100000000000001" customHeight="1" x14ac:dyDescent="0.2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00000000000001" customHeight="1" x14ac:dyDescent="0.2">
      <c r="A266" s="278">
        <v>5</v>
      </c>
      <c r="B266" s="286" t="s">
        <v>247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1</v>
      </c>
      <c r="G266" s="293">
        <f>data!BK60</f>
        <v>0</v>
      </c>
      <c r="H266" s="293">
        <f>data!BL60</f>
        <v>13.87</v>
      </c>
      <c r="I266" s="293">
        <f>data!BM60</f>
        <v>0</v>
      </c>
    </row>
    <row r="267" spans="1:9" ht="20.100000000000001" customHeight="1" x14ac:dyDescent="0.2">
      <c r="A267" s="278">
        <v>6</v>
      </c>
      <c r="B267" s="286" t="s">
        <v>248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79954</v>
      </c>
      <c r="G267" s="286">
        <f>data!BK61</f>
        <v>0</v>
      </c>
      <c r="H267" s="286">
        <f>data!BL61</f>
        <v>518903</v>
      </c>
      <c r="I267" s="286">
        <f>data!BM61</f>
        <v>0</v>
      </c>
    </row>
    <row r="268" spans="1:9" ht="20.100000000000001" customHeight="1" x14ac:dyDescent="0.2">
      <c r="A268" s="278">
        <v>7</v>
      </c>
      <c r="B268" s="286" t="s">
        <v>9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15445</v>
      </c>
      <c r="G268" s="286">
        <f>data!BK62</f>
        <v>0</v>
      </c>
      <c r="H268" s="286">
        <f>data!BL62</f>
        <v>131173</v>
      </c>
      <c r="I268" s="286">
        <f>data!BM62</f>
        <v>0</v>
      </c>
    </row>
    <row r="269" spans="1:9" ht="20.100000000000001" customHeight="1" x14ac:dyDescent="0.2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23150</v>
      </c>
      <c r="G269" s="286">
        <f>data!BK63</f>
        <v>1740</v>
      </c>
      <c r="H269" s="286">
        <f>data!BL63</f>
        <v>0</v>
      </c>
      <c r="I269" s="286">
        <f>data!BM63</f>
        <v>0</v>
      </c>
    </row>
    <row r="270" spans="1:9" ht="20.100000000000001" customHeight="1" x14ac:dyDescent="0.2">
      <c r="A270" s="278">
        <v>9</v>
      </c>
      <c r="B270" s="286" t="s">
        <v>250</v>
      </c>
      <c r="C270" s="286">
        <f>data!BG64</f>
        <v>511</v>
      </c>
      <c r="D270" s="286">
        <f>data!BH64</f>
        <v>4772</v>
      </c>
      <c r="E270" s="286">
        <f>data!BI64</f>
        <v>0</v>
      </c>
      <c r="F270" s="286">
        <f>data!BJ64</f>
        <v>234</v>
      </c>
      <c r="G270" s="286">
        <f>data!BK64</f>
        <v>124</v>
      </c>
      <c r="H270" s="286">
        <f>data!BL64</f>
        <v>11344</v>
      </c>
      <c r="I270" s="286">
        <f>data!BM64</f>
        <v>0</v>
      </c>
    </row>
    <row r="271" spans="1:9" ht="20.100000000000001" customHeight="1" x14ac:dyDescent="0.2">
      <c r="A271" s="278">
        <v>10</v>
      </c>
      <c r="B271" s="286" t="s">
        <v>497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00000000000001" customHeight="1" x14ac:dyDescent="0.2">
      <c r="A272" s="278">
        <v>11</v>
      </c>
      <c r="B272" s="286" t="s">
        <v>498</v>
      </c>
      <c r="C272" s="286">
        <f>data!BG66</f>
        <v>34745</v>
      </c>
      <c r="D272" s="286">
        <f>data!BH66</f>
        <v>419541</v>
      </c>
      <c r="E272" s="286">
        <f>data!BI66</f>
        <v>0</v>
      </c>
      <c r="F272" s="286">
        <f>data!BJ66</f>
        <v>3758</v>
      </c>
      <c r="G272" s="286">
        <f>data!BK66</f>
        <v>0</v>
      </c>
      <c r="H272" s="286">
        <f>data!BL66</f>
        <v>0</v>
      </c>
      <c r="I272" s="286">
        <f>data!BM66</f>
        <v>0</v>
      </c>
    </row>
    <row r="273" spans="1:9" ht="20.100000000000001" customHeight="1" x14ac:dyDescent="0.2">
      <c r="A273" s="278">
        <v>12</v>
      </c>
      <c r="B273" s="286" t="s">
        <v>11</v>
      </c>
      <c r="C273" s="286">
        <f>data!BG67</f>
        <v>0</v>
      </c>
      <c r="D273" s="286">
        <f>data!BH67</f>
        <v>2529</v>
      </c>
      <c r="E273" s="286">
        <f>data!BI67</f>
        <v>0</v>
      </c>
      <c r="F273" s="286">
        <f>data!BJ67</f>
        <v>0</v>
      </c>
      <c r="G273" s="286">
        <f>data!BK67</f>
        <v>22584</v>
      </c>
      <c r="H273" s="286">
        <f>data!BL67</f>
        <v>0</v>
      </c>
      <c r="I273" s="286">
        <f>data!BM67</f>
        <v>0</v>
      </c>
    </row>
    <row r="274" spans="1:9" ht="20.100000000000001" customHeight="1" x14ac:dyDescent="0.2">
      <c r="A274" s="278">
        <v>13</v>
      </c>
      <c r="B274" s="286" t="s">
        <v>975</v>
      </c>
      <c r="C274" s="286">
        <f>data!BG68</f>
        <v>0</v>
      </c>
      <c r="D274" s="286">
        <f>data!BH68</f>
        <v>3991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00000000000001" customHeight="1" x14ac:dyDescent="0.2">
      <c r="A275" s="278">
        <v>14</v>
      </c>
      <c r="B275" s="286" t="s">
        <v>976</v>
      </c>
      <c r="C275" s="286">
        <f>data!BG69</f>
        <v>0</v>
      </c>
      <c r="D275" s="286">
        <f>data!BH69</f>
        <v>7578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1018</v>
      </c>
      <c r="I275" s="286">
        <f>data!BM69</f>
        <v>0</v>
      </c>
    </row>
    <row r="276" spans="1:9" ht="20.100000000000001" customHeight="1" x14ac:dyDescent="0.2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00000000000001" customHeight="1" x14ac:dyDescent="0.2">
      <c r="A277" s="278">
        <v>16</v>
      </c>
      <c r="B277" s="294" t="s">
        <v>977</v>
      </c>
      <c r="C277" s="286">
        <f>data!BG85</f>
        <v>35256</v>
      </c>
      <c r="D277" s="286">
        <f>data!BH85</f>
        <v>438411</v>
      </c>
      <c r="E277" s="286">
        <f>data!BI85</f>
        <v>0</v>
      </c>
      <c r="F277" s="286">
        <f>data!BJ85</f>
        <v>122541</v>
      </c>
      <c r="G277" s="286">
        <f>data!BK85</f>
        <v>24448</v>
      </c>
      <c r="H277" s="286">
        <f>data!BL85</f>
        <v>662438</v>
      </c>
      <c r="I277" s="286">
        <f>data!BM85</f>
        <v>0</v>
      </c>
    </row>
    <row r="278" spans="1:9" ht="20.100000000000001" customHeight="1" x14ac:dyDescent="0.2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00000000000001" customHeight="1" x14ac:dyDescent="0.2">
      <c r="A279" s="278">
        <v>18</v>
      </c>
      <c r="B279" s="286" t="s">
        <v>978</v>
      </c>
      <c r="C279" s="286"/>
      <c r="D279" s="286"/>
      <c r="E279" s="286"/>
      <c r="F279" s="286"/>
      <c r="G279" s="286"/>
      <c r="H279" s="286"/>
      <c r="I279" s="286"/>
    </row>
    <row r="280" spans="1:9" ht="20.100000000000001" customHeight="1" x14ac:dyDescent="0.2">
      <c r="A280" s="278">
        <v>19</v>
      </c>
      <c r="B280" s="294" t="s">
        <v>979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00000000000001" customHeight="1" x14ac:dyDescent="0.2">
      <c r="A281" s="278">
        <v>20</v>
      </c>
      <c r="B281" s="294" t="s">
        <v>980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00000000000001" customHeight="1" x14ac:dyDescent="0.2">
      <c r="A282" s="278">
        <v>21</v>
      </c>
      <c r="B282" s="294" t="s">
        <v>981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00000000000001" customHeight="1" x14ac:dyDescent="0.2">
      <c r="A283" s="278" t="s">
        <v>982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00000000000001" customHeight="1" x14ac:dyDescent="0.2">
      <c r="A284" s="278">
        <v>22</v>
      </c>
      <c r="B284" s="286" t="s">
        <v>983</v>
      </c>
      <c r="C284" s="302">
        <f>data!BG90</f>
        <v>0</v>
      </c>
      <c r="D284" s="302">
        <f>data!BH90</f>
        <v>280</v>
      </c>
      <c r="E284" s="302">
        <f>data!BI90</f>
        <v>0</v>
      </c>
      <c r="F284" s="302">
        <f>data!BJ90</f>
        <v>0</v>
      </c>
      <c r="G284" s="302">
        <f>data!BK90</f>
        <v>2500</v>
      </c>
      <c r="H284" s="302">
        <f>data!BL90</f>
        <v>0</v>
      </c>
      <c r="I284" s="302">
        <f>data!BM90</f>
        <v>0</v>
      </c>
    </row>
    <row r="285" spans="1:9" ht="20.100000000000001" customHeight="1" x14ac:dyDescent="0.2">
      <c r="A285" s="278">
        <v>23</v>
      </c>
      <c r="B285" s="286" t="s">
        <v>984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00000000000001" customHeight="1" x14ac:dyDescent="0.2">
      <c r="A286" s="278">
        <v>24</v>
      </c>
      <c r="B286" s="286" t="s">
        <v>985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00000000000001" customHeight="1" x14ac:dyDescent="0.2">
      <c r="A287" s="278">
        <v>25</v>
      </c>
      <c r="B287" s="286" t="s">
        <v>986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00000000000001" customHeight="1" x14ac:dyDescent="0.2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00000000000001" customHeight="1" x14ac:dyDescent="0.2">
      <c r="A289" s="279" t="s">
        <v>968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00000000000001" customHeight="1" x14ac:dyDescent="0.2">
      <c r="D290" s="282"/>
      <c r="I290" s="283" t="s">
        <v>1018</v>
      </c>
    </row>
    <row r="291" spans="1:9" ht="20.100000000000001" customHeight="1" x14ac:dyDescent="0.2">
      <c r="A291" s="282"/>
    </row>
    <row r="292" spans="1:9" ht="20.100000000000001" customHeight="1" x14ac:dyDescent="0.2">
      <c r="A292" s="284" t="str">
        <f>"Hospital: "&amp;data!C98</f>
        <v>Hospital: ASTRIA TOPPENISH HOSPITAL</v>
      </c>
      <c r="G292" s="285"/>
      <c r="H292" s="284" t="str">
        <f>"FYE: "&amp;data!C96</f>
        <v>FYE: 12/31/2022</v>
      </c>
    </row>
    <row r="293" spans="1:9" ht="20.100000000000001" customHeight="1" x14ac:dyDescent="0.2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00000000000001" customHeight="1" x14ac:dyDescent="0.2">
      <c r="A294" s="289">
        <v>2</v>
      </c>
      <c r="B294" s="290" t="s">
        <v>970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00000000000001" customHeight="1" x14ac:dyDescent="0.2">
      <c r="A295" s="289"/>
      <c r="B295" s="290"/>
      <c r="C295" s="292" t="s">
        <v>1019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00000000000001" customHeight="1" x14ac:dyDescent="0.2">
      <c r="A296" s="278">
        <v>3</v>
      </c>
      <c r="B296" s="286" t="s">
        <v>974</v>
      </c>
      <c r="C296" s="298"/>
      <c r="D296" s="298"/>
      <c r="E296" s="298"/>
      <c r="F296" s="298"/>
      <c r="G296" s="298"/>
      <c r="H296" s="298"/>
      <c r="I296" s="298"/>
    </row>
    <row r="297" spans="1:9" ht="20.100000000000001" customHeight="1" x14ac:dyDescent="0.2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00000000000001" customHeight="1" x14ac:dyDescent="0.2">
      <c r="A298" s="278">
        <v>5</v>
      </c>
      <c r="B298" s="286" t="s">
        <v>247</v>
      </c>
      <c r="C298" s="293">
        <f>data!BN60</f>
        <v>1.01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0.28000000000000003</v>
      </c>
      <c r="H298" s="293">
        <f>data!BS60</f>
        <v>0</v>
      </c>
      <c r="I298" s="293">
        <f>data!BT60</f>
        <v>0</v>
      </c>
    </row>
    <row r="299" spans="1:9" ht="20.100000000000001" customHeight="1" x14ac:dyDescent="0.2">
      <c r="A299" s="278">
        <v>6</v>
      </c>
      <c r="B299" s="286" t="s">
        <v>248</v>
      </c>
      <c r="C299" s="286">
        <f>data!BN61</f>
        <v>-7370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19770</v>
      </c>
      <c r="H299" s="286">
        <f>data!BS61</f>
        <v>0</v>
      </c>
      <c r="I299" s="286">
        <f>data!BT61</f>
        <v>0</v>
      </c>
    </row>
    <row r="300" spans="1:9" ht="20.100000000000001" customHeight="1" x14ac:dyDescent="0.2">
      <c r="A300" s="278">
        <v>7</v>
      </c>
      <c r="B300" s="286" t="s">
        <v>9</v>
      </c>
      <c r="C300" s="286">
        <f>data!BN62</f>
        <v>-133413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16267</v>
      </c>
      <c r="H300" s="286">
        <f>data!BS62</f>
        <v>0</v>
      </c>
      <c r="I300" s="286">
        <f>data!BT62</f>
        <v>0</v>
      </c>
    </row>
    <row r="301" spans="1:9" ht="20.100000000000001" customHeight="1" x14ac:dyDescent="0.2">
      <c r="A301" s="278">
        <v>8</v>
      </c>
      <c r="B301" s="286" t="s">
        <v>249</v>
      </c>
      <c r="C301" s="286">
        <f>data!BN63</f>
        <v>23286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00000000000001" customHeight="1" x14ac:dyDescent="0.2">
      <c r="A302" s="278">
        <v>9</v>
      </c>
      <c r="B302" s="286" t="s">
        <v>250</v>
      </c>
      <c r="C302" s="286">
        <f>data!BN64</f>
        <v>5769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5</v>
      </c>
      <c r="H302" s="286">
        <f>data!BS64</f>
        <v>0</v>
      </c>
      <c r="I302" s="286">
        <f>data!BT64</f>
        <v>0</v>
      </c>
    </row>
    <row r="303" spans="1:9" ht="20.100000000000001" customHeight="1" x14ac:dyDescent="0.2">
      <c r="A303" s="278">
        <v>10</v>
      </c>
      <c r="B303" s="286" t="s">
        <v>497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00000000000001" customHeight="1" x14ac:dyDescent="0.2">
      <c r="A304" s="278">
        <v>11</v>
      </c>
      <c r="B304" s="286" t="s">
        <v>498</v>
      </c>
      <c r="C304" s="286">
        <f>data!BN66</f>
        <v>597248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41865</v>
      </c>
      <c r="H304" s="286">
        <f>data!BS66</f>
        <v>0</v>
      </c>
      <c r="I304" s="286">
        <f>data!BT66</f>
        <v>0</v>
      </c>
    </row>
    <row r="305" spans="1:9" ht="20.100000000000001" customHeight="1" x14ac:dyDescent="0.2">
      <c r="A305" s="278">
        <v>12</v>
      </c>
      <c r="B305" s="286" t="s">
        <v>11</v>
      </c>
      <c r="C305" s="286">
        <f>data!BN67</f>
        <v>19810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3686</v>
      </c>
      <c r="H305" s="286">
        <f>data!BS67</f>
        <v>0</v>
      </c>
      <c r="I305" s="286">
        <f>data!BT67</f>
        <v>4282</v>
      </c>
    </row>
    <row r="306" spans="1:9" ht="20.100000000000001" customHeight="1" x14ac:dyDescent="0.2">
      <c r="A306" s="278">
        <v>13</v>
      </c>
      <c r="B306" s="286" t="s">
        <v>975</v>
      </c>
      <c r="C306" s="286">
        <f>data!BN68</f>
        <v>0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00000000000001" customHeight="1" x14ac:dyDescent="0.2">
      <c r="A307" s="278">
        <v>14</v>
      </c>
      <c r="B307" s="286" t="s">
        <v>976</v>
      </c>
      <c r="C307" s="286">
        <f>data!BN69</f>
        <v>10080925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35949</v>
      </c>
      <c r="H307" s="286">
        <f>data!BS69</f>
        <v>0</v>
      </c>
      <c r="I307" s="286">
        <f>data!BT69</f>
        <v>0</v>
      </c>
    </row>
    <row r="308" spans="1:9" ht="20.100000000000001" customHeight="1" x14ac:dyDescent="0.2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00000000000001" customHeight="1" x14ac:dyDescent="0.2">
      <c r="A309" s="278">
        <v>16</v>
      </c>
      <c r="B309" s="294" t="s">
        <v>977</v>
      </c>
      <c r="C309" s="286">
        <f>data!BN85</f>
        <v>10586255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117542</v>
      </c>
      <c r="H309" s="286">
        <f>data!BS85</f>
        <v>0</v>
      </c>
      <c r="I309" s="286">
        <f>data!BT85</f>
        <v>4282</v>
      </c>
    </row>
    <row r="310" spans="1:9" ht="20.100000000000001" customHeight="1" x14ac:dyDescent="0.2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00000000000001" customHeight="1" x14ac:dyDescent="0.2">
      <c r="A311" s="278">
        <v>18</v>
      </c>
      <c r="B311" s="286" t="s">
        <v>978</v>
      </c>
      <c r="C311" s="286"/>
      <c r="D311" s="286"/>
      <c r="E311" s="286"/>
      <c r="F311" s="286"/>
      <c r="G311" s="286"/>
      <c r="H311" s="286"/>
      <c r="I311" s="286"/>
    </row>
    <row r="312" spans="1:9" ht="20.100000000000001" customHeight="1" x14ac:dyDescent="0.2">
      <c r="A312" s="278">
        <v>19</v>
      </c>
      <c r="B312" s="294" t="s">
        <v>979</v>
      </c>
      <c r="C312" s="301">
        <f>IF(data!BN73&gt;0,data!BN73,"")</f>
        <v>530718</v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00000000000001" customHeight="1" x14ac:dyDescent="0.2">
      <c r="A313" s="278">
        <v>20</v>
      </c>
      <c r="B313" s="294" t="s">
        <v>980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00000000000001" customHeight="1" x14ac:dyDescent="0.2">
      <c r="A314" s="278">
        <v>21</v>
      </c>
      <c r="B314" s="294" t="s">
        <v>981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00000000000001" customHeight="1" x14ac:dyDescent="0.2">
      <c r="A315" s="278" t="s">
        <v>982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00000000000001" customHeight="1" x14ac:dyDescent="0.2">
      <c r="A316" s="278">
        <v>22</v>
      </c>
      <c r="B316" s="286" t="s">
        <v>983</v>
      </c>
      <c r="C316" s="302">
        <f>data!BN90</f>
        <v>2193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408</v>
      </c>
      <c r="H316" s="302">
        <f>data!BS90</f>
        <v>0</v>
      </c>
      <c r="I316" s="302">
        <f>data!BT90</f>
        <v>474</v>
      </c>
    </row>
    <row r="317" spans="1:9" ht="20.100000000000001" customHeight="1" x14ac:dyDescent="0.2">
      <c r="A317" s="278">
        <v>23</v>
      </c>
      <c r="B317" s="286" t="s">
        <v>984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00000000000001" customHeight="1" x14ac:dyDescent="0.2">
      <c r="A318" s="278">
        <v>24</v>
      </c>
      <c r="B318" s="286" t="s">
        <v>985</v>
      </c>
      <c r="C318" s="301">
        <f>IF(data!BN78&gt;0,data!BN78,"")</f>
        <v>8300431</v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00000000000001" customHeight="1" x14ac:dyDescent="0.2">
      <c r="A319" s="278">
        <v>25</v>
      </c>
      <c r="B319" s="286" t="s">
        <v>986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00000000000001" customHeight="1" x14ac:dyDescent="0.2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00000000000001" customHeight="1" x14ac:dyDescent="0.2">
      <c r="A321" s="279" t="s">
        <v>968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00000000000001" customHeight="1" x14ac:dyDescent="0.2">
      <c r="D322" s="282"/>
      <c r="I322" s="283" t="s">
        <v>1020</v>
      </c>
    </row>
    <row r="323" spans="1:9" ht="20.100000000000001" customHeight="1" x14ac:dyDescent="0.2">
      <c r="A323" s="282"/>
    </row>
    <row r="324" spans="1:9" ht="20.100000000000001" customHeight="1" x14ac:dyDescent="0.2">
      <c r="A324" s="284" t="str">
        <f>"Hospital: "&amp;data!C98</f>
        <v>Hospital: ASTRIA TOPPENISH HOSPITAL</v>
      </c>
      <c r="G324" s="285"/>
      <c r="H324" s="284" t="str">
        <f>"FYE: "&amp;data!C96</f>
        <v>FYE: 12/31/2022</v>
      </c>
    </row>
    <row r="325" spans="1:9" ht="20.100000000000001" customHeight="1" x14ac:dyDescent="0.2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00000000000001" customHeight="1" x14ac:dyDescent="0.2">
      <c r="A326" s="289">
        <v>2</v>
      </c>
      <c r="B326" s="290" t="s">
        <v>970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00000000000001" customHeight="1" x14ac:dyDescent="0.2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1019</v>
      </c>
      <c r="H327" s="292" t="s">
        <v>164</v>
      </c>
      <c r="I327" s="292" t="s">
        <v>213</v>
      </c>
    </row>
    <row r="328" spans="1:9" ht="20.100000000000001" customHeight="1" x14ac:dyDescent="0.2">
      <c r="A328" s="278">
        <v>3</v>
      </c>
      <c r="B328" s="286" t="s">
        <v>974</v>
      </c>
      <c r="C328" s="298"/>
      <c r="D328" s="298"/>
      <c r="E328" s="298"/>
      <c r="F328" s="298"/>
      <c r="G328" s="298"/>
      <c r="H328" s="298"/>
      <c r="I328" s="298"/>
    </row>
    <row r="329" spans="1:9" ht="20.100000000000001" customHeight="1" x14ac:dyDescent="0.2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00000000000001" customHeight="1" x14ac:dyDescent="0.2">
      <c r="A330" s="278">
        <v>5</v>
      </c>
      <c r="B330" s="286" t="s">
        <v>247</v>
      </c>
      <c r="C330" s="293">
        <f>data!BU60</f>
        <v>0</v>
      </c>
      <c r="D330" s="293">
        <f>data!BV60</f>
        <v>4.1900000000000004</v>
      </c>
      <c r="E330" s="293">
        <f>data!BW60</f>
        <v>0</v>
      </c>
      <c r="F330" s="293">
        <f>data!BX60</f>
        <v>3.02</v>
      </c>
      <c r="G330" s="293">
        <f>data!BY60</f>
        <v>3.78</v>
      </c>
      <c r="H330" s="293">
        <f>data!BZ60</f>
        <v>0</v>
      </c>
      <c r="I330" s="293">
        <f>data!CA60</f>
        <v>0</v>
      </c>
    </row>
    <row r="331" spans="1:9" ht="20.100000000000001" customHeight="1" x14ac:dyDescent="0.2">
      <c r="A331" s="278">
        <v>6</v>
      </c>
      <c r="B331" s="286" t="s">
        <v>248</v>
      </c>
      <c r="C331" s="305">
        <f>data!BU61</f>
        <v>0</v>
      </c>
      <c r="D331" s="305">
        <f>data!BV61</f>
        <v>229836</v>
      </c>
      <c r="E331" s="305">
        <f>data!BW61</f>
        <v>0</v>
      </c>
      <c r="F331" s="305">
        <f>data!BX61</f>
        <v>317357</v>
      </c>
      <c r="G331" s="305">
        <f>data!BY61</f>
        <v>536423</v>
      </c>
      <c r="H331" s="305">
        <f>data!BZ61</f>
        <v>0</v>
      </c>
      <c r="I331" s="305">
        <f>data!CA61</f>
        <v>0</v>
      </c>
    </row>
    <row r="332" spans="1:9" ht="20.100000000000001" customHeight="1" x14ac:dyDescent="0.2">
      <c r="A332" s="278">
        <v>7</v>
      </c>
      <c r="B332" s="286" t="s">
        <v>9</v>
      </c>
      <c r="C332" s="305">
        <f>data!BU62</f>
        <v>0</v>
      </c>
      <c r="D332" s="305">
        <f>data!BV62</f>
        <v>53359</v>
      </c>
      <c r="E332" s="305">
        <f>data!BW62</f>
        <v>0</v>
      </c>
      <c r="F332" s="305">
        <f>data!BX62</f>
        <v>75826</v>
      </c>
      <c r="G332" s="305">
        <f>data!BY62</f>
        <v>121302</v>
      </c>
      <c r="H332" s="305">
        <f>data!BZ62</f>
        <v>0</v>
      </c>
      <c r="I332" s="305">
        <f>data!CA62</f>
        <v>0</v>
      </c>
    </row>
    <row r="333" spans="1:9" ht="20.100000000000001" customHeight="1" x14ac:dyDescent="0.2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00000000000001" customHeight="1" x14ac:dyDescent="0.2">
      <c r="A334" s="278">
        <v>9</v>
      </c>
      <c r="B334" s="286" t="s">
        <v>250</v>
      </c>
      <c r="C334" s="305">
        <f>data!BU64</f>
        <v>0</v>
      </c>
      <c r="D334" s="305">
        <f>data!BV64</f>
        <v>5166</v>
      </c>
      <c r="E334" s="305">
        <f>data!BW64</f>
        <v>0</v>
      </c>
      <c r="F334" s="305">
        <f>data!BX64</f>
        <v>467</v>
      </c>
      <c r="G334" s="305">
        <f>data!BY64</f>
        <v>1182</v>
      </c>
      <c r="H334" s="305">
        <f>data!BZ64</f>
        <v>0</v>
      </c>
      <c r="I334" s="305">
        <f>data!CA64</f>
        <v>0</v>
      </c>
    </row>
    <row r="335" spans="1:9" ht="20.100000000000001" customHeight="1" x14ac:dyDescent="0.2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00000000000001" customHeight="1" x14ac:dyDescent="0.2">
      <c r="A336" s="278">
        <v>11</v>
      </c>
      <c r="B336" s="286" t="s">
        <v>498</v>
      </c>
      <c r="C336" s="305">
        <f>data!BU66</f>
        <v>0</v>
      </c>
      <c r="D336" s="305">
        <f>data!BV66</f>
        <v>16934</v>
      </c>
      <c r="E336" s="305">
        <f>data!BW66</f>
        <v>0</v>
      </c>
      <c r="F336" s="305">
        <f>data!BX66</f>
        <v>49192</v>
      </c>
      <c r="G336" s="305">
        <f>data!BY66</f>
        <v>18775</v>
      </c>
      <c r="H336" s="305">
        <f>data!BZ66</f>
        <v>0</v>
      </c>
      <c r="I336" s="305">
        <f>data!CA66</f>
        <v>0</v>
      </c>
    </row>
    <row r="337" spans="1:9" ht="20.100000000000001" customHeight="1" x14ac:dyDescent="0.2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2927</v>
      </c>
      <c r="G337" s="305">
        <f>data!BY67</f>
        <v>0</v>
      </c>
      <c r="H337" s="305">
        <f>data!BZ67</f>
        <v>0</v>
      </c>
      <c r="I337" s="305">
        <f>data!CA67</f>
        <v>0</v>
      </c>
    </row>
    <row r="338" spans="1:9" ht="20.100000000000001" customHeight="1" x14ac:dyDescent="0.2">
      <c r="A338" s="278">
        <v>13</v>
      </c>
      <c r="B338" s="286" t="s">
        <v>975</v>
      </c>
      <c r="C338" s="305">
        <f>data!BU68</f>
        <v>0</v>
      </c>
      <c r="D338" s="305">
        <f>data!BV68</f>
        <v>79991</v>
      </c>
      <c r="E338" s="305">
        <f>data!BW68</f>
        <v>0</v>
      </c>
      <c r="F338" s="305">
        <f>data!BX68</f>
        <v>0</v>
      </c>
      <c r="G338" s="305">
        <f>data!BY68</f>
        <v>717</v>
      </c>
      <c r="H338" s="305">
        <f>data!BZ68</f>
        <v>0</v>
      </c>
      <c r="I338" s="305">
        <f>data!CA68</f>
        <v>0</v>
      </c>
    </row>
    <row r="339" spans="1:9" ht="20.100000000000001" customHeight="1" x14ac:dyDescent="0.2">
      <c r="A339" s="278">
        <v>14</v>
      </c>
      <c r="B339" s="286" t="s">
        <v>976</v>
      </c>
      <c r="C339" s="305">
        <f>data!BU69</f>
        <v>0</v>
      </c>
      <c r="D339" s="305">
        <f>data!BV69</f>
        <v>93884</v>
      </c>
      <c r="E339" s="305">
        <f>data!BW69</f>
        <v>0</v>
      </c>
      <c r="F339" s="305">
        <f>data!BX69</f>
        <v>16961</v>
      </c>
      <c r="G339" s="305">
        <f>data!BY69</f>
        <v>666845</v>
      </c>
      <c r="H339" s="305">
        <f>data!BZ69</f>
        <v>0</v>
      </c>
      <c r="I339" s="305">
        <f>data!CA69</f>
        <v>0</v>
      </c>
    </row>
    <row r="340" spans="1:9" ht="20.100000000000001" customHeight="1" x14ac:dyDescent="0.2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00000000000001" customHeight="1" x14ac:dyDescent="0.2">
      <c r="A341" s="278">
        <v>16</v>
      </c>
      <c r="B341" s="294" t="s">
        <v>977</v>
      </c>
      <c r="C341" s="286">
        <f>data!BU85</f>
        <v>0</v>
      </c>
      <c r="D341" s="286">
        <f>data!BV85</f>
        <v>479170</v>
      </c>
      <c r="E341" s="286">
        <f>data!BW85</f>
        <v>0</v>
      </c>
      <c r="F341" s="286">
        <f>data!BX85</f>
        <v>462730</v>
      </c>
      <c r="G341" s="286">
        <f>data!BY85</f>
        <v>1345244</v>
      </c>
      <c r="H341" s="286">
        <f>data!BZ85</f>
        <v>0</v>
      </c>
      <c r="I341" s="286">
        <f>data!CA85</f>
        <v>0</v>
      </c>
    </row>
    <row r="342" spans="1:9" ht="20.100000000000001" customHeight="1" x14ac:dyDescent="0.2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00000000000001" customHeight="1" x14ac:dyDescent="0.2">
      <c r="A343" s="278">
        <v>18</v>
      </c>
      <c r="B343" s="286" t="s">
        <v>978</v>
      </c>
      <c r="C343" s="286"/>
      <c r="D343" s="286"/>
      <c r="E343" s="286"/>
      <c r="F343" s="286"/>
      <c r="G343" s="286"/>
      <c r="H343" s="286"/>
      <c r="I343" s="286"/>
    </row>
    <row r="344" spans="1:9" ht="20.100000000000001" customHeight="1" x14ac:dyDescent="0.2">
      <c r="A344" s="278">
        <v>19</v>
      </c>
      <c r="B344" s="294" t="s">
        <v>979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00000000000001" customHeight="1" x14ac:dyDescent="0.2">
      <c r="A345" s="278">
        <v>20</v>
      </c>
      <c r="B345" s="294" t="s">
        <v>980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00000000000001" customHeight="1" x14ac:dyDescent="0.2">
      <c r="A346" s="278">
        <v>21</v>
      </c>
      <c r="B346" s="294" t="s">
        <v>981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00000000000001" customHeight="1" x14ac:dyDescent="0.2">
      <c r="A347" s="278" t="s">
        <v>982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00000000000001" customHeight="1" x14ac:dyDescent="0.2">
      <c r="A348" s="278">
        <v>22</v>
      </c>
      <c r="B348" s="286" t="s">
        <v>983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324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00000000000001" customHeight="1" x14ac:dyDescent="0.2">
      <c r="A349" s="278">
        <v>23</v>
      </c>
      <c r="B349" s="286" t="s">
        <v>984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00000000000001" customHeight="1" x14ac:dyDescent="0.2">
      <c r="A350" s="278">
        <v>24</v>
      </c>
      <c r="B350" s="286" t="s">
        <v>985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00000000000001" customHeight="1" x14ac:dyDescent="0.2">
      <c r="A351" s="278">
        <v>25</v>
      </c>
      <c r="B351" s="286" t="s">
        <v>986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00000000000001" customHeight="1" x14ac:dyDescent="0.2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00000000000001" customHeight="1" x14ac:dyDescent="0.2">
      <c r="A353" s="279" t="s">
        <v>968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00000000000001" customHeight="1" x14ac:dyDescent="0.2">
      <c r="D354" s="282"/>
      <c r="I354" s="283" t="s">
        <v>1021</v>
      </c>
    </row>
    <row r="355" spans="1:9" ht="20.100000000000001" customHeight="1" x14ac:dyDescent="0.2">
      <c r="A355" s="282"/>
    </row>
    <row r="356" spans="1:9" ht="20.100000000000001" customHeight="1" x14ac:dyDescent="0.2">
      <c r="A356" s="284" t="str">
        <f>"Hospital: "&amp;data!C98</f>
        <v>Hospital: ASTRIA TOPPENISH HOSPITAL</v>
      </c>
      <c r="G356" s="285"/>
      <c r="H356" s="284" t="str">
        <f>"FYE: "&amp;data!C96</f>
        <v>FYE: 12/31/2022</v>
      </c>
    </row>
    <row r="357" spans="1:9" ht="20.100000000000001" customHeight="1" x14ac:dyDescent="0.2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00000000000001" customHeight="1" x14ac:dyDescent="0.2">
      <c r="A358" s="289">
        <v>2</v>
      </c>
      <c r="B358" s="290" t="s">
        <v>970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00000000000001" customHeight="1" x14ac:dyDescent="0.2">
      <c r="A359" s="289"/>
      <c r="B359" s="290"/>
      <c r="C359" s="292" t="s">
        <v>213</v>
      </c>
      <c r="D359" s="292" t="s">
        <v>1022</v>
      </c>
      <c r="E359" s="292" t="s">
        <v>225</v>
      </c>
      <c r="F359" s="307"/>
      <c r="G359" s="307"/>
      <c r="H359" s="307"/>
      <c r="I359" s="292" t="s">
        <v>215</v>
      </c>
    </row>
    <row r="360" spans="1:9" ht="20.100000000000001" customHeight="1" x14ac:dyDescent="0.2">
      <c r="A360" s="278">
        <v>3</v>
      </c>
      <c r="B360" s="286" t="s">
        <v>974</v>
      </c>
      <c r="C360" s="298"/>
      <c r="D360" s="298"/>
      <c r="E360" s="298"/>
      <c r="F360" s="298"/>
      <c r="G360" s="298"/>
      <c r="H360" s="298"/>
      <c r="I360" s="298"/>
    </row>
    <row r="361" spans="1:9" ht="20.100000000000001" customHeight="1" x14ac:dyDescent="0.2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00000000000001" customHeight="1" x14ac:dyDescent="0.2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256.91999999999996</v>
      </c>
    </row>
    <row r="363" spans="1:9" ht="20.100000000000001" customHeight="1" x14ac:dyDescent="0.2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21035918.25</v>
      </c>
    </row>
    <row r="364" spans="1:9" ht="20.100000000000001" customHeight="1" x14ac:dyDescent="0.2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4468660</v>
      </c>
    </row>
    <row r="365" spans="1:9" ht="20.100000000000001" customHeight="1" x14ac:dyDescent="0.2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4767567.4399999995</v>
      </c>
    </row>
    <row r="366" spans="1:9" ht="20.100000000000001" customHeight="1" x14ac:dyDescent="0.2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5974762</v>
      </c>
    </row>
    <row r="367" spans="1:9" ht="20.100000000000001" customHeight="1" x14ac:dyDescent="0.2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0</v>
      </c>
    </row>
    <row r="368" spans="1:9" ht="20.100000000000001" customHeight="1" x14ac:dyDescent="0.2">
      <c r="A368" s="278">
        <v>11</v>
      </c>
      <c r="B368" s="286" t="s">
        <v>498</v>
      </c>
      <c r="C368" s="305">
        <f>data!CB66</f>
        <v>0</v>
      </c>
      <c r="D368" s="305">
        <f>data!CC66</f>
        <v>152334</v>
      </c>
      <c r="E368" s="310"/>
      <c r="F368" s="310"/>
      <c r="G368" s="310"/>
      <c r="H368" s="310"/>
      <c r="I368" s="305">
        <f>data!CE66</f>
        <v>5051888</v>
      </c>
    </row>
    <row r="369" spans="1:9" ht="20.100000000000001" customHeight="1" x14ac:dyDescent="0.2">
      <c r="A369" s="278">
        <v>12</v>
      </c>
      <c r="B369" s="286" t="s">
        <v>11</v>
      </c>
      <c r="C369" s="305">
        <f>data!CB67</f>
        <v>0</v>
      </c>
      <c r="D369" s="305">
        <f>data!CC67</f>
        <v>287020</v>
      </c>
      <c r="E369" s="310"/>
      <c r="F369" s="310"/>
      <c r="G369" s="310"/>
      <c r="H369" s="310"/>
      <c r="I369" s="305">
        <f>data!CE67</f>
        <v>715558</v>
      </c>
    </row>
    <row r="370" spans="1:9" ht="20.100000000000001" customHeight="1" x14ac:dyDescent="0.2">
      <c r="A370" s="278">
        <v>13</v>
      </c>
      <c r="B370" s="286" t="s">
        <v>975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1095180</v>
      </c>
    </row>
    <row r="371" spans="1:9" ht="20.100000000000001" customHeight="1" x14ac:dyDescent="0.2">
      <c r="A371" s="278">
        <v>14</v>
      </c>
      <c r="B371" s="286" t="s">
        <v>976</v>
      </c>
      <c r="C371" s="305">
        <f>data!CB69</f>
        <v>0</v>
      </c>
      <c r="D371" s="305">
        <f>data!CC69</f>
        <v>3292043</v>
      </c>
      <c r="E371" s="305">
        <f>data!CD69</f>
        <v>0</v>
      </c>
      <c r="F371" s="310"/>
      <c r="G371" s="310"/>
      <c r="H371" s="310"/>
      <c r="I371" s="305">
        <f>data!CE69</f>
        <v>21816702.370000001</v>
      </c>
    </row>
    <row r="372" spans="1:9" ht="20.100000000000001" customHeight="1" x14ac:dyDescent="0.2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00000000000001" customHeight="1" x14ac:dyDescent="0.2">
      <c r="A373" s="278">
        <v>16</v>
      </c>
      <c r="B373" s="294" t="s">
        <v>977</v>
      </c>
      <c r="C373" s="305">
        <f>data!CB85</f>
        <v>0</v>
      </c>
      <c r="D373" s="305">
        <f>data!CC85</f>
        <v>3731397</v>
      </c>
      <c r="E373" s="305">
        <f>data!CD85</f>
        <v>0</v>
      </c>
      <c r="F373" s="310"/>
      <c r="G373" s="310"/>
      <c r="H373" s="310"/>
      <c r="I373" s="286">
        <f>data!CE85</f>
        <v>64926236.060000002</v>
      </c>
    </row>
    <row r="374" spans="1:9" ht="20.100000000000001" customHeight="1" x14ac:dyDescent="0.2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00000000000001" customHeight="1" x14ac:dyDescent="0.2">
      <c r="A375" s="278">
        <v>18</v>
      </c>
      <c r="B375" s="286" t="s">
        <v>978</v>
      </c>
      <c r="C375" s="286"/>
      <c r="D375" s="286"/>
      <c r="E375" s="286"/>
      <c r="F375" s="286"/>
      <c r="G375" s="286"/>
      <c r="H375" s="286"/>
      <c r="I375" s="286"/>
    </row>
    <row r="376" spans="1:9" ht="20.100000000000001" customHeight="1" x14ac:dyDescent="0.2">
      <c r="A376" s="278">
        <v>19</v>
      </c>
      <c r="B376" s="294" t="s">
        <v>979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-53204373</v>
      </c>
    </row>
    <row r="377" spans="1:9" ht="20.100000000000001" customHeight="1" x14ac:dyDescent="0.2">
      <c r="A377" s="278">
        <v>20</v>
      </c>
      <c r="B377" s="294" t="s">
        <v>980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-154134923.80000001</v>
      </c>
    </row>
    <row r="378" spans="1:9" ht="20.100000000000001" customHeight="1" x14ac:dyDescent="0.2">
      <c r="A378" s="278">
        <v>21</v>
      </c>
      <c r="B378" s="294" t="s">
        <v>981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-207339296.80000001</v>
      </c>
    </row>
    <row r="379" spans="1:9" ht="20.100000000000001" customHeight="1" x14ac:dyDescent="0.2">
      <c r="A379" s="278" t="s">
        <v>982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00000000000001" customHeight="1" x14ac:dyDescent="0.2">
      <c r="A380" s="278">
        <v>22</v>
      </c>
      <c r="B380" s="286" t="s">
        <v>983</v>
      </c>
      <c r="C380" s="302">
        <f>data!CB90</f>
        <v>0</v>
      </c>
      <c r="D380" s="302">
        <f>data!CC90</f>
        <v>31773</v>
      </c>
      <c r="E380" s="296"/>
      <c r="F380" s="296"/>
      <c r="G380" s="296"/>
      <c r="H380" s="296"/>
      <c r="I380" s="286">
        <f>data!CE90</f>
        <v>79212</v>
      </c>
    </row>
    <row r="381" spans="1:9" ht="20.100000000000001" customHeight="1" x14ac:dyDescent="0.2">
      <c r="A381" s="278">
        <v>23</v>
      </c>
      <c r="B381" s="286" t="s">
        <v>984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26331</v>
      </c>
    </row>
    <row r="382" spans="1:9" ht="20.100000000000001" customHeight="1" x14ac:dyDescent="0.2">
      <c r="A382" s="278">
        <v>24</v>
      </c>
      <c r="B382" s="286" t="s">
        <v>985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0</v>
      </c>
    </row>
    <row r="383" spans="1:9" ht="20.100000000000001" customHeight="1" x14ac:dyDescent="0.2">
      <c r="A383" s="278">
        <v>25</v>
      </c>
      <c r="B383" s="286" t="s">
        <v>986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307318</v>
      </c>
    </row>
    <row r="384" spans="1:9" ht="20.100000000000001" customHeight="1" x14ac:dyDescent="0.2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53.129999999999995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C405" transitionEvaluation="1" transitionEntry="1" codeName="Sheet12">
    <tabColor rgb="FF92D050"/>
    <pageSetUpPr autoPageBreaks="0" fitToPage="1"/>
  </sheetPr>
  <dimension ref="A1:CF717"/>
  <sheetViews>
    <sheetView topLeftCell="A405" zoomScaleNormal="100" workbookViewId="0">
      <selection activeCell="A308" sqref="A308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1328</v>
      </c>
    </row>
    <row r="7" spans="1:3" x14ac:dyDescent="0.25">
      <c r="A7" s="12" t="s">
        <v>4</v>
      </c>
    </row>
    <row r="8" spans="1:3" x14ac:dyDescent="0.25">
      <c r="A8" s="12" t="s">
        <v>1330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1329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1331</v>
      </c>
    </row>
    <row r="19" spans="1:10" ht="14.45" customHeight="1" x14ac:dyDescent="0.25">
      <c r="A19" s="18" t="s">
        <v>1332</v>
      </c>
    </row>
    <row r="20" spans="1:10" ht="14.45" customHeight="1" x14ac:dyDescent="0.25">
      <c r="A20" s="18" t="s">
        <v>1333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1334</v>
      </c>
      <c r="E24" s="71"/>
      <c r="F24" s="71"/>
      <c r="G24" s="71"/>
    </row>
    <row r="25" spans="1:10" x14ac:dyDescent="0.25">
      <c r="A25" s="18" t="s">
        <v>1335</v>
      </c>
    </row>
    <row r="26" spans="1:10" x14ac:dyDescent="0.25">
      <c r="A26" s="18" t="s">
        <v>1336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1337</v>
      </c>
      <c r="C29" s="17"/>
    </row>
    <row r="30" spans="1:10" x14ac:dyDescent="0.25">
      <c r="C30" s="17"/>
    </row>
    <row r="31" spans="1:10" x14ac:dyDescent="0.25">
      <c r="A31" s="12" t="s">
        <v>1347</v>
      </c>
      <c r="C31" s="333" t="s">
        <v>1348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25">
      <c r="A38" s="337" t="s">
        <v>1340</v>
      </c>
      <c r="B38" s="338"/>
      <c r="C38" s="336"/>
      <c r="D38" s="335"/>
      <c r="E38" s="335"/>
      <c r="F38" s="335"/>
      <c r="G38" s="335"/>
    </row>
    <row r="39" spans="1:83" x14ac:dyDescent="0.25">
      <c r="A39" s="339" t="s">
        <v>1338</v>
      </c>
      <c r="B39" s="338"/>
      <c r="C39" s="336"/>
      <c r="D39" s="335"/>
      <c r="E39" s="335"/>
      <c r="F39" s="335"/>
      <c r="G39" s="335"/>
    </row>
    <row r="40" spans="1:83" x14ac:dyDescent="0.25">
      <c r="A40" s="340" t="s">
        <v>1341</v>
      </c>
      <c r="B40" s="335"/>
      <c r="C40" s="336"/>
      <c r="D40" s="335"/>
      <c r="E40" s="335"/>
      <c r="F40" s="335"/>
      <c r="G40" s="335"/>
    </row>
    <row r="41" spans="1:83" x14ac:dyDescent="0.25">
      <c r="A41" s="339" t="s">
        <v>1339</v>
      </c>
      <c r="B41" s="335"/>
      <c r="C41" s="336"/>
      <c r="D41" s="335"/>
      <c r="E41" s="335"/>
      <c r="F41" s="335"/>
      <c r="G41" s="335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/>
      <c r="C48" s="213">
        <v>186834.62</v>
      </c>
      <c r="D48" s="213"/>
      <c r="E48" s="213">
        <v>288116.98</v>
      </c>
      <c r="F48" s="213"/>
      <c r="G48" s="213"/>
      <c r="H48" s="213">
        <v>594861.5</v>
      </c>
      <c r="I48" s="213"/>
      <c r="J48" s="213"/>
      <c r="K48" s="213"/>
      <c r="L48" s="213"/>
      <c r="M48" s="213"/>
      <c r="N48" s="213"/>
      <c r="O48" s="213">
        <v>376998.31</v>
      </c>
      <c r="P48" s="213">
        <v>566382.75</v>
      </c>
      <c r="Q48" s="213">
        <v>74367.600000000006</v>
      </c>
      <c r="R48" s="213"/>
      <c r="S48" s="213"/>
      <c r="T48" s="213"/>
      <c r="U48" s="213">
        <v>236584.74</v>
      </c>
      <c r="V48" s="213"/>
      <c r="W48" s="213">
        <v>11171.41</v>
      </c>
      <c r="X48" s="213">
        <v>43108.56</v>
      </c>
      <c r="Y48" s="213">
        <v>281413.34999999998</v>
      </c>
      <c r="Z48" s="213"/>
      <c r="AA48" s="213"/>
      <c r="AB48" s="213">
        <v>110299.28</v>
      </c>
      <c r="AC48" s="213">
        <v>50561.57</v>
      </c>
      <c r="AD48" s="213"/>
      <c r="AE48" s="213">
        <v>2980.58</v>
      </c>
      <c r="AF48" s="213"/>
      <c r="AG48" s="213">
        <v>476945.03</v>
      </c>
      <c r="AH48" s="213"/>
      <c r="AI48" s="213"/>
      <c r="AJ48" s="213">
        <v>1337951.77</v>
      </c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>
        <v>770.82</v>
      </c>
      <c r="AZ48" s="213">
        <v>112659.38</v>
      </c>
      <c r="BA48" s="213"/>
      <c r="BB48" s="213"/>
      <c r="BC48" s="213"/>
      <c r="BD48" s="213">
        <v>42949.89</v>
      </c>
      <c r="BE48" s="213">
        <v>50661.91</v>
      </c>
      <c r="BF48" s="213">
        <v>110945.12</v>
      </c>
      <c r="BG48" s="213"/>
      <c r="BH48" s="213"/>
      <c r="BI48" s="213"/>
      <c r="BJ48" s="213"/>
      <c r="BK48" s="213"/>
      <c r="BL48" s="213">
        <v>140340.96</v>
      </c>
      <c r="BM48" s="213">
        <v>31109.17</v>
      </c>
      <c r="BN48" s="213">
        <v>1580911.84</v>
      </c>
      <c r="BO48" s="213"/>
      <c r="BP48" s="213"/>
      <c r="BQ48" s="213"/>
      <c r="BR48" s="213">
        <v>8940.4500000000007</v>
      </c>
      <c r="BS48" s="213"/>
      <c r="BT48" s="213"/>
      <c r="BU48" s="213"/>
      <c r="BV48" s="213">
        <v>82783.62</v>
      </c>
      <c r="BW48" s="213"/>
      <c r="BX48" s="213">
        <v>41064.86</v>
      </c>
      <c r="BY48" s="213">
        <v>58157.49</v>
      </c>
      <c r="BZ48" s="213"/>
      <c r="CA48" s="213"/>
      <c r="CB48" s="213"/>
      <c r="CC48" s="213">
        <v>-3215187.91</v>
      </c>
      <c r="CD48" s="20"/>
      <c r="CE48" s="32">
        <f>SUM(C48:CC48)</f>
        <v>3684685.6500000013</v>
      </c>
    </row>
    <row r="49" spans="1:83" x14ac:dyDescent="0.25">
      <c r="A49" s="32" t="s">
        <v>217</v>
      </c>
      <c r="B49" s="215"/>
      <c r="C49" s="269" t="b">
        <f>IF($B$49,(ROUND((($B$49/$CE$62)*C62),0)))</f>
        <v>0</v>
      </c>
      <c r="D49" s="269" t="b">
        <f t="shared" ref="D49:BO49" si="0">IF($B$49,(ROUND((($B$49/$CE$62)*D62),0)))</f>
        <v>0</v>
      </c>
      <c r="E49" s="269" t="b">
        <f t="shared" si="0"/>
        <v>0</v>
      </c>
      <c r="F49" s="269" t="b">
        <f t="shared" si="0"/>
        <v>0</v>
      </c>
      <c r="G49" s="269" t="b">
        <f t="shared" si="0"/>
        <v>0</v>
      </c>
      <c r="H49" s="269" t="b">
        <f t="shared" si="0"/>
        <v>0</v>
      </c>
      <c r="I49" s="269" t="b">
        <f t="shared" si="0"/>
        <v>0</v>
      </c>
      <c r="J49" s="269" t="b">
        <f t="shared" si="0"/>
        <v>0</v>
      </c>
      <c r="K49" s="269" t="b">
        <f t="shared" si="0"/>
        <v>0</v>
      </c>
      <c r="L49" s="269" t="b">
        <f t="shared" si="0"/>
        <v>0</v>
      </c>
      <c r="M49" s="269" t="b">
        <f t="shared" si="0"/>
        <v>0</v>
      </c>
      <c r="N49" s="269" t="b">
        <f t="shared" si="0"/>
        <v>0</v>
      </c>
      <c r="O49" s="269" t="b">
        <f t="shared" si="0"/>
        <v>0</v>
      </c>
      <c r="P49" s="269" t="b">
        <f t="shared" si="0"/>
        <v>0</v>
      </c>
      <c r="Q49" s="269" t="b">
        <f t="shared" si="0"/>
        <v>0</v>
      </c>
      <c r="R49" s="269" t="b">
        <f t="shared" si="0"/>
        <v>0</v>
      </c>
      <c r="S49" s="269" t="b">
        <f t="shared" si="0"/>
        <v>0</v>
      </c>
      <c r="T49" s="269" t="b">
        <f t="shared" si="0"/>
        <v>0</v>
      </c>
      <c r="U49" s="269" t="b">
        <f t="shared" si="0"/>
        <v>0</v>
      </c>
      <c r="V49" s="269" t="b">
        <f t="shared" si="0"/>
        <v>0</v>
      </c>
      <c r="W49" s="269" t="b">
        <f t="shared" si="0"/>
        <v>0</v>
      </c>
      <c r="X49" s="269" t="b">
        <f t="shared" si="0"/>
        <v>0</v>
      </c>
      <c r="Y49" s="269" t="b">
        <f t="shared" si="0"/>
        <v>0</v>
      </c>
      <c r="Z49" s="269" t="b">
        <f t="shared" si="0"/>
        <v>0</v>
      </c>
      <c r="AA49" s="269" t="b">
        <f t="shared" si="0"/>
        <v>0</v>
      </c>
      <c r="AB49" s="269" t="b">
        <f t="shared" si="0"/>
        <v>0</v>
      </c>
      <c r="AC49" s="269" t="b">
        <f t="shared" si="0"/>
        <v>0</v>
      </c>
      <c r="AD49" s="269" t="b">
        <f t="shared" si="0"/>
        <v>0</v>
      </c>
      <c r="AE49" s="269" t="b">
        <f t="shared" si="0"/>
        <v>0</v>
      </c>
      <c r="AF49" s="269" t="b">
        <f t="shared" si="0"/>
        <v>0</v>
      </c>
      <c r="AG49" s="269" t="b">
        <f t="shared" si="0"/>
        <v>0</v>
      </c>
      <c r="AH49" s="269" t="b">
        <f t="shared" si="0"/>
        <v>0</v>
      </c>
      <c r="AI49" s="269" t="b">
        <f t="shared" si="0"/>
        <v>0</v>
      </c>
      <c r="AJ49" s="269" t="b">
        <f t="shared" si="0"/>
        <v>0</v>
      </c>
      <c r="AK49" s="269" t="b">
        <f t="shared" si="0"/>
        <v>0</v>
      </c>
      <c r="AL49" s="269" t="b">
        <f t="shared" si="0"/>
        <v>0</v>
      </c>
      <c r="AM49" s="269" t="b">
        <f t="shared" si="0"/>
        <v>0</v>
      </c>
      <c r="AN49" s="269" t="b">
        <f t="shared" si="0"/>
        <v>0</v>
      </c>
      <c r="AO49" s="269" t="b">
        <f t="shared" si="0"/>
        <v>0</v>
      </c>
      <c r="AP49" s="269" t="b">
        <f t="shared" si="0"/>
        <v>0</v>
      </c>
      <c r="AQ49" s="269" t="b">
        <f t="shared" si="0"/>
        <v>0</v>
      </c>
      <c r="AR49" s="269" t="b">
        <f t="shared" si="0"/>
        <v>0</v>
      </c>
      <c r="AS49" s="269" t="b">
        <f t="shared" si="0"/>
        <v>0</v>
      </c>
      <c r="AT49" s="269" t="b">
        <f t="shared" si="0"/>
        <v>0</v>
      </c>
      <c r="AU49" s="269" t="b">
        <f t="shared" si="0"/>
        <v>0</v>
      </c>
      <c r="AV49" s="269" t="b">
        <f t="shared" si="0"/>
        <v>0</v>
      </c>
      <c r="AW49" s="269" t="b">
        <f t="shared" si="0"/>
        <v>0</v>
      </c>
      <c r="AX49" s="269" t="b">
        <f t="shared" si="0"/>
        <v>0</v>
      </c>
      <c r="AY49" s="269" t="b">
        <f t="shared" si="0"/>
        <v>0</v>
      </c>
      <c r="AZ49" s="269" t="b">
        <f t="shared" si="0"/>
        <v>0</v>
      </c>
      <c r="BA49" s="269" t="b">
        <f t="shared" si="0"/>
        <v>0</v>
      </c>
      <c r="BB49" s="269" t="b">
        <f t="shared" si="0"/>
        <v>0</v>
      </c>
      <c r="BC49" s="269" t="b">
        <f t="shared" si="0"/>
        <v>0</v>
      </c>
      <c r="BD49" s="269" t="b">
        <f t="shared" si="0"/>
        <v>0</v>
      </c>
      <c r="BE49" s="269" t="b">
        <f t="shared" si="0"/>
        <v>0</v>
      </c>
      <c r="BF49" s="269" t="b">
        <f t="shared" si="0"/>
        <v>0</v>
      </c>
      <c r="BG49" s="269" t="b">
        <f t="shared" si="0"/>
        <v>0</v>
      </c>
      <c r="BH49" s="269" t="b">
        <f t="shared" si="0"/>
        <v>0</v>
      </c>
      <c r="BI49" s="269" t="b">
        <f t="shared" si="0"/>
        <v>0</v>
      </c>
      <c r="BJ49" s="269" t="b">
        <f t="shared" si="0"/>
        <v>0</v>
      </c>
      <c r="BK49" s="269" t="b">
        <f t="shared" si="0"/>
        <v>0</v>
      </c>
      <c r="BL49" s="269" t="b">
        <f t="shared" si="0"/>
        <v>0</v>
      </c>
      <c r="BM49" s="269" t="b">
        <f t="shared" si="0"/>
        <v>0</v>
      </c>
      <c r="BN49" s="269" t="b">
        <f t="shared" si="0"/>
        <v>0</v>
      </c>
      <c r="BO49" s="269" t="b">
        <f t="shared" si="0"/>
        <v>0</v>
      </c>
      <c r="BP49" s="269" t="b">
        <f t="shared" ref="BP49:CD49" si="1">IF($B$49,(ROUND((($B$49/$CE$62)*BP62),0)))</f>
        <v>0</v>
      </c>
      <c r="BQ49" s="269" t="b">
        <f t="shared" si="1"/>
        <v>0</v>
      </c>
      <c r="BR49" s="269" t="b">
        <f t="shared" si="1"/>
        <v>0</v>
      </c>
      <c r="BS49" s="269" t="b">
        <f t="shared" si="1"/>
        <v>0</v>
      </c>
      <c r="BT49" s="269" t="b">
        <f t="shared" si="1"/>
        <v>0</v>
      </c>
      <c r="BU49" s="269" t="b">
        <f t="shared" si="1"/>
        <v>0</v>
      </c>
      <c r="BV49" s="269" t="b">
        <f t="shared" si="1"/>
        <v>0</v>
      </c>
      <c r="BW49" s="269" t="b">
        <f t="shared" si="1"/>
        <v>0</v>
      </c>
      <c r="BX49" s="269" t="b">
        <f t="shared" si="1"/>
        <v>0</v>
      </c>
      <c r="BY49" s="269" t="b">
        <f t="shared" si="1"/>
        <v>0</v>
      </c>
      <c r="BZ49" s="269" t="b">
        <f t="shared" si="1"/>
        <v>0</v>
      </c>
      <c r="CA49" s="269" t="b">
        <f t="shared" si="1"/>
        <v>0</v>
      </c>
      <c r="CB49" s="269" t="b">
        <f t="shared" si="1"/>
        <v>0</v>
      </c>
      <c r="CC49" s="269" t="b">
        <f t="shared" si="1"/>
        <v>0</v>
      </c>
      <c r="CD49" s="269" t="b">
        <f t="shared" si="1"/>
        <v>0</v>
      </c>
      <c r="CE49" s="32">
        <f>SUM(C49:CD49)</f>
        <v>0</v>
      </c>
    </row>
    <row r="50" spans="1:83" x14ac:dyDescent="0.25">
      <c r="A50" s="20" t="s">
        <v>218</v>
      </c>
      <c r="B50" s="269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0">
        <v>774970.83</v>
      </c>
      <c r="C53" s="269">
        <f>IF($B$53,ROUND(($B$53/($CE$91+$CF$91)*C91),0))</f>
        <v>33075</v>
      </c>
      <c r="D53" s="269">
        <f t="shared" ref="D53:BO53" si="2">IF($B$53,ROUND(($B$53/($CE$91+$CF$91)*D91),0))</f>
        <v>0</v>
      </c>
      <c r="E53" s="269">
        <f t="shared" si="2"/>
        <v>103005</v>
      </c>
      <c r="F53" s="269">
        <f t="shared" si="2"/>
        <v>0</v>
      </c>
      <c r="G53" s="269">
        <f t="shared" si="2"/>
        <v>0</v>
      </c>
      <c r="H53" s="269">
        <f t="shared" si="2"/>
        <v>42688</v>
      </c>
      <c r="I53" s="269">
        <f t="shared" si="2"/>
        <v>0</v>
      </c>
      <c r="J53" s="269">
        <f t="shared" si="2"/>
        <v>7717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97735</v>
      </c>
      <c r="P53" s="269">
        <f t="shared" si="2"/>
        <v>27011</v>
      </c>
      <c r="Q53" s="269">
        <f t="shared" si="2"/>
        <v>43052</v>
      </c>
      <c r="R53" s="269">
        <f t="shared" si="2"/>
        <v>1764</v>
      </c>
      <c r="S53" s="269">
        <f t="shared" si="2"/>
        <v>0</v>
      </c>
      <c r="T53" s="269">
        <f t="shared" si="2"/>
        <v>0</v>
      </c>
      <c r="U53" s="269">
        <f t="shared" si="2"/>
        <v>30219</v>
      </c>
      <c r="V53" s="269">
        <f t="shared" si="2"/>
        <v>0</v>
      </c>
      <c r="W53" s="269">
        <f t="shared" si="2"/>
        <v>0</v>
      </c>
      <c r="X53" s="269">
        <f t="shared" si="2"/>
        <v>0</v>
      </c>
      <c r="Y53" s="269">
        <f t="shared" si="2"/>
        <v>44959</v>
      </c>
      <c r="Z53" s="269">
        <f t="shared" si="2"/>
        <v>0</v>
      </c>
      <c r="AA53" s="269">
        <f t="shared" si="2"/>
        <v>0</v>
      </c>
      <c r="AB53" s="269">
        <f t="shared" si="2"/>
        <v>11708</v>
      </c>
      <c r="AC53" s="269">
        <f t="shared" si="2"/>
        <v>9283</v>
      </c>
      <c r="AD53" s="269">
        <f t="shared" si="2"/>
        <v>0</v>
      </c>
      <c r="AE53" s="269">
        <f t="shared" si="2"/>
        <v>6064</v>
      </c>
      <c r="AF53" s="269">
        <f t="shared" si="2"/>
        <v>0</v>
      </c>
      <c r="AG53" s="269">
        <f t="shared" si="2"/>
        <v>51001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18334</v>
      </c>
      <c r="AZ53" s="269">
        <f t="shared" si="2"/>
        <v>0</v>
      </c>
      <c r="BA53" s="269">
        <f t="shared" si="2"/>
        <v>0</v>
      </c>
      <c r="BB53" s="269">
        <f t="shared" si="2"/>
        <v>0</v>
      </c>
      <c r="BC53" s="269">
        <f t="shared" si="2"/>
        <v>0</v>
      </c>
      <c r="BD53" s="269">
        <f t="shared" si="2"/>
        <v>23461</v>
      </c>
      <c r="BE53" s="269">
        <f t="shared" si="2"/>
        <v>34254</v>
      </c>
      <c r="BF53" s="269">
        <f t="shared" si="2"/>
        <v>8798</v>
      </c>
      <c r="BG53" s="269">
        <f t="shared" si="2"/>
        <v>0</v>
      </c>
      <c r="BH53" s="269">
        <f t="shared" si="2"/>
        <v>3087</v>
      </c>
      <c r="BI53" s="269">
        <f t="shared" si="2"/>
        <v>0</v>
      </c>
      <c r="BJ53" s="269">
        <f t="shared" si="2"/>
        <v>0</v>
      </c>
      <c r="BK53" s="269">
        <f t="shared" si="2"/>
        <v>27562</v>
      </c>
      <c r="BL53" s="269">
        <f t="shared" si="2"/>
        <v>0</v>
      </c>
      <c r="BM53" s="269">
        <f t="shared" si="2"/>
        <v>0</v>
      </c>
      <c r="BN53" s="269">
        <f t="shared" si="2"/>
        <v>24178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4498</v>
      </c>
      <c r="BS53" s="269">
        <f t="shared" si="3"/>
        <v>3307</v>
      </c>
      <c r="BT53" s="269">
        <f t="shared" si="3"/>
        <v>4189</v>
      </c>
      <c r="BU53" s="269">
        <f t="shared" si="3"/>
        <v>0</v>
      </c>
      <c r="BV53" s="269">
        <f t="shared" si="3"/>
        <v>14994</v>
      </c>
      <c r="BW53" s="269">
        <f t="shared" si="3"/>
        <v>0</v>
      </c>
      <c r="BX53" s="269">
        <f t="shared" si="3"/>
        <v>3572</v>
      </c>
      <c r="BY53" s="269">
        <f t="shared" si="3"/>
        <v>0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95453</v>
      </c>
      <c r="CD53" s="269">
        <f t="shared" si="3"/>
        <v>0</v>
      </c>
      <c r="CE53" s="32">
        <f>SUM(C53:CD53)</f>
        <v>774968</v>
      </c>
    </row>
    <row r="54" spans="1:83" x14ac:dyDescent="0.25">
      <c r="A54" s="20" t="s">
        <v>218</v>
      </c>
      <c r="B54" s="269">
        <f>B52+B53</f>
        <v>774970.83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>
        <v>1705</v>
      </c>
      <c r="D60" s="213"/>
      <c r="E60" s="213">
        <v>559</v>
      </c>
      <c r="F60" s="213"/>
      <c r="G60" s="213"/>
      <c r="H60" s="213">
        <v>5260</v>
      </c>
      <c r="I60" s="213"/>
      <c r="J60" s="213">
        <v>426</v>
      </c>
      <c r="K60" s="213"/>
      <c r="L60" s="213"/>
      <c r="M60" s="213"/>
      <c r="N60" s="213"/>
      <c r="O60" s="213">
        <v>488</v>
      </c>
      <c r="P60" s="214"/>
      <c r="Q60" s="214"/>
      <c r="R60" s="214"/>
      <c r="S60" s="262"/>
      <c r="T60" s="262"/>
      <c r="U60" s="227"/>
      <c r="V60" s="214"/>
      <c r="W60" s="214"/>
      <c r="X60" s="214"/>
      <c r="Y60" s="214"/>
      <c r="Z60" s="214"/>
      <c r="AA60" s="214"/>
      <c r="AB60" s="262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28547</v>
      </c>
      <c r="AZ60" s="214"/>
      <c r="BA60" s="262"/>
      <c r="BB60" s="262"/>
      <c r="BC60" s="262"/>
      <c r="BD60" s="262"/>
      <c r="BE60" s="214">
        <v>70293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25">
      <c r="A61" s="240" t="s">
        <v>247</v>
      </c>
      <c r="B61" s="241"/>
      <c r="C61" s="242">
        <v>9.31</v>
      </c>
      <c r="D61" s="242"/>
      <c r="E61" s="242">
        <v>12.96</v>
      </c>
      <c r="F61" s="242"/>
      <c r="G61" s="242"/>
      <c r="H61" s="242">
        <v>33.5</v>
      </c>
      <c r="I61" s="242"/>
      <c r="J61" s="242"/>
      <c r="K61" s="242"/>
      <c r="L61" s="242"/>
      <c r="M61" s="242"/>
      <c r="N61" s="242"/>
      <c r="O61" s="242">
        <v>11.76</v>
      </c>
      <c r="P61" s="243">
        <v>26.17</v>
      </c>
      <c r="Q61" s="243">
        <v>2.37</v>
      </c>
      <c r="R61" s="243"/>
      <c r="S61" s="244"/>
      <c r="T61" s="244"/>
      <c r="U61" s="245">
        <v>35.159999999999997</v>
      </c>
      <c r="V61" s="243"/>
      <c r="W61" s="243">
        <v>0.34</v>
      </c>
      <c r="X61" s="243">
        <v>1.04</v>
      </c>
      <c r="Y61" s="243">
        <v>24.47</v>
      </c>
      <c r="Z61" s="243"/>
      <c r="AA61" s="243"/>
      <c r="AB61" s="244">
        <v>8.4</v>
      </c>
      <c r="AC61" s="243">
        <v>4.55</v>
      </c>
      <c r="AD61" s="243"/>
      <c r="AE61" s="243">
        <v>0.21</v>
      </c>
      <c r="AF61" s="243"/>
      <c r="AG61" s="243">
        <v>45.21</v>
      </c>
      <c r="AH61" s="243"/>
      <c r="AI61" s="243"/>
      <c r="AJ61" s="243">
        <v>85.31</v>
      </c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0.2</v>
      </c>
      <c r="AZ61" s="243">
        <v>14.52</v>
      </c>
      <c r="BA61" s="244"/>
      <c r="BB61" s="244"/>
      <c r="BC61" s="244"/>
      <c r="BD61" s="244">
        <v>4.1900000000000004</v>
      </c>
      <c r="BE61" s="243"/>
      <c r="BF61" s="244">
        <v>9.34</v>
      </c>
      <c r="BG61" s="244"/>
      <c r="BH61" s="244"/>
      <c r="BI61" s="244"/>
      <c r="BJ61" s="244"/>
      <c r="BK61" s="244"/>
      <c r="BL61" s="244">
        <v>15.4</v>
      </c>
      <c r="BM61" s="244"/>
      <c r="BN61" s="244">
        <v>1.22</v>
      </c>
      <c r="BO61" s="244"/>
      <c r="BP61" s="244"/>
      <c r="BQ61" s="244"/>
      <c r="BR61" s="244"/>
      <c r="BS61" s="244"/>
      <c r="BT61" s="244"/>
      <c r="BU61" s="244"/>
      <c r="BV61" s="244">
        <v>8.83</v>
      </c>
      <c r="BW61" s="244"/>
      <c r="BX61" s="244">
        <v>3.4</v>
      </c>
      <c r="BY61" s="244">
        <v>1.84</v>
      </c>
      <c r="BZ61" s="244"/>
      <c r="CA61" s="244"/>
      <c r="CB61" s="244"/>
      <c r="CC61" s="244">
        <v>0.94</v>
      </c>
      <c r="CD61" s="246" t="s">
        <v>233</v>
      </c>
      <c r="CE61" s="267">
        <f t="shared" ref="CE61:CE69" si="4">SUM(C61:CD61)</f>
        <v>360.63999999999993</v>
      </c>
    </row>
    <row r="62" spans="1:83" x14ac:dyDescent="0.25">
      <c r="A62" s="39" t="s">
        <v>248</v>
      </c>
      <c r="B62" s="20"/>
      <c r="C62" s="213">
        <v>678731.71</v>
      </c>
      <c r="D62" s="213"/>
      <c r="E62" s="213">
        <v>835561.5</v>
      </c>
      <c r="F62" s="213"/>
      <c r="G62" s="213"/>
      <c r="H62" s="213">
        <v>1835199.09</v>
      </c>
      <c r="I62" s="213"/>
      <c r="J62" s="213"/>
      <c r="K62" s="213"/>
      <c r="L62" s="213"/>
      <c r="M62" s="213"/>
      <c r="N62" s="213"/>
      <c r="O62" s="213">
        <v>1091064.49</v>
      </c>
      <c r="P62" s="214">
        <v>1594533.43</v>
      </c>
      <c r="Q62" s="214">
        <v>223070.13</v>
      </c>
      <c r="R62" s="214"/>
      <c r="S62" s="228"/>
      <c r="T62" s="228"/>
      <c r="U62" s="227">
        <v>866788.91</v>
      </c>
      <c r="V62" s="214"/>
      <c r="W62" s="214">
        <v>27756.63</v>
      </c>
      <c r="X62" s="214">
        <v>57762.47</v>
      </c>
      <c r="Y62" s="214">
        <v>903832.32</v>
      </c>
      <c r="Z62" s="214"/>
      <c r="AA62" s="214"/>
      <c r="AB62" s="239">
        <v>409950.71</v>
      </c>
      <c r="AC62" s="214">
        <v>121800.02</v>
      </c>
      <c r="AD62" s="214"/>
      <c r="AE62" s="214">
        <v>72130.2</v>
      </c>
      <c r="AF62" s="214"/>
      <c r="AG62" s="214">
        <v>1748553.64</v>
      </c>
      <c r="AH62" s="214"/>
      <c r="AI62" s="214"/>
      <c r="AJ62" s="214">
        <v>6446164.5199999996</v>
      </c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6447.46</v>
      </c>
      <c r="AZ62" s="214">
        <v>275516.21000000002</v>
      </c>
      <c r="BA62" s="228"/>
      <c r="BB62" s="228"/>
      <c r="BC62" s="228"/>
      <c r="BD62" s="228">
        <v>116797.25</v>
      </c>
      <c r="BE62" s="214">
        <v>116958.18</v>
      </c>
      <c r="BF62" s="228">
        <v>281610.15000000002</v>
      </c>
      <c r="BG62" s="228"/>
      <c r="BH62" s="228"/>
      <c r="BI62" s="228"/>
      <c r="BJ62" s="228"/>
      <c r="BK62" s="228"/>
      <c r="BL62" s="228">
        <v>428083.03</v>
      </c>
      <c r="BM62" s="228">
        <v>71080.490000000005</v>
      </c>
      <c r="BN62" s="228">
        <v>296516.23</v>
      </c>
      <c r="BO62" s="228"/>
      <c r="BP62" s="228"/>
      <c r="BQ62" s="228"/>
      <c r="BR62" s="228">
        <v>29921.93</v>
      </c>
      <c r="BS62" s="228"/>
      <c r="BT62" s="228"/>
      <c r="BU62" s="228"/>
      <c r="BV62" s="228">
        <v>244034.16</v>
      </c>
      <c r="BW62" s="228"/>
      <c r="BX62" s="228">
        <v>240997.86</v>
      </c>
      <c r="BY62" s="228">
        <v>159224.12</v>
      </c>
      <c r="BZ62" s="228"/>
      <c r="CA62" s="228"/>
      <c r="CB62" s="228"/>
      <c r="CC62" s="228">
        <v>39974.06</v>
      </c>
      <c r="CD62" s="29" t="s">
        <v>233</v>
      </c>
      <c r="CE62" s="32">
        <f t="shared" si="4"/>
        <v>19220060.899999999</v>
      </c>
    </row>
    <row r="63" spans="1:83" x14ac:dyDescent="0.25">
      <c r="A63" s="39" t="s">
        <v>9</v>
      </c>
      <c r="B63" s="20"/>
      <c r="C63" s="268">
        <f>ROUND(C48+C49,0)</f>
        <v>186835</v>
      </c>
      <c r="D63" s="268">
        <f t="shared" ref="D63:BO63" si="5">ROUND(D48+D49,0)</f>
        <v>0</v>
      </c>
      <c r="E63" s="268">
        <f t="shared" si="5"/>
        <v>288117</v>
      </c>
      <c r="F63" s="268">
        <f t="shared" si="5"/>
        <v>0</v>
      </c>
      <c r="G63" s="268">
        <f t="shared" si="5"/>
        <v>0</v>
      </c>
      <c r="H63" s="268">
        <f t="shared" si="5"/>
        <v>594862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376998</v>
      </c>
      <c r="P63" s="268">
        <f t="shared" si="5"/>
        <v>566383</v>
      </c>
      <c r="Q63" s="268">
        <f t="shared" si="5"/>
        <v>74368</v>
      </c>
      <c r="R63" s="268">
        <f t="shared" si="5"/>
        <v>0</v>
      </c>
      <c r="S63" s="268">
        <f t="shared" si="5"/>
        <v>0</v>
      </c>
      <c r="T63" s="268">
        <f t="shared" si="5"/>
        <v>0</v>
      </c>
      <c r="U63" s="268">
        <f t="shared" si="5"/>
        <v>236585</v>
      </c>
      <c r="V63" s="268">
        <f t="shared" si="5"/>
        <v>0</v>
      </c>
      <c r="W63" s="268">
        <f t="shared" si="5"/>
        <v>11171</v>
      </c>
      <c r="X63" s="268">
        <f t="shared" si="5"/>
        <v>43109</v>
      </c>
      <c r="Y63" s="268">
        <f t="shared" si="5"/>
        <v>281413</v>
      </c>
      <c r="Z63" s="268">
        <f t="shared" si="5"/>
        <v>0</v>
      </c>
      <c r="AA63" s="268">
        <f t="shared" si="5"/>
        <v>0</v>
      </c>
      <c r="AB63" s="268">
        <f t="shared" si="5"/>
        <v>110299</v>
      </c>
      <c r="AC63" s="268">
        <f t="shared" si="5"/>
        <v>50562</v>
      </c>
      <c r="AD63" s="268">
        <f t="shared" si="5"/>
        <v>0</v>
      </c>
      <c r="AE63" s="268">
        <f t="shared" si="5"/>
        <v>2981</v>
      </c>
      <c r="AF63" s="268">
        <f t="shared" si="5"/>
        <v>0</v>
      </c>
      <c r="AG63" s="268">
        <f t="shared" si="5"/>
        <v>476945</v>
      </c>
      <c r="AH63" s="268">
        <f t="shared" si="5"/>
        <v>0</v>
      </c>
      <c r="AI63" s="268">
        <f t="shared" si="5"/>
        <v>0</v>
      </c>
      <c r="AJ63" s="268">
        <f t="shared" si="5"/>
        <v>1337952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771</v>
      </c>
      <c r="AZ63" s="268">
        <f t="shared" si="5"/>
        <v>112659</v>
      </c>
      <c r="BA63" s="268">
        <f t="shared" si="5"/>
        <v>0</v>
      </c>
      <c r="BB63" s="268">
        <f t="shared" si="5"/>
        <v>0</v>
      </c>
      <c r="BC63" s="268">
        <f t="shared" si="5"/>
        <v>0</v>
      </c>
      <c r="BD63" s="268">
        <f t="shared" si="5"/>
        <v>42950</v>
      </c>
      <c r="BE63" s="268">
        <f t="shared" si="5"/>
        <v>50662</v>
      </c>
      <c r="BF63" s="268">
        <f t="shared" si="5"/>
        <v>110945</v>
      </c>
      <c r="BG63" s="268">
        <f t="shared" si="5"/>
        <v>0</v>
      </c>
      <c r="BH63" s="268">
        <f t="shared" si="5"/>
        <v>0</v>
      </c>
      <c r="BI63" s="268">
        <f t="shared" si="5"/>
        <v>0</v>
      </c>
      <c r="BJ63" s="268">
        <f t="shared" si="5"/>
        <v>0</v>
      </c>
      <c r="BK63" s="268">
        <f t="shared" si="5"/>
        <v>0</v>
      </c>
      <c r="BL63" s="268">
        <f t="shared" si="5"/>
        <v>140341</v>
      </c>
      <c r="BM63" s="268">
        <f t="shared" si="5"/>
        <v>31109</v>
      </c>
      <c r="BN63" s="268">
        <f t="shared" si="5"/>
        <v>1580912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8940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82784</v>
      </c>
      <c r="BW63" s="268">
        <f t="shared" si="6"/>
        <v>0</v>
      </c>
      <c r="BX63" s="268">
        <f t="shared" si="6"/>
        <v>41065</v>
      </c>
      <c r="BY63" s="268">
        <f t="shared" si="6"/>
        <v>58157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-3215188</v>
      </c>
      <c r="CD63" s="29" t="s">
        <v>233</v>
      </c>
      <c r="CE63" s="32">
        <f t="shared" si="4"/>
        <v>3684687</v>
      </c>
    </row>
    <row r="64" spans="1:83" x14ac:dyDescent="0.25">
      <c r="A64" s="39" t="s">
        <v>249</v>
      </c>
      <c r="B64" s="20"/>
      <c r="C64" s="213">
        <v>68306.600000000006</v>
      </c>
      <c r="D64" s="213"/>
      <c r="E64" s="213">
        <v>984992.7</v>
      </c>
      <c r="F64" s="213"/>
      <c r="G64" s="213"/>
      <c r="H64" s="213">
        <v>876570.37</v>
      </c>
      <c r="I64" s="213"/>
      <c r="J64" s="213"/>
      <c r="K64" s="213"/>
      <c r="L64" s="213"/>
      <c r="M64" s="213"/>
      <c r="N64" s="213"/>
      <c r="O64" s="213">
        <v>287472.01</v>
      </c>
      <c r="P64" s="214"/>
      <c r="Q64" s="214"/>
      <c r="R64" s="214">
        <v>-8953.7000000000007</v>
      </c>
      <c r="S64" s="228"/>
      <c r="T64" s="228"/>
      <c r="U64" s="227">
        <v>59175</v>
      </c>
      <c r="V64" s="214"/>
      <c r="W64" s="214"/>
      <c r="X64" s="214"/>
      <c r="Y64" s="214"/>
      <c r="Z64" s="214"/>
      <c r="AA64" s="214"/>
      <c r="AB64" s="239"/>
      <c r="AC64" s="214"/>
      <c r="AD64" s="214"/>
      <c r="AE64" s="214">
        <v>-2000</v>
      </c>
      <c r="AF64" s="214"/>
      <c r="AG64" s="214">
        <v>634170</v>
      </c>
      <c r="AH64" s="214"/>
      <c r="AI64" s="214"/>
      <c r="AJ64" s="214">
        <v>74851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>
        <v>2614.06</v>
      </c>
      <c r="BL64" s="228"/>
      <c r="BM64" s="228">
        <v>17450</v>
      </c>
      <c r="BN64" s="228">
        <v>19565.53</v>
      </c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3014213.5699999994</v>
      </c>
    </row>
    <row r="65" spans="1:83" x14ac:dyDescent="0.25">
      <c r="A65" s="39" t="s">
        <v>250</v>
      </c>
      <c r="B65" s="20"/>
      <c r="C65" s="213">
        <v>188727.37</v>
      </c>
      <c r="D65" s="213"/>
      <c r="E65" s="213">
        <v>30989.77</v>
      </c>
      <c r="F65" s="213"/>
      <c r="G65" s="213"/>
      <c r="H65" s="213">
        <v>16264.56</v>
      </c>
      <c r="I65" s="213"/>
      <c r="J65" s="213"/>
      <c r="K65" s="213"/>
      <c r="L65" s="213"/>
      <c r="M65" s="213"/>
      <c r="N65" s="213"/>
      <c r="O65" s="213">
        <v>89126.3</v>
      </c>
      <c r="P65" s="214">
        <v>2634291.41</v>
      </c>
      <c r="Q65" s="214">
        <v>44486</v>
      </c>
      <c r="R65" s="214">
        <v>32781.300000000003</v>
      </c>
      <c r="S65" s="228">
        <v>57041.39</v>
      </c>
      <c r="T65" s="228"/>
      <c r="U65" s="227">
        <v>712699.57</v>
      </c>
      <c r="V65" s="214"/>
      <c r="W65" s="214">
        <v>5.4</v>
      </c>
      <c r="X65" s="214">
        <v>32543.8</v>
      </c>
      <c r="Y65" s="214">
        <v>28607.63</v>
      </c>
      <c r="Z65" s="214"/>
      <c r="AA65" s="214"/>
      <c r="AB65" s="239">
        <v>666680.39</v>
      </c>
      <c r="AC65" s="214">
        <v>41236.730000000003</v>
      </c>
      <c r="AD65" s="214"/>
      <c r="AE65" s="214">
        <v>402.57</v>
      </c>
      <c r="AF65" s="214"/>
      <c r="AG65" s="214">
        <v>289894.23</v>
      </c>
      <c r="AH65" s="214"/>
      <c r="AI65" s="214"/>
      <c r="AJ65" s="214">
        <v>343961.17</v>
      </c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309886.23</v>
      </c>
      <c r="AZ65" s="214">
        <v>107.69</v>
      </c>
      <c r="BA65" s="228">
        <v>2687.36</v>
      </c>
      <c r="BB65" s="228"/>
      <c r="BC65" s="228"/>
      <c r="BD65" s="228">
        <v>-74403.58</v>
      </c>
      <c r="BE65" s="214">
        <v>33842.49</v>
      </c>
      <c r="BF65" s="228">
        <v>75487.72</v>
      </c>
      <c r="BG65" s="228"/>
      <c r="BH65" s="228">
        <v>27611.05</v>
      </c>
      <c r="BI65" s="228"/>
      <c r="BJ65" s="228"/>
      <c r="BK65" s="228">
        <v>14.86</v>
      </c>
      <c r="BL65" s="228">
        <v>9815.48</v>
      </c>
      <c r="BM65" s="228">
        <v>1023.31</v>
      </c>
      <c r="BN65" s="228">
        <v>23189.68</v>
      </c>
      <c r="BO65" s="228"/>
      <c r="BP65" s="228"/>
      <c r="BQ65" s="228"/>
      <c r="BR65" s="228">
        <v>1811.52</v>
      </c>
      <c r="BS65" s="228"/>
      <c r="BT65" s="228"/>
      <c r="BU65" s="228"/>
      <c r="BV65" s="228">
        <v>4231.88</v>
      </c>
      <c r="BW65" s="228"/>
      <c r="BX65" s="228">
        <v>943.71</v>
      </c>
      <c r="BY65" s="228">
        <v>28813.65</v>
      </c>
      <c r="BZ65" s="228"/>
      <c r="CA65" s="228">
        <v>322.61</v>
      </c>
      <c r="CB65" s="228"/>
      <c r="CC65" s="228">
        <v>152270.16</v>
      </c>
      <c r="CD65" s="29" t="s">
        <v>233</v>
      </c>
      <c r="CE65" s="32">
        <f t="shared" si="4"/>
        <v>5807395.4100000011</v>
      </c>
    </row>
    <row r="66" spans="1:83" x14ac:dyDescent="0.2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>
        <v>29196.82</v>
      </c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/>
      <c r="AH66" s="214"/>
      <c r="AI66" s="214"/>
      <c r="AJ66" s="214">
        <v>67152.2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>
        <v>558.41</v>
      </c>
      <c r="AZ66" s="214"/>
      <c r="BA66" s="228"/>
      <c r="BB66" s="228"/>
      <c r="BC66" s="228"/>
      <c r="BD66" s="228"/>
      <c r="BE66" s="214">
        <v>384140.88</v>
      </c>
      <c r="BF66" s="228"/>
      <c r="BG66" s="228"/>
      <c r="BH66" s="228">
        <v>24243.7</v>
      </c>
      <c r="BI66" s="228"/>
      <c r="BJ66" s="228"/>
      <c r="BK66" s="228"/>
      <c r="BL66" s="228">
        <v>51.04</v>
      </c>
      <c r="BM66" s="228"/>
      <c r="BN66" s="228">
        <v>159.74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505502.79</v>
      </c>
    </row>
    <row r="67" spans="1:83" x14ac:dyDescent="0.25">
      <c r="A67" s="39" t="s">
        <v>252</v>
      </c>
      <c r="B67" s="20"/>
      <c r="C67" s="213">
        <v>60679.47</v>
      </c>
      <c r="D67" s="213"/>
      <c r="E67" s="213">
        <v>32160.05</v>
      </c>
      <c r="F67" s="213"/>
      <c r="G67" s="213"/>
      <c r="H67" s="213">
        <v>579.57000000000005</v>
      </c>
      <c r="I67" s="213"/>
      <c r="J67" s="213"/>
      <c r="K67" s="213"/>
      <c r="L67" s="213"/>
      <c r="M67" s="213"/>
      <c r="N67" s="213"/>
      <c r="O67" s="213">
        <v>1176.03</v>
      </c>
      <c r="P67" s="214">
        <v>219666.71</v>
      </c>
      <c r="Q67" s="214">
        <v>1990</v>
      </c>
      <c r="R67" s="214">
        <v>272047.42</v>
      </c>
      <c r="S67" s="228"/>
      <c r="T67" s="228"/>
      <c r="U67" s="227">
        <v>483262.93</v>
      </c>
      <c r="V67" s="214"/>
      <c r="W67" s="214">
        <v>139700</v>
      </c>
      <c r="X67" s="214"/>
      <c r="Y67" s="214">
        <v>221750.39</v>
      </c>
      <c r="Z67" s="214"/>
      <c r="AA67" s="214"/>
      <c r="AB67" s="239">
        <v>64264.93</v>
      </c>
      <c r="AC67" s="214">
        <v>9139.85</v>
      </c>
      <c r="AD67" s="214"/>
      <c r="AE67" s="214">
        <v>8877.84</v>
      </c>
      <c r="AF67" s="214"/>
      <c r="AG67" s="214">
        <v>2291.06</v>
      </c>
      <c r="AH67" s="214"/>
      <c r="AI67" s="214"/>
      <c r="AJ67" s="214">
        <v>172076.49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2420.4699999999998</v>
      </c>
      <c r="AZ67" s="214">
        <v>-82.11</v>
      </c>
      <c r="BA67" s="228"/>
      <c r="BB67" s="228"/>
      <c r="BC67" s="228"/>
      <c r="BD67" s="228">
        <v>13016.35</v>
      </c>
      <c r="BE67" s="214">
        <v>273536.32</v>
      </c>
      <c r="BF67" s="228">
        <v>128701.23</v>
      </c>
      <c r="BG67" s="228">
        <v>37660.43</v>
      </c>
      <c r="BH67" s="228">
        <v>191122.03</v>
      </c>
      <c r="BI67" s="228"/>
      <c r="BJ67" s="228"/>
      <c r="BK67" s="228">
        <v>1673.2</v>
      </c>
      <c r="BL67" s="228"/>
      <c r="BM67" s="228">
        <v>2800</v>
      </c>
      <c r="BN67" s="228">
        <v>8083422.3399999999</v>
      </c>
      <c r="BO67" s="228"/>
      <c r="BP67" s="228"/>
      <c r="BQ67" s="228"/>
      <c r="BR67" s="228">
        <v>3124.26</v>
      </c>
      <c r="BS67" s="228"/>
      <c r="BT67" s="228"/>
      <c r="BU67" s="228"/>
      <c r="BV67" s="228">
        <v>26493.65</v>
      </c>
      <c r="BW67" s="228"/>
      <c r="BX67" s="228">
        <v>47395.88</v>
      </c>
      <c r="BY67" s="228">
        <v>84704.01</v>
      </c>
      <c r="BZ67" s="228"/>
      <c r="CA67" s="228"/>
      <c r="CB67" s="228"/>
      <c r="CC67" s="228">
        <v>-9368.52</v>
      </c>
      <c r="CD67" s="29" t="s">
        <v>233</v>
      </c>
      <c r="CE67" s="32">
        <f t="shared" si="4"/>
        <v>10576282.280000001</v>
      </c>
    </row>
    <row r="68" spans="1:83" x14ac:dyDescent="0.25">
      <c r="A68" s="39" t="s">
        <v>11</v>
      </c>
      <c r="B68" s="20"/>
      <c r="C68" s="32">
        <f t="shared" ref="C68:BN68" si="7">ROUND(C52+C53,0)</f>
        <v>33075</v>
      </c>
      <c r="D68" s="32">
        <f t="shared" si="7"/>
        <v>0</v>
      </c>
      <c r="E68" s="32">
        <f t="shared" si="7"/>
        <v>103005</v>
      </c>
      <c r="F68" s="32">
        <f t="shared" si="7"/>
        <v>0</v>
      </c>
      <c r="G68" s="32">
        <f t="shared" si="7"/>
        <v>0</v>
      </c>
      <c r="H68" s="32">
        <f t="shared" si="7"/>
        <v>42688</v>
      </c>
      <c r="I68" s="32">
        <f t="shared" si="7"/>
        <v>0</v>
      </c>
      <c r="J68" s="32">
        <f t="shared" si="7"/>
        <v>7717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97735</v>
      </c>
      <c r="P68" s="32">
        <f t="shared" si="7"/>
        <v>27011</v>
      </c>
      <c r="Q68" s="32">
        <f t="shared" si="7"/>
        <v>43052</v>
      </c>
      <c r="R68" s="32">
        <f t="shared" si="7"/>
        <v>1764</v>
      </c>
      <c r="S68" s="32">
        <f t="shared" si="7"/>
        <v>0</v>
      </c>
      <c r="T68" s="32">
        <f t="shared" si="7"/>
        <v>0</v>
      </c>
      <c r="U68" s="32">
        <f t="shared" si="7"/>
        <v>30219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44959</v>
      </c>
      <c r="Z68" s="32">
        <f t="shared" si="7"/>
        <v>0</v>
      </c>
      <c r="AA68" s="32">
        <f t="shared" si="7"/>
        <v>0</v>
      </c>
      <c r="AB68" s="32">
        <f t="shared" si="7"/>
        <v>11708</v>
      </c>
      <c r="AC68" s="32">
        <f t="shared" si="7"/>
        <v>9283</v>
      </c>
      <c r="AD68" s="32">
        <f t="shared" si="7"/>
        <v>0</v>
      </c>
      <c r="AE68" s="32">
        <f t="shared" si="7"/>
        <v>6064</v>
      </c>
      <c r="AF68" s="32">
        <f t="shared" si="7"/>
        <v>0</v>
      </c>
      <c r="AG68" s="32">
        <f t="shared" si="7"/>
        <v>51001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18334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23461</v>
      </c>
      <c r="BE68" s="32">
        <f t="shared" si="7"/>
        <v>34254</v>
      </c>
      <c r="BF68" s="32">
        <f t="shared" si="7"/>
        <v>8798</v>
      </c>
      <c r="BG68" s="32">
        <f t="shared" si="7"/>
        <v>0</v>
      </c>
      <c r="BH68" s="32">
        <f t="shared" si="7"/>
        <v>3087</v>
      </c>
      <c r="BI68" s="32">
        <f t="shared" si="7"/>
        <v>0</v>
      </c>
      <c r="BJ68" s="32">
        <f t="shared" si="7"/>
        <v>0</v>
      </c>
      <c r="BK68" s="32">
        <f t="shared" si="7"/>
        <v>27562</v>
      </c>
      <c r="BL68" s="32">
        <f t="shared" si="7"/>
        <v>0</v>
      </c>
      <c r="BM68" s="32">
        <f t="shared" si="7"/>
        <v>0</v>
      </c>
      <c r="BN68" s="32">
        <f t="shared" si="7"/>
        <v>24178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4498</v>
      </c>
      <c r="BS68" s="32">
        <f t="shared" si="8"/>
        <v>3307</v>
      </c>
      <c r="BT68" s="32">
        <f t="shared" si="8"/>
        <v>4189</v>
      </c>
      <c r="BU68" s="32">
        <f t="shared" si="8"/>
        <v>0</v>
      </c>
      <c r="BV68" s="32">
        <f t="shared" si="8"/>
        <v>14994</v>
      </c>
      <c r="BW68" s="32">
        <f t="shared" si="8"/>
        <v>0</v>
      </c>
      <c r="BX68" s="32">
        <f t="shared" si="8"/>
        <v>3572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95453</v>
      </c>
      <c r="CD68" s="29" t="s">
        <v>233</v>
      </c>
      <c r="CE68" s="32">
        <f t="shared" si="4"/>
        <v>774968</v>
      </c>
    </row>
    <row r="69" spans="1:83" x14ac:dyDescent="0.25">
      <c r="A69" s="39" t="s">
        <v>253</v>
      </c>
      <c r="B69" s="32"/>
      <c r="C69" s="213">
        <v>2437.84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352019.9</v>
      </c>
      <c r="Q69" s="214"/>
      <c r="R69" s="214"/>
      <c r="S69" s="228"/>
      <c r="T69" s="228"/>
      <c r="U69" s="227">
        <v>3119.75</v>
      </c>
      <c r="V69" s="214"/>
      <c r="W69" s="214"/>
      <c r="X69" s="214"/>
      <c r="Y69" s="214"/>
      <c r="Z69" s="214"/>
      <c r="AA69" s="214"/>
      <c r="AB69" s="239"/>
      <c r="AC69" s="214">
        <v>15227.88</v>
      </c>
      <c r="AD69" s="214"/>
      <c r="AE69" s="214"/>
      <c r="AF69" s="214"/>
      <c r="AG69" s="214"/>
      <c r="AH69" s="214"/>
      <c r="AI69" s="214"/>
      <c r="AJ69" s="214">
        <v>410402.97</v>
      </c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>
        <v>510.26</v>
      </c>
      <c r="AZ69" s="214"/>
      <c r="BA69" s="228"/>
      <c r="BB69" s="228"/>
      <c r="BC69" s="228"/>
      <c r="BD69" s="228">
        <v>319.38</v>
      </c>
      <c r="BE69" s="214">
        <v>28191.55</v>
      </c>
      <c r="BF69" s="228">
        <v>243.01</v>
      </c>
      <c r="BG69" s="228"/>
      <c r="BH69" s="228">
        <v>958.14</v>
      </c>
      <c r="BI69" s="228"/>
      <c r="BJ69" s="228"/>
      <c r="BK69" s="228"/>
      <c r="BL69" s="228"/>
      <c r="BM69" s="228"/>
      <c r="BN69" s="228">
        <v>1670.63</v>
      </c>
      <c r="BO69" s="228"/>
      <c r="BP69" s="228"/>
      <c r="BQ69" s="228"/>
      <c r="BR69" s="228"/>
      <c r="BS69" s="228"/>
      <c r="BT69" s="228"/>
      <c r="BU69" s="228"/>
      <c r="BV69" s="228">
        <v>21381.85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836483.16000000015</v>
      </c>
    </row>
    <row r="70" spans="1:83" x14ac:dyDescent="0.25">
      <c r="A70" s="39" t="s">
        <v>254</v>
      </c>
      <c r="B70" s="20"/>
      <c r="C70" s="32">
        <f t="shared" ref="C70:BN70" si="9">SUM(C71:C84)</f>
        <v>3484.65</v>
      </c>
      <c r="D70" s="32">
        <f t="shared" si="9"/>
        <v>0</v>
      </c>
      <c r="E70" s="32">
        <f t="shared" si="9"/>
        <v>2973</v>
      </c>
      <c r="F70" s="32">
        <f t="shared" si="9"/>
        <v>0</v>
      </c>
      <c r="G70" s="32">
        <f t="shared" si="9"/>
        <v>0</v>
      </c>
      <c r="H70" s="32">
        <f t="shared" si="9"/>
        <v>8390.85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10226.26</v>
      </c>
      <c r="P70" s="32">
        <f t="shared" si="9"/>
        <v>76414.429999999993</v>
      </c>
      <c r="Q70" s="32">
        <f t="shared" si="9"/>
        <v>130.15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71842.2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12288.69</v>
      </c>
      <c r="Z70" s="32">
        <f t="shared" si="9"/>
        <v>0</v>
      </c>
      <c r="AA70" s="32">
        <f t="shared" si="9"/>
        <v>0</v>
      </c>
      <c r="AB70" s="32">
        <f t="shared" si="9"/>
        <v>49392.7</v>
      </c>
      <c r="AC70" s="32">
        <f t="shared" si="9"/>
        <v>1525.59</v>
      </c>
      <c r="AD70" s="32">
        <f t="shared" si="9"/>
        <v>0</v>
      </c>
      <c r="AE70" s="32">
        <f t="shared" si="9"/>
        <v>6053.22</v>
      </c>
      <c r="AF70" s="32">
        <f t="shared" si="9"/>
        <v>0</v>
      </c>
      <c r="AG70" s="32">
        <f t="shared" si="9"/>
        <v>11415.92</v>
      </c>
      <c r="AH70" s="32">
        <f t="shared" si="9"/>
        <v>0</v>
      </c>
      <c r="AI70" s="32">
        <f t="shared" si="9"/>
        <v>0</v>
      </c>
      <c r="AJ70" s="32">
        <f t="shared" si="9"/>
        <v>66723.64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1796.17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9671.48</v>
      </c>
      <c r="BE70" s="32">
        <f t="shared" si="9"/>
        <v>239.6</v>
      </c>
      <c r="BF70" s="32">
        <f t="shared" si="9"/>
        <v>221.76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388.64</v>
      </c>
      <c r="BM70" s="32">
        <f t="shared" si="9"/>
        <v>0</v>
      </c>
      <c r="BN70" s="32">
        <f t="shared" si="9"/>
        <v>824045.13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50366.67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22971.13</v>
      </c>
      <c r="BW70" s="32">
        <f t="shared" si="10"/>
        <v>0</v>
      </c>
      <c r="BX70" s="32">
        <f t="shared" si="10"/>
        <v>2184.09</v>
      </c>
      <c r="BY70" s="32">
        <f t="shared" si="10"/>
        <v>50484.84</v>
      </c>
      <c r="BZ70" s="32">
        <f t="shared" si="10"/>
        <v>0</v>
      </c>
      <c r="CA70" s="32">
        <f t="shared" si="10"/>
        <v>4430</v>
      </c>
      <c r="CB70" s="32">
        <f t="shared" si="10"/>
        <v>0</v>
      </c>
      <c r="CC70" s="32">
        <f t="shared" si="10"/>
        <v>616374.55000000005</v>
      </c>
      <c r="CD70" s="32">
        <f t="shared" si="10"/>
        <v>0</v>
      </c>
      <c r="CE70" s="32">
        <f>SUM(CE71:CE85)</f>
        <v>1904035.36</v>
      </c>
    </row>
    <row r="71" spans="1:83" x14ac:dyDescent="0.2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>
        <v>3484.65</v>
      </c>
      <c r="D84" s="24"/>
      <c r="E84" s="30">
        <v>2973</v>
      </c>
      <c r="F84" s="30"/>
      <c r="G84" s="24"/>
      <c r="H84" s="24">
        <v>8390.85</v>
      </c>
      <c r="I84" s="30"/>
      <c r="J84" s="30"/>
      <c r="K84" s="30"/>
      <c r="L84" s="30"/>
      <c r="M84" s="24"/>
      <c r="N84" s="24"/>
      <c r="O84" s="24">
        <v>10226.26</v>
      </c>
      <c r="P84" s="30">
        <v>76414.429999999993</v>
      </c>
      <c r="Q84" s="30">
        <v>130.15</v>
      </c>
      <c r="R84" s="31"/>
      <c r="S84" s="30"/>
      <c r="T84" s="24"/>
      <c r="U84" s="30">
        <v>71842.2</v>
      </c>
      <c r="V84" s="30"/>
      <c r="W84" s="24"/>
      <c r="X84" s="30"/>
      <c r="Y84" s="30">
        <v>12288.69</v>
      </c>
      <c r="Z84" s="30"/>
      <c r="AA84" s="30"/>
      <c r="AB84" s="30">
        <v>49392.7</v>
      </c>
      <c r="AC84" s="30">
        <v>1525.59</v>
      </c>
      <c r="AD84" s="30"/>
      <c r="AE84" s="30">
        <v>6053.22</v>
      </c>
      <c r="AF84" s="30"/>
      <c r="AG84" s="30">
        <v>11415.92</v>
      </c>
      <c r="AH84" s="30"/>
      <c r="AI84" s="30"/>
      <c r="AJ84" s="30">
        <v>66723.64</v>
      </c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>
        <v>1796.17</v>
      </c>
      <c r="BA84" s="30"/>
      <c r="BB84" s="30"/>
      <c r="BC84" s="30"/>
      <c r="BD84" s="30">
        <v>9671.48</v>
      </c>
      <c r="BE84" s="30">
        <v>239.6</v>
      </c>
      <c r="BF84" s="30">
        <v>221.76</v>
      </c>
      <c r="BG84" s="30"/>
      <c r="BH84" s="31"/>
      <c r="BI84" s="30"/>
      <c r="BJ84" s="30"/>
      <c r="BK84" s="30"/>
      <c r="BL84" s="30">
        <v>388.64</v>
      </c>
      <c r="BM84" s="30"/>
      <c r="BN84" s="30">
        <v>824045.13</v>
      </c>
      <c r="BO84" s="30"/>
      <c r="BP84" s="30"/>
      <c r="BQ84" s="30"/>
      <c r="BR84" s="30">
        <v>50366.67</v>
      </c>
      <c r="BS84" s="30"/>
      <c r="BT84" s="30"/>
      <c r="BU84" s="30"/>
      <c r="BV84" s="30">
        <v>22971.13</v>
      </c>
      <c r="BW84" s="30"/>
      <c r="BX84" s="30">
        <v>2184.09</v>
      </c>
      <c r="BY84" s="30">
        <v>50484.84</v>
      </c>
      <c r="BZ84" s="30"/>
      <c r="CA84" s="30">
        <v>4430</v>
      </c>
      <c r="CB84" s="30"/>
      <c r="CC84" s="30">
        <v>616374.55000000005</v>
      </c>
      <c r="CD84" s="35"/>
      <c r="CE84" s="32">
        <f t="shared" si="11"/>
        <v>1904035.36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25">
      <c r="A86" s="39" t="s">
        <v>270</v>
      </c>
      <c r="B86" s="32"/>
      <c r="C86" s="32">
        <f>SUM(C62:C70)-C85</f>
        <v>1222277.6399999999</v>
      </c>
      <c r="D86" s="32">
        <f t="shared" ref="D86:BO86" si="12">SUM(D62:D70)-D85</f>
        <v>0</v>
      </c>
      <c r="E86" s="32">
        <f t="shared" si="12"/>
        <v>2277799.02</v>
      </c>
      <c r="F86" s="32">
        <f t="shared" si="12"/>
        <v>0</v>
      </c>
      <c r="G86" s="32">
        <f t="shared" si="12"/>
        <v>0</v>
      </c>
      <c r="H86" s="32">
        <f t="shared" si="12"/>
        <v>3374554.44</v>
      </c>
      <c r="I86" s="32">
        <f t="shared" si="12"/>
        <v>0</v>
      </c>
      <c r="J86" s="32">
        <f t="shared" si="12"/>
        <v>7717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1953798.09</v>
      </c>
      <c r="P86" s="32">
        <f t="shared" si="12"/>
        <v>5499516.7000000002</v>
      </c>
      <c r="Q86" s="32">
        <f t="shared" si="12"/>
        <v>387096.28</v>
      </c>
      <c r="R86" s="32">
        <f t="shared" si="12"/>
        <v>297639.01999999996</v>
      </c>
      <c r="S86" s="32">
        <f t="shared" si="12"/>
        <v>57041.39</v>
      </c>
      <c r="T86" s="32">
        <f t="shared" si="12"/>
        <v>0</v>
      </c>
      <c r="U86" s="32">
        <f t="shared" si="12"/>
        <v>2463692.3600000003</v>
      </c>
      <c r="V86" s="32">
        <f t="shared" si="12"/>
        <v>0</v>
      </c>
      <c r="W86" s="32">
        <f t="shared" si="12"/>
        <v>178633.03</v>
      </c>
      <c r="X86" s="32">
        <f t="shared" si="12"/>
        <v>133415.26999999999</v>
      </c>
      <c r="Y86" s="32">
        <f t="shared" si="12"/>
        <v>1492851.0299999998</v>
      </c>
      <c r="Z86" s="32">
        <f t="shared" si="12"/>
        <v>0</v>
      </c>
      <c r="AA86" s="32">
        <f t="shared" si="12"/>
        <v>0</v>
      </c>
      <c r="AB86" s="32">
        <f t="shared" si="12"/>
        <v>1312295.73</v>
      </c>
      <c r="AC86" s="32">
        <f t="shared" si="12"/>
        <v>248775.07000000004</v>
      </c>
      <c r="AD86" s="32">
        <f t="shared" si="12"/>
        <v>0</v>
      </c>
      <c r="AE86" s="32">
        <f t="shared" si="12"/>
        <v>94508.83</v>
      </c>
      <c r="AF86" s="32">
        <f t="shared" si="12"/>
        <v>0</v>
      </c>
      <c r="AG86" s="32">
        <f t="shared" si="12"/>
        <v>3214270.8499999996</v>
      </c>
      <c r="AH86" s="32">
        <f t="shared" si="12"/>
        <v>0</v>
      </c>
      <c r="AI86" s="32">
        <f t="shared" si="12"/>
        <v>0</v>
      </c>
      <c r="AJ86" s="32">
        <f t="shared" si="12"/>
        <v>8919283.9900000002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338927.82999999996</v>
      </c>
      <c r="AZ86" s="32">
        <f t="shared" si="12"/>
        <v>389996.96</v>
      </c>
      <c r="BA86" s="32">
        <f t="shared" si="12"/>
        <v>2687.36</v>
      </c>
      <c r="BB86" s="32">
        <f t="shared" si="12"/>
        <v>0</v>
      </c>
      <c r="BC86" s="32">
        <f t="shared" si="12"/>
        <v>0</v>
      </c>
      <c r="BD86" s="32">
        <f t="shared" si="12"/>
        <v>131811.88</v>
      </c>
      <c r="BE86" s="32">
        <f t="shared" si="12"/>
        <v>921825.02000000014</v>
      </c>
      <c r="BF86" s="32">
        <f t="shared" si="12"/>
        <v>606006.87</v>
      </c>
      <c r="BG86" s="32">
        <f t="shared" si="12"/>
        <v>37660.43</v>
      </c>
      <c r="BH86" s="32">
        <f t="shared" si="12"/>
        <v>247021.92</v>
      </c>
      <c r="BI86" s="32">
        <f t="shared" si="12"/>
        <v>0</v>
      </c>
      <c r="BJ86" s="32">
        <f t="shared" si="12"/>
        <v>0</v>
      </c>
      <c r="BK86" s="32">
        <f t="shared" si="12"/>
        <v>31864.12</v>
      </c>
      <c r="BL86" s="32">
        <f t="shared" si="12"/>
        <v>578679.19000000006</v>
      </c>
      <c r="BM86" s="32">
        <f t="shared" si="12"/>
        <v>123462.8</v>
      </c>
      <c r="BN86" s="32">
        <f t="shared" si="12"/>
        <v>10853659.280000001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98662.38</v>
      </c>
      <c r="BS86" s="32">
        <f t="shared" si="13"/>
        <v>3307</v>
      </c>
      <c r="BT86" s="32">
        <f t="shared" si="13"/>
        <v>4189</v>
      </c>
      <c r="BU86" s="32">
        <f t="shared" si="13"/>
        <v>0</v>
      </c>
      <c r="BV86" s="32">
        <f t="shared" si="13"/>
        <v>416890.67000000004</v>
      </c>
      <c r="BW86" s="32">
        <f t="shared" si="13"/>
        <v>0</v>
      </c>
      <c r="BX86" s="32">
        <f t="shared" si="13"/>
        <v>336158.54000000004</v>
      </c>
      <c r="BY86" s="32">
        <f t="shared" si="13"/>
        <v>381383.62</v>
      </c>
      <c r="BZ86" s="32">
        <f t="shared" si="13"/>
        <v>0</v>
      </c>
      <c r="CA86" s="32">
        <f t="shared" si="13"/>
        <v>4752.6099999999997</v>
      </c>
      <c r="CB86" s="32">
        <f t="shared" si="13"/>
        <v>0</v>
      </c>
      <c r="CC86" s="32">
        <f t="shared" si="13"/>
        <v>-2320484.75</v>
      </c>
      <c r="CD86" s="32">
        <f t="shared" si="13"/>
        <v>0</v>
      </c>
      <c r="CE86" s="32">
        <f t="shared" si="11"/>
        <v>46323628.469999999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25">
      <c r="A88" s="26" t="s">
        <v>272</v>
      </c>
      <c r="B88" s="20"/>
      <c r="C88" s="213">
        <v>-1534546.65</v>
      </c>
      <c r="D88" s="213"/>
      <c r="E88" s="213">
        <v>-2831869.48</v>
      </c>
      <c r="F88" s="213"/>
      <c r="G88" s="213"/>
      <c r="H88" s="213">
        <v>-11942283</v>
      </c>
      <c r="I88" s="213"/>
      <c r="J88" s="213">
        <v>-610401.81999999995</v>
      </c>
      <c r="K88" s="213"/>
      <c r="L88" s="213"/>
      <c r="M88" s="213"/>
      <c r="N88" s="213"/>
      <c r="O88" s="213">
        <v>-2117354.5099999998</v>
      </c>
      <c r="P88" s="213">
        <v>-3103123.86</v>
      </c>
      <c r="Q88" s="213">
        <v>-38041.15</v>
      </c>
      <c r="R88" s="213">
        <v>-175529.52</v>
      </c>
      <c r="S88" s="213">
        <v>-189732.13</v>
      </c>
      <c r="T88" s="213"/>
      <c r="U88" s="213">
        <v>-6238147.8700000001</v>
      </c>
      <c r="V88" s="213">
        <v>-440133.3</v>
      </c>
      <c r="W88" s="213">
        <v>-43721</v>
      </c>
      <c r="X88" s="213">
        <v>-2727194.27</v>
      </c>
      <c r="Y88" s="213">
        <v>-905531.1</v>
      </c>
      <c r="Z88" s="213"/>
      <c r="AA88" s="213"/>
      <c r="AB88" s="213">
        <v>-6992588.25</v>
      </c>
      <c r="AC88" s="213">
        <v>-2809210.15</v>
      </c>
      <c r="AD88" s="213"/>
      <c r="AE88" s="213">
        <v>-72318</v>
      </c>
      <c r="AF88" s="213"/>
      <c r="AG88" s="213">
        <v>-2255333.4900000002</v>
      </c>
      <c r="AH88" s="213"/>
      <c r="AI88" s="213"/>
      <c r="AJ88" s="213">
        <v>-3402</v>
      </c>
      <c r="AK88" s="213">
        <v>-11427</v>
      </c>
      <c r="AL88" s="213">
        <v>-21989</v>
      </c>
      <c r="AM88" s="213"/>
      <c r="AN88" s="213"/>
      <c r="AO88" s="213">
        <v>-925123.42</v>
      </c>
      <c r="AP88" s="213"/>
      <c r="AQ88" s="213"/>
      <c r="AR88" s="213"/>
      <c r="AS88" s="213"/>
      <c r="AT88" s="213"/>
      <c r="AU88" s="213"/>
      <c r="AV88" s="213">
        <v>-8321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-45997321.969999999</v>
      </c>
    </row>
    <row r="89" spans="1:84" x14ac:dyDescent="0.25">
      <c r="A89" s="26" t="s">
        <v>273</v>
      </c>
      <c r="B89" s="20"/>
      <c r="C89" s="213"/>
      <c r="D89" s="213"/>
      <c r="E89" s="213">
        <v>-388838.24</v>
      </c>
      <c r="F89" s="213"/>
      <c r="G89" s="213"/>
      <c r="H89" s="213">
        <v>-392154.78</v>
      </c>
      <c r="I89" s="213"/>
      <c r="J89" s="213">
        <v>-16412</v>
      </c>
      <c r="K89" s="213"/>
      <c r="L89" s="213"/>
      <c r="M89" s="213"/>
      <c r="N89" s="213"/>
      <c r="O89" s="213">
        <v>-151519.25</v>
      </c>
      <c r="P89" s="213">
        <v>-44092045.43</v>
      </c>
      <c r="Q89" s="213">
        <v>-521498.83</v>
      </c>
      <c r="R89" s="213">
        <v>-440171.95</v>
      </c>
      <c r="S89" s="213">
        <v>-212412.03</v>
      </c>
      <c r="T89" s="213"/>
      <c r="U89" s="213">
        <v>-9796905.0899999999</v>
      </c>
      <c r="V89" s="213">
        <v>-1848981.43</v>
      </c>
      <c r="W89" s="213">
        <v>-1563069</v>
      </c>
      <c r="X89" s="213">
        <v>-16701340.32</v>
      </c>
      <c r="Y89" s="213">
        <v>-8894261.3699999992</v>
      </c>
      <c r="Z89" s="213"/>
      <c r="AA89" s="213"/>
      <c r="AB89" s="213">
        <v>-2910303.67</v>
      </c>
      <c r="AC89" s="213">
        <v>-511413.67</v>
      </c>
      <c r="AD89" s="213"/>
      <c r="AE89" s="213">
        <v>-289060</v>
      </c>
      <c r="AF89" s="213"/>
      <c r="AG89" s="213">
        <v>-22701062.140000001</v>
      </c>
      <c r="AH89" s="213"/>
      <c r="AI89" s="213"/>
      <c r="AJ89" s="213">
        <v>-28440793.350000001</v>
      </c>
      <c r="AK89" s="213">
        <v>-278</v>
      </c>
      <c r="AL89" s="213">
        <v>-1019</v>
      </c>
      <c r="AM89" s="213"/>
      <c r="AN89" s="213"/>
      <c r="AO89" s="213">
        <v>-66869.440000000002</v>
      </c>
      <c r="AP89" s="213"/>
      <c r="AQ89" s="213"/>
      <c r="AR89" s="213"/>
      <c r="AS89" s="213"/>
      <c r="AT89" s="213"/>
      <c r="AU89" s="213"/>
      <c r="AV89" s="213">
        <v>-194740.33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-140135149.32000002</v>
      </c>
    </row>
    <row r="90" spans="1:84" x14ac:dyDescent="0.25">
      <c r="A90" s="26" t="s">
        <v>274</v>
      </c>
      <c r="B90" s="20"/>
      <c r="C90" s="32">
        <f>C88+C89</f>
        <v>-1534546.65</v>
      </c>
      <c r="D90" s="32">
        <f t="shared" ref="D90:AV90" si="15">D88+D89</f>
        <v>0</v>
      </c>
      <c r="E90" s="32">
        <f t="shared" si="15"/>
        <v>-3220707.7199999997</v>
      </c>
      <c r="F90" s="32">
        <f t="shared" si="15"/>
        <v>0</v>
      </c>
      <c r="G90" s="32">
        <f t="shared" si="15"/>
        <v>0</v>
      </c>
      <c r="H90" s="32">
        <f t="shared" si="15"/>
        <v>-12334437.779999999</v>
      </c>
      <c r="I90" s="32">
        <f t="shared" si="15"/>
        <v>0</v>
      </c>
      <c r="J90" s="32">
        <f t="shared" si="15"/>
        <v>-626813.81999999995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-2268873.7599999998</v>
      </c>
      <c r="P90" s="32">
        <f t="shared" si="15"/>
        <v>-47195169.289999999</v>
      </c>
      <c r="Q90" s="32">
        <f t="shared" si="15"/>
        <v>-559539.98</v>
      </c>
      <c r="R90" s="32">
        <f t="shared" si="15"/>
        <v>-615701.47</v>
      </c>
      <c r="S90" s="32">
        <f t="shared" si="15"/>
        <v>-402144.16000000003</v>
      </c>
      <c r="T90" s="32">
        <f t="shared" si="15"/>
        <v>0</v>
      </c>
      <c r="U90" s="32">
        <f t="shared" si="15"/>
        <v>-16035052.960000001</v>
      </c>
      <c r="V90" s="32">
        <f t="shared" si="15"/>
        <v>-2289114.73</v>
      </c>
      <c r="W90" s="32">
        <f t="shared" si="15"/>
        <v>-1606790</v>
      </c>
      <c r="X90" s="32">
        <f t="shared" si="15"/>
        <v>-19428534.59</v>
      </c>
      <c r="Y90" s="32">
        <f t="shared" si="15"/>
        <v>-9799792.4699999988</v>
      </c>
      <c r="Z90" s="32">
        <f t="shared" si="15"/>
        <v>0</v>
      </c>
      <c r="AA90" s="32">
        <f t="shared" si="15"/>
        <v>0</v>
      </c>
      <c r="AB90" s="32">
        <f t="shared" si="15"/>
        <v>-9902891.9199999999</v>
      </c>
      <c r="AC90" s="32">
        <f t="shared" si="15"/>
        <v>-3320623.82</v>
      </c>
      <c r="AD90" s="32">
        <f t="shared" si="15"/>
        <v>0</v>
      </c>
      <c r="AE90" s="32">
        <f t="shared" si="15"/>
        <v>-361378</v>
      </c>
      <c r="AF90" s="32">
        <f t="shared" si="15"/>
        <v>0</v>
      </c>
      <c r="AG90" s="32">
        <f t="shared" si="15"/>
        <v>-24956395.630000003</v>
      </c>
      <c r="AH90" s="32">
        <f t="shared" si="15"/>
        <v>0</v>
      </c>
      <c r="AI90" s="32">
        <f t="shared" si="15"/>
        <v>0</v>
      </c>
      <c r="AJ90" s="32">
        <f t="shared" si="15"/>
        <v>-28444195.350000001</v>
      </c>
      <c r="AK90" s="32">
        <f t="shared" si="15"/>
        <v>-11705</v>
      </c>
      <c r="AL90" s="32">
        <f t="shared" si="15"/>
        <v>-23008</v>
      </c>
      <c r="AM90" s="32">
        <f t="shared" si="15"/>
        <v>0</v>
      </c>
      <c r="AN90" s="32">
        <f t="shared" si="15"/>
        <v>0</v>
      </c>
      <c r="AO90" s="32">
        <f t="shared" si="15"/>
        <v>-991992.8600000001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-203061.33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-186132471.29000002</v>
      </c>
    </row>
    <row r="91" spans="1:84" x14ac:dyDescent="0.25">
      <c r="A91" s="39" t="s">
        <v>275</v>
      </c>
      <c r="B91" s="32"/>
      <c r="C91" s="213">
        <v>3000</v>
      </c>
      <c r="D91" s="213"/>
      <c r="E91" s="213">
        <v>9343</v>
      </c>
      <c r="F91" s="213"/>
      <c r="G91" s="213"/>
      <c r="H91" s="213">
        <v>3872</v>
      </c>
      <c r="I91" s="213"/>
      <c r="J91" s="213">
        <v>700</v>
      </c>
      <c r="K91" s="213"/>
      <c r="L91" s="213"/>
      <c r="M91" s="213"/>
      <c r="N91" s="213"/>
      <c r="O91" s="213">
        <v>8865</v>
      </c>
      <c r="P91" s="213">
        <v>2450</v>
      </c>
      <c r="Q91" s="213">
        <v>3905</v>
      </c>
      <c r="R91" s="213">
        <v>160</v>
      </c>
      <c r="S91" s="213"/>
      <c r="T91" s="213"/>
      <c r="U91" s="213">
        <v>2741</v>
      </c>
      <c r="V91" s="213"/>
      <c r="W91" s="213"/>
      <c r="X91" s="213"/>
      <c r="Y91" s="213">
        <v>4078</v>
      </c>
      <c r="Z91" s="213"/>
      <c r="AA91" s="213"/>
      <c r="AB91" s="213">
        <v>1062</v>
      </c>
      <c r="AC91" s="213">
        <v>842</v>
      </c>
      <c r="AD91" s="213"/>
      <c r="AE91" s="213">
        <v>550</v>
      </c>
      <c r="AF91" s="213"/>
      <c r="AG91" s="213">
        <v>4626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1663</v>
      </c>
      <c r="AZ91" s="213"/>
      <c r="BA91" s="213"/>
      <c r="BB91" s="213"/>
      <c r="BC91" s="213"/>
      <c r="BD91" s="213">
        <v>2128</v>
      </c>
      <c r="BE91" s="213">
        <v>3107</v>
      </c>
      <c r="BF91" s="213">
        <v>798</v>
      </c>
      <c r="BG91" s="213"/>
      <c r="BH91" s="213">
        <v>280</v>
      </c>
      <c r="BI91" s="213"/>
      <c r="BJ91" s="213"/>
      <c r="BK91" s="213">
        <v>2500</v>
      </c>
      <c r="BL91" s="213"/>
      <c r="BM91" s="213"/>
      <c r="BN91" s="213">
        <v>2193</v>
      </c>
      <c r="BO91" s="213"/>
      <c r="BP91" s="213"/>
      <c r="BQ91" s="213"/>
      <c r="BR91" s="213">
        <v>408</v>
      </c>
      <c r="BS91" s="213">
        <v>300</v>
      </c>
      <c r="BT91" s="213">
        <v>380</v>
      </c>
      <c r="BU91" s="213"/>
      <c r="BV91" s="213">
        <v>1360</v>
      </c>
      <c r="BW91" s="213"/>
      <c r="BX91" s="213">
        <v>324</v>
      </c>
      <c r="BY91" s="213"/>
      <c r="BZ91" s="213"/>
      <c r="CA91" s="213"/>
      <c r="CB91" s="213"/>
      <c r="CC91" s="213">
        <v>8658</v>
      </c>
      <c r="CD91" s="233" t="s">
        <v>233</v>
      </c>
      <c r="CE91" s="32">
        <f t="shared" si="14"/>
        <v>70293</v>
      </c>
      <c r="CF91" s="32">
        <f>BE60-CE91</f>
        <v>0</v>
      </c>
    </row>
    <row r="92" spans="1:84" x14ac:dyDescent="0.25">
      <c r="A92" s="26" t="s">
        <v>276</v>
      </c>
      <c r="B92" s="20"/>
      <c r="C92" s="213">
        <v>5006</v>
      </c>
      <c r="D92" s="213"/>
      <c r="E92" s="213">
        <v>2389</v>
      </c>
      <c r="F92" s="213"/>
      <c r="G92" s="213"/>
      <c r="H92" s="213">
        <v>18410</v>
      </c>
      <c r="I92" s="213"/>
      <c r="J92" s="213"/>
      <c r="K92" s="213"/>
      <c r="L92" s="213"/>
      <c r="M92" s="213"/>
      <c r="N92" s="213"/>
      <c r="O92" s="213">
        <v>2742</v>
      </c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28547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25">
      <c r="A94" s="26" t="s">
        <v>278</v>
      </c>
      <c r="B94" s="20"/>
      <c r="C94" s="213">
        <v>36033</v>
      </c>
      <c r="D94" s="213"/>
      <c r="E94" s="213">
        <v>53074</v>
      </c>
      <c r="F94" s="213"/>
      <c r="G94" s="213"/>
      <c r="H94" s="213">
        <v>34368</v>
      </c>
      <c r="I94" s="213"/>
      <c r="J94" s="213"/>
      <c r="K94" s="213"/>
      <c r="L94" s="213"/>
      <c r="M94" s="213"/>
      <c r="N94" s="213"/>
      <c r="O94" s="213">
        <v>39286</v>
      </c>
      <c r="P94" s="213"/>
      <c r="Q94" s="213"/>
      <c r="R94" s="213"/>
      <c r="S94" s="213"/>
      <c r="T94" s="213"/>
      <c r="U94" s="213"/>
      <c r="V94" s="213"/>
      <c r="W94" s="213"/>
      <c r="X94" s="213"/>
      <c r="Y94" s="213">
        <v>31845</v>
      </c>
      <c r="Z94" s="213"/>
      <c r="AA94" s="213"/>
      <c r="AB94" s="213"/>
      <c r="AC94" s="213"/>
      <c r="AD94" s="213"/>
      <c r="AE94" s="213"/>
      <c r="AF94" s="213"/>
      <c r="AG94" s="213">
        <v>159223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353829</v>
      </c>
      <c r="CF94" s="32">
        <f>BA60</f>
        <v>0</v>
      </c>
    </row>
    <row r="95" spans="1:84" x14ac:dyDescent="0.25">
      <c r="A95" s="26" t="s">
        <v>279</v>
      </c>
      <c r="B95" s="20"/>
      <c r="C95" s="242">
        <v>6.43</v>
      </c>
      <c r="D95" s="242"/>
      <c r="E95" s="242">
        <v>7.15</v>
      </c>
      <c r="F95" s="242"/>
      <c r="G95" s="242"/>
      <c r="H95" s="242">
        <v>9.92</v>
      </c>
      <c r="I95" s="242"/>
      <c r="J95" s="242"/>
      <c r="K95" s="242"/>
      <c r="L95" s="242"/>
      <c r="M95" s="242"/>
      <c r="N95" s="242"/>
      <c r="O95" s="242">
        <v>10</v>
      </c>
      <c r="P95" s="243">
        <v>13.33</v>
      </c>
      <c r="Q95" s="243">
        <v>2.36</v>
      </c>
      <c r="R95" s="243"/>
      <c r="S95" s="244"/>
      <c r="T95" s="244"/>
      <c r="U95" s="245">
        <v>4.34</v>
      </c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2.88</v>
      </c>
      <c r="AH95" s="243"/>
      <c r="AI95" s="243"/>
      <c r="AJ95" s="243">
        <v>3.1</v>
      </c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59.510000000000005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1361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1362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1363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/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1364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1365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7">
        <v>98948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17" t="s">
        <v>1366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1367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1368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1369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2" t="s">
        <v>1370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2" t="s">
        <v>1371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1018</v>
      </c>
      <c r="D128" s="220">
        <v>8012</v>
      </c>
      <c r="E128" s="20"/>
    </row>
    <row r="129" spans="1:5" x14ac:dyDescent="0.25">
      <c r="A129" s="20" t="s">
        <v>311</v>
      </c>
      <c r="B129" s="46" t="s">
        <v>284</v>
      </c>
      <c r="C129" s="216"/>
      <c r="D129" s="220"/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>
        <v>266</v>
      </c>
      <c r="D131" s="220">
        <v>426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>
        <v>7</v>
      </c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16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>
        <v>10</v>
      </c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>
        <v>14</v>
      </c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/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47</v>
      </c>
    </row>
    <row r="145" spans="1:6" x14ac:dyDescent="0.25">
      <c r="A145" s="20" t="s">
        <v>325</v>
      </c>
      <c r="B145" s="46" t="s">
        <v>284</v>
      </c>
      <c r="C145" s="47">
        <v>78</v>
      </c>
      <c r="D145" s="20"/>
      <c r="E145" s="20"/>
    </row>
    <row r="146" spans="1:6" x14ac:dyDescent="0.25">
      <c r="A146" s="20" t="s">
        <v>326</v>
      </c>
      <c r="B146" s="46" t="s">
        <v>284</v>
      </c>
      <c r="C146" s="47">
        <v>16</v>
      </c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176</v>
      </c>
      <c r="C155" s="50">
        <v>638</v>
      </c>
      <c r="D155" s="50">
        <v>470</v>
      </c>
      <c r="E155" s="32">
        <f>SUM(B155:D155)</f>
        <v>1284</v>
      </c>
    </row>
    <row r="156" spans="1:6" x14ac:dyDescent="0.25">
      <c r="A156" s="20" t="s">
        <v>227</v>
      </c>
      <c r="B156" s="50">
        <v>2230</v>
      </c>
      <c r="C156" s="50">
        <v>4651</v>
      </c>
      <c r="D156" s="50">
        <v>1557</v>
      </c>
      <c r="E156" s="32">
        <f>SUM(B156:D156)</f>
        <v>8438</v>
      </c>
    </row>
    <row r="157" spans="1:6" x14ac:dyDescent="0.25">
      <c r="A157" s="20" t="s">
        <v>332</v>
      </c>
      <c r="B157" s="50">
        <v>29367</v>
      </c>
      <c r="C157" s="50">
        <v>29310</v>
      </c>
      <c r="D157" s="50">
        <v>34177</v>
      </c>
      <c r="E157" s="32">
        <f>SUM(B157:D157)</f>
        <v>92854</v>
      </c>
    </row>
    <row r="158" spans="1:6" x14ac:dyDescent="0.25">
      <c r="A158" s="20" t="s">
        <v>272</v>
      </c>
      <c r="B158" s="50">
        <v>11099825</v>
      </c>
      <c r="C158" s="50">
        <v>25351909</v>
      </c>
      <c r="D158" s="50">
        <v>9545589</v>
      </c>
      <c r="E158" s="32">
        <f>SUM(B158:D158)</f>
        <v>45997323</v>
      </c>
      <c r="F158" s="18"/>
    </row>
    <row r="159" spans="1:6" x14ac:dyDescent="0.25">
      <c r="A159" s="20" t="s">
        <v>273</v>
      </c>
      <c r="B159" s="50">
        <v>35188843</v>
      </c>
      <c r="C159" s="50">
        <v>51624765</v>
      </c>
      <c r="D159" s="50">
        <v>53321542</v>
      </c>
      <c r="E159" s="32">
        <f>SUM(B159:D159)</f>
        <v>140135150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/>
      <c r="C174" s="50"/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1232588.6200000001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87295.48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308483.87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1534503.04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/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521864.64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-50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3684685.6500000004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751749.22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84734.94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836484.15999999992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412037.05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7931.87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419968.92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798329.77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465050.7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1263380.47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>
        <v>2536680.42</v>
      </c>
      <c r="D205" s="20"/>
      <c r="E205" s="20"/>
    </row>
    <row r="206" spans="1:5" x14ac:dyDescent="0.25">
      <c r="A206" s="20" t="s">
        <v>359</v>
      </c>
      <c r="B206" s="46" t="s">
        <v>284</v>
      </c>
      <c r="C206" s="47">
        <v>7037.42</v>
      </c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2543717.84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550000</v>
      </c>
      <c r="C212" s="216"/>
      <c r="D212" s="220"/>
      <c r="E212" s="32">
        <f t="shared" ref="E212:E220" si="16">SUM(B212:C212)-D212</f>
        <v>550000</v>
      </c>
    </row>
    <row r="213" spans="1:5" x14ac:dyDescent="0.25">
      <c r="A213" s="20" t="s">
        <v>367</v>
      </c>
      <c r="B213" s="220">
        <v>26952.880000000001</v>
      </c>
      <c r="C213" s="216"/>
      <c r="D213" s="220"/>
      <c r="E213" s="32">
        <f t="shared" si="16"/>
        <v>26952.880000000001</v>
      </c>
    </row>
    <row r="214" spans="1:5" x14ac:dyDescent="0.25">
      <c r="A214" s="20" t="s">
        <v>368</v>
      </c>
      <c r="B214" s="220">
        <v>7958258.6999999993</v>
      </c>
      <c r="C214" s="216">
        <v>76583.88</v>
      </c>
      <c r="D214" s="220"/>
      <c r="E214" s="32">
        <f t="shared" si="16"/>
        <v>8034842.5799999991</v>
      </c>
    </row>
    <row r="215" spans="1:5" x14ac:dyDescent="0.2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2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25">
      <c r="A217" s="20" t="s">
        <v>371</v>
      </c>
      <c r="B217" s="220">
        <v>1689982.74</v>
      </c>
      <c r="C217" s="216">
        <v>569816.56000000006</v>
      </c>
      <c r="D217" s="220"/>
      <c r="E217" s="32">
        <f t="shared" si="16"/>
        <v>2259799.2999999998</v>
      </c>
    </row>
    <row r="218" spans="1:5" x14ac:dyDescent="0.25">
      <c r="A218" s="20" t="s">
        <v>372</v>
      </c>
      <c r="B218" s="220">
        <v>388075.65</v>
      </c>
      <c r="C218" s="216">
        <v>89389.46</v>
      </c>
      <c r="D218" s="220"/>
      <c r="E218" s="32">
        <f t="shared" si="16"/>
        <v>477465.11000000004</v>
      </c>
    </row>
    <row r="219" spans="1:5" x14ac:dyDescent="0.2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25">
      <c r="A220" s="20" t="s">
        <v>374</v>
      </c>
      <c r="B220" s="220">
        <v>55076.34</v>
      </c>
      <c r="C220" s="216">
        <v>200296.48</v>
      </c>
      <c r="D220" s="220"/>
      <c r="E220" s="32">
        <f t="shared" si="16"/>
        <v>255372.82</v>
      </c>
    </row>
    <row r="221" spans="1:5" x14ac:dyDescent="0.25">
      <c r="A221" s="20" t="s">
        <v>215</v>
      </c>
      <c r="B221" s="32">
        <f>SUM(B212:B220)</f>
        <v>10668346.310000001</v>
      </c>
      <c r="C221" s="265">
        <f>SUM(C212:C220)</f>
        <v>936086.38</v>
      </c>
      <c r="D221" s="32">
        <f>SUM(D212:D220)</f>
        <v>0</v>
      </c>
      <c r="E221" s="32">
        <f>SUM(E212:E220)</f>
        <v>11604432.689999998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2659.91</v>
      </c>
      <c r="C226" s="216">
        <v>1497.4</v>
      </c>
      <c r="D226" s="220"/>
      <c r="E226" s="32">
        <f t="shared" ref="E226:E233" si="17">SUM(B226:C226)-D226</f>
        <v>4157.3099999999995</v>
      </c>
    </row>
    <row r="227" spans="1:5" x14ac:dyDescent="0.25">
      <c r="A227" s="20" t="s">
        <v>368</v>
      </c>
      <c r="B227" s="220">
        <v>1525192.6</v>
      </c>
      <c r="C227" s="216">
        <v>407426.82</v>
      </c>
      <c r="D227" s="220"/>
      <c r="E227" s="32">
        <f t="shared" si="17"/>
        <v>1932619.4200000002</v>
      </c>
    </row>
    <row r="228" spans="1:5" x14ac:dyDescent="0.2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2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25">
      <c r="A230" s="20" t="s">
        <v>371</v>
      </c>
      <c r="B230" s="220">
        <v>1118129.93</v>
      </c>
      <c r="C230" s="216">
        <v>330724.03000000003</v>
      </c>
      <c r="D230" s="220"/>
      <c r="E230" s="32">
        <f t="shared" si="17"/>
        <v>1448853.96</v>
      </c>
    </row>
    <row r="231" spans="1:5" x14ac:dyDescent="0.25">
      <c r="A231" s="20" t="s">
        <v>372</v>
      </c>
      <c r="B231" s="220">
        <v>177278.22</v>
      </c>
      <c r="C231" s="216">
        <v>35320.620000000003</v>
      </c>
      <c r="D231" s="220"/>
      <c r="E231" s="32">
        <f t="shared" si="17"/>
        <v>212598.84</v>
      </c>
    </row>
    <row r="232" spans="1:5" x14ac:dyDescent="0.2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2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2823260.66</v>
      </c>
      <c r="C234" s="265">
        <f>SUM(C225:C233)</f>
        <v>774968.87</v>
      </c>
      <c r="D234" s="32">
        <f>SUM(D225:D233)</f>
        <v>0</v>
      </c>
      <c r="E234" s="32">
        <f>SUM(E225:E233)</f>
        <v>3598229.5300000003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6" t="s">
        <v>377</v>
      </c>
      <c r="C237" s="346"/>
      <c r="D237" s="38"/>
      <c r="E237" s="38"/>
    </row>
    <row r="238" spans="1:5" x14ac:dyDescent="0.25">
      <c r="A238" s="56" t="s">
        <v>377</v>
      </c>
      <c r="B238" s="38"/>
      <c r="C238" s="216">
        <v>15492723</v>
      </c>
      <c r="D238" s="40">
        <f>C238</f>
        <v>15492723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36583231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61124291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/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/>
      <c r="D244" s="20"/>
      <c r="E244" s="20"/>
    </row>
    <row r="245" spans="1:5" x14ac:dyDescent="0.25">
      <c r="A245" s="20" t="s">
        <v>384</v>
      </c>
      <c r="B245" s="46" t="s">
        <v>284</v>
      </c>
      <c r="C245" s="216">
        <v>21147592</v>
      </c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118855114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/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838895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/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838895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/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135186732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114438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44093478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37169595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/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468714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1093571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305615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8906221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/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550000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26953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8034843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/>
      <c r="D287" s="20"/>
      <c r="E287" s="20"/>
    </row>
    <row r="288" spans="1:5" x14ac:dyDescent="0.25">
      <c r="A288" s="20" t="s">
        <v>413</v>
      </c>
      <c r="B288" s="46" t="s">
        <v>284</v>
      </c>
      <c r="C288" s="216"/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2737264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>
        <v>255373</v>
      </c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11604433</v>
      </c>
      <c r="E292" s="20"/>
    </row>
    <row r="293" spans="1:5" x14ac:dyDescent="0.25">
      <c r="A293" s="20" t="s">
        <v>416</v>
      </c>
      <c r="B293" s="46" t="s">
        <v>284</v>
      </c>
      <c r="C293" s="47">
        <v>3598230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8006203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/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16912424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>
        <v>2358900</v>
      </c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3108750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444033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>
        <v>1712838</v>
      </c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/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53937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>
        <v>147662</v>
      </c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7826120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/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260657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>
        <v>12680864</v>
      </c>
      <c r="D337" s="20"/>
      <c r="E337" s="20"/>
    </row>
    <row r="338" spans="1:5" x14ac:dyDescent="0.25">
      <c r="A338" s="26" t="s">
        <v>455</v>
      </c>
      <c r="B338" s="46" t="s">
        <v>284</v>
      </c>
      <c r="C338" s="271"/>
      <c r="D338" s="20"/>
      <c r="E338" s="20"/>
    </row>
    <row r="339" spans="1:5" x14ac:dyDescent="0.25">
      <c r="A339" s="20" t="s">
        <v>456</v>
      </c>
      <c r="B339" s="46" t="s">
        <v>284</v>
      </c>
      <c r="C339" s="216">
        <v>10099196</v>
      </c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23040717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147662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22893055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-13806751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16912424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16912424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45997323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140135150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186132473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15492723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118855114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1035203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/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135383040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50749433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2"/>
      <c r="D371" s="32"/>
      <c r="E371" s="32"/>
    </row>
    <row r="372" spans="1:6" x14ac:dyDescent="0.25">
      <c r="A372" s="59" t="s">
        <v>480</v>
      </c>
      <c r="B372" s="40" t="s">
        <v>284</v>
      </c>
      <c r="C372" s="272"/>
      <c r="D372" s="32"/>
      <c r="E372" s="32"/>
    </row>
    <row r="373" spans="1:6" x14ac:dyDescent="0.25">
      <c r="A373" s="59" t="s">
        <v>481</v>
      </c>
      <c r="B373" s="40" t="s">
        <v>284</v>
      </c>
      <c r="C373" s="272"/>
      <c r="D373" s="32"/>
      <c r="E373" s="32"/>
    </row>
    <row r="374" spans="1:6" x14ac:dyDescent="0.25">
      <c r="A374" s="59" t="s">
        <v>482</v>
      </c>
      <c r="B374" s="40" t="s">
        <v>284</v>
      </c>
      <c r="C374" s="272"/>
      <c r="D374" s="32"/>
      <c r="E374" s="32"/>
    </row>
    <row r="375" spans="1:6" x14ac:dyDescent="0.25">
      <c r="A375" s="59" t="s">
        <v>483</v>
      </c>
      <c r="B375" s="40" t="s">
        <v>284</v>
      </c>
      <c r="C375" s="272"/>
      <c r="D375" s="32"/>
      <c r="E375" s="32"/>
    </row>
    <row r="376" spans="1:6" x14ac:dyDescent="0.25">
      <c r="A376" s="59" t="s">
        <v>484</v>
      </c>
      <c r="B376" s="40" t="s">
        <v>284</v>
      </c>
      <c r="C376" s="272"/>
      <c r="D376" s="32"/>
      <c r="E376" s="32"/>
    </row>
    <row r="377" spans="1:6" x14ac:dyDescent="0.25">
      <c r="A377" s="59" t="s">
        <v>485</v>
      </c>
      <c r="B377" s="40" t="s">
        <v>284</v>
      </c>
      <c r="C377" s="272"/>
      <c r="D377" s="32"/>
      <c r="E377" s="32"/>
    </row>
    <row r="378" spans="1:6" x14ac:dyDescent="0.25">
      <c r="A378" s="59" t="s">
        <v>486</v>
      </c>
      <c r="B378" s="40" t="s">
        <v>284</v>
      </c>
      <c r="C378" s="272"/>
      <c r="D378" s="32"/>
      <c r="E378" s="32"/>
    </row>
    <row r="379" spans="1:6" x14ac:dyDescent="0.25">
      <c r="A379" s="59" t="s">
        <v>487</v>
      </c>
      <c r="B379" s="40" t="s">
        <v>284</v>
      </c>
      <c r="C379" s="272"/>
      <c r="D379" s="32"/>
      <c r="E379" s="32"/>
    </row>
    <row r="380" spans="1:6" x14ac:dyDescent="0.25">
      <c r="A380" s="59" t="s">
        <v>488</v>
      </c>
      <c r="B380" s="40" t="s">
        <v>284</v>
      </c>
      <c r="C380" s="272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2604627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2604627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/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2604627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53354060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19220061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3684685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3014214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5807395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/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10576282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774971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836483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419969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1263380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2543716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2"/>
      <c r="D402" s="32"/>
      <c r="E402" s="32"/>
    </row>
    <row r="403" spans="1:9" x14ac:dyDescent="0.25">
      <c r="A403" s="33" t="s">
        <v>256</v>
      </c>
      <c r="B403" s="40" t="s">
        <v>284</v>
      </c>
      <c r="C403" s="272"/>
      <c r="D403" s="32"/>
      <c r="E403" s="32"/>
    </row>
    <row r="404" spans="1:9" x14ac:dyDescent="0.25">
      <c r="A404" s="33" t="s">
        <v>504</v>
      </c>
      <c r="B404" s="40" t="s">
        <v>284</v>
      </c>
      <c r="C404" s="272"/>
      <c r="D404" s="32"/>
      <c r="E404" s="32"/>
    </row>
    <row r="405" spans="1:9" x14ac:dyDescent="0.25">
      <c r="A405" s="33" t="s">
        <v>258</v>
      </c>
      <c r="B405" s="40" t="s">
        <v>284</v>
      </c>
      <c r="C405" s="272"/>
      <c r="D405" s="32"/>
      <c r="E405" s="32"/>
    </row>
    <row r="406" spans="1:9" x14ac:dyDescent="0.25">
      <c r="A406" s="33" t="s">
        <v>259</v>
      </c>
      <c r="B406" s="40" t="s">
        <v>284</v>
      </c>
      <c r="C406" s="272"/>
      <c r="D406" s="32"/>
      <c r="E406" s="32"/>
    </row>
    <row r="407" spans="1:9" x14ac:dyDescent="0.25">
      <c r="A407" s="33" t="s">
        <v>260</v>
      </c>
      <c r="B407" s="40" t="s">
        <v>284</v>
      </c>
      <c r="C407" s="272"/>
      <c r="D407" s="32"/>
      <c r="E407" s="32"/>
    </row>
    <row r="408" spans="1:9" x14ac:dyDescent="0.25">
      <c r="A408" s="33" t="s">
        <v>261</v>
      </c>
      <c r="B408" s="40" t="s">
        <v>284</v>
      </c>
      <c r="C408" s="272"/>
      <c r="D408" s="32"/>
      <c r="E408" s="32"/>
    </row>
    <row r="409" spans="1:9" x14ac:dyDescent="0.25">
      <c r="A409" s="33" t="s">
        <v>262</v>
      </c>
      <c r="B409" s="40" t="s">
        <v>284</v>
      </c>
      <c r="C409" s="272"/>
      <c r="D409" s="32"/>
      <c r="E409" s="32"/>
    </row>
    <row r="410" spans="1:9" x14ac:dyDescent="0.25">
      <c r="A410" s="33" t="s">
        <v>263</v>
      </c>
      <c r="B410" s="40" t="s">
        <v>284</v>
      </c>
      <c r="C410" s="272"/>
      <c r="D410" s="32"/>
      <c r="E410" s="32"/>
    </row>
    <row r="411" spans="1:9" x14ac:dyDescent="0.25">
      <c r="A411" s="33" t="s">
        <v>264</v>
      </c>
      <c r="B411" s="40" t="s">
        <v>284</v>
      </c>
      <c r="C411" s="272"/>
      <c r="D411" s="32"/>
      <c r="E411" s="32"/>
    </row>
    <row r="412" spans="1:9" x14ac:dyDescent="0.25">
      <c r="A412" s="33" t="s">
        <v>265</v>
      </c>
      <c r="B412" s="40" t="s">
        <v>284</v>
      </c>
      <c r="C412" s="272"/>
      <c r="D412" s="32"/>
      <c r="E412" s="32"/>
    </row>
    <row r="413" spans="1:9" x14ac:dyDescent="0.25">
      <c r="A413" s="33" t="s">
        <v>266</v>
      </c>
      <c r="B413" s="40" t="s">
        <v>284</v>
      </c>
      <c r="C413" s="272"/>
      <c r="D413" s="32"/>
      <c r="E413" s="32"/>
    </row>
    <row r="414" spans="1:9" x14ac:dyDescent="0.25">
      <c r="A414" s="33" t="s">
        <v>267</v>
      </c>
      <c r="B414" s="40" t="s">
        <v>284</v>
      </c>
      <c r="C414" s="272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6949734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6949734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55090890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-1736830</v>
      </c>
      <c r="E418" s="32"/>
    </row>
    <row r="419" spans="1:13" x14ac:dyDescent="0.25">
      <c r="A419" s="32" t="s">
        <v>508</v>
      </c>
      <c r="B419" s="20"/>
      <c r="C419" s="236"/>
      <c r="D419" s="32"/>
      <c r="E419" s="32"/>
    </row>
    <row r="420" spans="1:13" x14ac:dyDescent="0.25">
      <c r="A420" s="59" t="s">
        <v>509</v>
      </c>
      <c r="B420" s="46" t="s">
        <v>284</v>
      </c>
      <c r="C420" s="272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-1736830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-1736830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0"/>
      <c r="C613" s="248" t="s">
        <v>515</v>
      </c>
      <c r="D613" s="255">
        <f>CE91-(BE91+CD91)</f>
        <v>67186</v>
      </c>
      <c r="E613" s="257">
        <f>SUM(C625:D648)+SUM(C669:D714)</f>
        <v>37603912.444122888</v>
      </c>
      <c r="F613" s="257">
        <f>CE65-(AX65+BD65+BE65+BG65+BJ65+BN65+BP65+BQ65+CB65+CC65+CD65)</f>
        <v>5672496.6600000011</v>
      </c>
      <c r="G613" s="255">
        <f>CE92-(AX92+AY92+BD92+BE92+BG92+BJ92+BN92+BP92+BQ92+CB92+CC92+CD92)</f>
        <v>28547</v>
      </c>
      <c r="H613" s="260">
        <f>CE61-(AX61+AY61+AZ61+BD61+BE61+BG61+BJ61+BN61+BO61+BP61+BQ61+BR61+CB61+CC61+CD61)</f>
        <v>339.56999999999994</v>
      </c>
      <c r="I613" s="255">
        <f>CE93-(AX93+AY93+AZ93+BD93+BE93+BF93+BG93+BJ93+BN93+BO93+BP93+BQ93+BR93+CB93+CC93+CD93)</f>
        <v>0</v>
      </c>
      <c r="J613" s="255">
        <f>CE94-(AX94+AY94+AZ94+BA94+BD94+BE94+BF94+BG94+BJ94+BN94+BO94+BP94+BQ94+BR94+CB94+CC94+CD94)</f>
        <v>353829</v>
      </c>
      <c r="K613" s="255">
        <f>CE90-(AW90+AX90+AY90+AZ90+BA90+BB90+BC90+BD90+BE90+BF90+BG90+BH90+BI90+BJ90+BK90+BL90+BM90+BN90+BO90+BP90+BQ90+BR90+BS90+BT90+BU90+BV90+BW90+BX90+CB90+CC90+CD90)</f>
        <v>-186132471.29000002</v>
      </c>
      <c r="L613" s="261">
        <f>CE95-(AW95+AX95+AY95+AZ95+BA95+BB95+BC95+BD95+BE95+BF95+BG95+BH95+BI95+BJ95+BK95+BL95+BM95+BN95+BO95+BP95+BQ95+BR95+BS95+BT95+BU95+BV95+BW95+BX95+BY95+BZ95+CA95+CB95+CC95+CD95)</f>
        <v>59.510000000000005</v>
      </c>
    </row>
    <row r="614" spans="1:14" s="231" customFormat="1" ht="12.6" customHeight="1" x14ac:dyDescent="0.2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" customHeight="1" x14ac:dyDescent="0.2">
      <c r="A615" s="250">
        <v>8430</v>
      </c>
      <c r="B615" s="249" t="s">
        <v>152</v>
      </c>
      <c r="C615" s="255">
        <f>BE86</f>
        <v>921825.02000000014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" customHeight="1" x14ac:dyDescent="0.2">
      <c r="A616" s="250"/>
      <c r="B616" s="249" t="s">
        <v>527</v>
      </c>
      <c r="C616" s="255">
        <f>CD70-CD85</f>
        <v>0</v>
      </c>
      <c r="D616" s="255">
        <f>SUM(C615:C616)</f>
        <v>921825.02000000014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" customHeight="1" x14ac:dyDescent="0.2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" customHeight="1" x14ac:dyDescent="0.2">
      <c r="A618" s="250">
        <v>8510</v>
      </c>
      <c r="B618" s="254" t="s">
        <v>157</v>
      </c>
      <c r="C618" s="255">
        <f>BJ86</f>
        <v>0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" customHeight="1" x14ac:dyDescent="0.2">
      <c r="A619" s="250">
        <v>8470</v>
      </c>
      <c r="B619" s="254" t="s">
        <v>532</v>
      </c>
      <c r="C619" s="255">
        <f>BG86</f>
        <v>37660.43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" customHeight="1" x14ac:dyDescent="0.2">
      <c r="A620" s="250">
        <v>8610</v>
      </c>
      <c r="B620" s="254" t="s">
        <v>534</v>
      </c>
      <c r="C620" s="255">
        <f>BN86</f>
        <v>10853659.280000001</v>
      </c>
      <c r="D620" s="255">
        <f>(D616/D613)*BN91</f>
        <v>30089.040408120745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" customHeight="1" x14ac:dyDescent="0.2">
      <c r="A621" s="250">
        <v>8790</v>
      </c>
      <c r="B621" s="254" t="s">
        <v>536</v>
      </c>
      <c r="C621" s="255">
        <f>CC86</f>
        <v>-2320484.75</v>
      </c>
      <c r="D621" s="255">
        <f>(D616/D613)*CC91</f>
        <v>118792.02546899654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" customHeight="1" x14ac:dyDescent="0.2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" customHeight="1" x14ac:dyDescent="0.2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" customHeight="1" x14ac:dyDescent="0.2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8719716.0258771181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" customHeight="1" x14ac:dyDescent="0.2">
      <c r="A625" s="250">
        <v>8420</v>
      </c>
      <c r="B625" s="254" t="s">
        <v>151</v>
      </c>
      <c r="C625" s="255">
        <f>BD86</f>
        <v>131811.88</v>
      </c>
      <c r="D625" s="255">
        <f>(D616/D613)*BD91</f>
        <v>29197.20838508023</v>
      </c>
      <c r="E625" s="257">
        <f>(E624/E613)*SUM(C625:D625)</f>
        <v>37335.304681113652</v>
      </c>
      <c r="F625" s="257">
        <f>SUM(C625:E625)</f>
        <v>198344.39306619388</v>
      </c>
      <c r="G625" s="255"/>
      <c r="H625" s="257"/>
      <c r="I625" s="255"/>
      <c r="J625" s="255"/>
      <c r="N625" s="251" t="s">
        <v>544</v>
      </c>
    </row>
    <row r="626" spans="1:14" s="231" customFormat="1" ht="12.6" customHeight="1" x14ac:dyDescent="0.2">
      <c r="A626" s="250">
        <v>8320</v>
      </c>
      <c r="B626" s="254" t="s">
        <v>147</v>
      </c>
      <c r="C626" s="255">
        <f>AY86</f>
        <v>338927.82999999996</v>
      </c>
      <c r="D626" s="255">
        <f>(D616/D613)*AY91</f>
        <v>22817.179297175011</v>
      </c>
      <c r="E626" s="257">
        <f>(E624/E613)*SUM(C626:D626)</f>
        <v>83882.594917131588</v>
      </c>
      <c r="F626" s="257">
        <f>(F625/F613)*AY65</f>
        <v>10835.475081429304</v>
      </c>
      <c r="G626" s="255">
        <f>SUM(C626:F626)</f>
        <v>456463.07929573586</v>
      </c>
      <c r="H626" s="257"/>
      <c r="I626" s="255"/>
      <c r="J626" s="255"/>
      <c r="N626" s="251" t="s">
        <v>545</v>
      </c>
    </row>
    <row r="627" spans="1:14" s="231" customFormat="1" ht="12.6" customHeight="1" x14ac:dyDescent="0.2">
      <c r="A627" s="250">
        <v>8650</v>
      </c>
      <c r="B627" s="254" t="s">
        <v>164</v>
      </c>
      <c r="C627" s="255">
        <f>BR86</f>
        <v>98662.38</v>
      </c>
      <c r="D627" s="255">
        <f>(D616/D613)*BR91</f>
        <v>5597.9610061619987</v>
      </c>
      <c r="E627" s="257">
        <f>(E624/E613)*SUM(C627:D627)</f>
        <v>24176.222824838813</v>
      </c>
      <c r="F627" s="257">
        <f>(F625/F613)*BR65</f>
        <v>63.341568354007897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" customHeight="1" x14ac:dyDescent="0.2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" customHeight="1" x14ac:dyDescent="0.2">
      <c r="A629" s="250">
        <v>8330</v>
      </c>
      <c r="B629" s="254" t="s">
        <v>148</v>
      </c>
      <c r="C629" s="255">
        <f>AZ86</f>
        <v>389996.96</v>
      </c>
      <c r="D629" s="255">
        <f>(D616/D613)*AZ91</f>
        <v>0</v>
      </c>
      <c r="E629" s="257">
        <f>(E624/E613)*SUM(C629:D629)</f>
        <v>90433.748009825678</v>
      </c>
      <c r="F629" s="257">
        <f>(F625/F613)*AZ65</f>
        <v>3.7654861641290798</v>
      </c>
      <c r="G629" s="255">
        <f>(G626/G613)*AZ92</f>
        <v>0</v>
      </c>
      <c r="H629" s="257">
        <f>SUM(C627:G629)</f>
        <v>608934.37889534468</v>
      </c>
      <c r="I629" s="255"/>
      <c r="J629" s="255"/>
      <c r="N629" s="251" t="s">
        <v>549</v>
      </c>
    </row>
    <row r="630" spans="1:14" s="231" customFormat="1" ht="12.6" customHeight="1" x14ac:dyDescent="0.2">
      <c r="A630" s="250">
        <v>8460</v>
      </c>
      <c r="B630" s="254" t="s">
        <v>153</v>
      </c>
      <c r="C630" s="255">
        <f>BF86</f>
        <v>606006.87</v>
      </c>
      <c r="D630" s="255">
        <f>(D616/D613)*BF91</f>
        <v>10948.953144405086</v>
      </c>
      <c r="E630" s="257">
        <f>(E624/E613)*SUM(C630:D630)</f>
        <v>143061.69833589395</v>
      </c>
      <c r="F630" s="257">
        <f>(F625/F613)*BF65</f>
        <v>2639.5019521000095</v>
      </c>
      <c r="G630" s="255">
        <f>(G626/G613)*BF92</f>
        <v>0</v>
      </c>
      <c r="H630" s="257">
        <f>(H629/H613)*BF61</f>
        <v>16748.96810343234</v>
      </c>
      <c r="I630" s="255">
        <f>SUM(C630:H630)</f>
        <v>779405.99153583124</v>
      </c>
      <c r="J630" s="255"/>
      <c r="N630" s="251" t="s">
        <v>550</v>
      </c>
    </row>
    <row r="631" spans="1:14" s="231" customFormat="1" ht="12.6" customHeight="1" x14ac:dyDescent="0.2">
      <c r="A631" s="250">
        <v>8350</v>
      </c>
      <c r="B631" s="254" t="s">
        <v>551</v>
      </c>
      <c r="C631" s="255">
        <f>BA86</f>
        <v>2687.36</v>
      </c>
      <c r="D631" s="255">
        <f>(D616/D613)*BA91</f>
        <v>0</v>
      </c>
      <c r="E631" s="257">
        <f>(E624/E613)*SUM(C631:D631)</f>
        <v>623.15367035600775</v>
      </c>
      <c r="F631" s="257">
        <f>(F625/F613)*BA65</f>
        <v>93.966170471110814</v>
      </c>
      <c r="G631" s="255">
        <f>(G626/G613)*BA92</f>
        <v>0</v>
      </c>
      <c r="H631" s="257">
        <f>(H629/H613)*BA61</f>
        <v>0</v>
      </c>
      <c r="I631" s="255" t="e">
        <f>(I630/I613)*BA93</f>
        <v>#DIV/0!</v>
      </c>
      <c r="J631" s="255" t="e">
        <f>SUM(C631:I631)</f>
        <v>#DIV/0!</v>
      </c>
      <c r="N631" s="251" t="s">
        <v>552</v>
      </c>
    </row>
    <row r="632" spans="1:14" s="231" customFormat="1" ht="12.6" customHeight="1" x14ac:dyDescent="0.2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 t="e">
        <f>(I630/I613)*AW93</f>
        <v>#DIV/0!</v>
      </c>
      <c r="J632" s="255" t="e">
        <f>(J631/J613)*AW94</f>
        <v>#DIV/0!</v>
      </c>
      <c r="N632" s="251" t="s">
        <v>554</v>
      </c>
    </row>
    <row r="633" spans="1:14" s="231" customFormat="1" ht="12.6" customHeight="1" x14ac:dyDescent="0.2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 t="e">
        <f>(I630/I613)*BB93</f>
        <v>#DIV/0!</v>
      </c>
      <c r="J633" s="255" t="e">
        <f>(J631/J613)*BB94</f>
        <v>#DIV/0!</v>
      </c>
      <c r="N633" s="251" t="s">
        <v>556</v>
      </c>
    </row>
    <row r="634" spans="1:14" s="231" customFormat="1" ht="12.6" customHeight="1" x14ac:dyDescent="0.2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 t="e">
        <f>(I630/I613)*BC93</f>
        <v>#DIV/0!</v>
      </c>
      <c r="J634" s="255" t="e">
        <f>(J631/J613)*BC94</f>
        <v>#DIV/0!</v>
      </c>
      <c r="N634" s="251" t="s">
        <v>558</v>
      </c>
    </row>
    <row r="635" spans="1:14" s="231" customFormat="1" ht="12.6" customHeight="1" x14ac:dyDescent="0.2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 t="e">
        <f>(I630/I613)*BI93</f>
        <v>#DIV/0!</v>
      </c>
      <c r="J635" s="255" t="e">
        <f>(J631/J613)*BI94</f>
        <v>#DIV/0!</v>
      </c>
      <c r="N635" s="251" t="s">
        <v>560</v>
      </c>
    </row>
    <row r="636" spans="1:14" s="231" customFormat="1" ht="12.6" customHeight="1" x14ac:dyDescent="0.2">
      <c r="A636" s="250">
        <v>8530</v>
      </c>
      <c r="B636" s="254" t="s">
        <v>561</v>
      </c>
      <c r="C636" s="255">
        <f>BK86</f>
        <v>31864.12</v>
      </c>
      <c r="D636" s="255">
        <f>(D616/D613)*BK91</f>
        <v>34301.231655404408</v>
      </c>
      <c r="E636" s="257">
        <f>(E624/E613)*SUM(C636:D636)</f>
        <v>15342.634308191387</v>
      </c>
      <c r="F636" s="257">
        <f>(F625/F613)*BK65</f>
        <v>0.51959443215672874</v>
      </c>
      <c r="G636" s="255">
        <f>(G626/G613)*BK92</f>
        <v>0</v>
      </c>
      <c r="H636" s="257">
        <f>(H629/H613)*BK61</f>
        <v>0</v>
      </c>
      <c r="I636" s="255" t="e">
        <f>(I630/I613)*BK93</f>
        <v>#DIV/0!</v>
      </c>
      <c r="J636" s="255" t="e">
        <f>(J631/J613)*BK94</f>
        <v>#DIV/0!</v>
      </c>
      <c r="N636" s="251" t="s">
        <v>562</v>
      </c>
    </row>
    <row r="637" spans="1:14" s="231" customFormat="1" ht="12.6" customHeight="1" x14ac:dyDescent="0.2">
      <c r="A637" s="250">
        <v>8480</v>
      </c>
      <c r="B637" s="254" t="s">
        <v>563</v>
      </c>
      <c r="C637" s="255">
        <f>BH86</f>
        <v>247021.92</v>
      </c>
      <c r="D637" s="255">
        <f>(D616/D613)*BH91</f>
        <v>3841.7379454052934</v>
      </c>
      <c r="E637" s="257">
        <f>(E624/E613)*SUM(C637:D637)</f>
        <v>58171.070942342441</v>
      </c>
      <c r="F637" s="257">
        <f>(F625/F613)*BH65</f>
        <v>965.44736514138935</v>
      </c>
      <c r="G637" s="255">
        <f>(G626/G613)*BH92</f>
        <v>0</v>
      </c>
      <c r="H637" s="257">
        <f>(H629/H613)*BH61</f>
        <v>0</v>
      </c>
      <c r="I637" s="255" t="e">
        <f>(I630/I613)*BH93</f>
        <v>#DIV/0!</v>
      </c>
      <c r="J637" s="255" t="e">
        <f>(J631/J613)*BH94</f>
        <v>#DIV/0!</v>
      </c>
      <c r="N637" s="251" t="s">
        <v>564</v>
      </c>
    </row>
    <row r="638" spans="1:14" s="231" customFormat="1" ht="12.6" customHeight="1" x14ac:dyDescent="0.2">
      <c r="A638" s="250">
        <v>8560</v>
      </c>
      <c r="B638" s="254" t="s">
        <v>159</v>
      </c>
      <c r="C638" s="255">
        <f>BL86</f>
        <v>578679.19000000006</v>
      </c>
      <c r="D638" s="255">
        <f>(D616/D613)*BL91</f>
        <v>0</v>
      </c>
      <c r="E638" s="257">
        <f>(E624/E613)*SUM(C638:D638)</f>
        <v>134185.98967281703</v>
      </c>
      <c r="F638" s="257">
        <f>(F625/F613)*BL65</f>
        <v>343.20785712959139</v>
      </c>
      <c r="G638" s="255">
        <f>(G626/G613)*BL92</f>
        <v>0</v>
      </c>
      <c r="H638" s="257">
        <f>(H629/H613)*BL61</f>
        <v>27616.071605231056</v>
      </c>
      <c r="I638" s="255" t="e">
        <f>(I630/I613)*BL93</f>
        <v>#DIV/0!</v>
      </c>
      <c r="J638" s="255" t="e">
        <f>(J631/J613)*BL94</f>
        <v>#DIV/0!</v>
      </c>
      <c r="N638" s="251" t="s">
        <v>565</v>
      </c>
    </row>
    <row r="639" spans="1:14" s="231" customFormat="1" ht="12.6" customHeight="1" x14ac:dyDescent="0.2">
      <c r="A639" s="250">
        <v>8590</v>
      </c>
      <c r="B639" s="254" t="s">
        <v>566</v>
      </c>
      <c r="C639" s="255">
        <f>BM86</f>
        <v>123462.8</v>
      </c>
      <c r="D639" s="255">
        <f>(D616/D613)*BM91</f>
        <v>0</v>
      </c>
      <c r="E639" s="257">
        <f>(E624/E613)*SUM(C639:D639)</f>
        <v>28628.950707173477</v>
      </c>
      <c r="F639" s="257">
        <f>(F625/F613)*BM65</f>
        <v>35.781034883600412</v>
      </c>
      <c r="G639" s="255">
        <f>(G626/G613)*BM92</f>
        <v>0</v>
      </c>
      <c r="H639" s="257">
        <f>(H629/H613)*BM61</f>
        <v>0</v>
      </c>
      <c r="I639" s="255" t="e">
        <f>(I630/I613)*BM93</f>
        <v>#DIV/0!</v>
      </c>
      <c r="J639" s="255" t="e">
        <f>(J631/J613)*BM94</f>
        <v>#DIV/0!</v>
      </c>
      <c r="N639" s="251" t="s">
        <v>567</v>
      </c>
    </row>
    <row r="640" spans="1:14" s="231" customFormat="1" ht="12.6" customHeight="1" x14ac:dyDescent="0.2">
      <c r="A640" s="250">
        <v>8660</v>
      </c>
      <c r="B640" s="254" t="s">
        <v>568</v>
      </c>
      <c r="C640" s="255">
        <f>BS86</f>
        <v>3307</v>
      </c>
      <c r="D640" s="255">
        <f>(D616/D613)*BS91</f>
        <v>4116.1477986485288</v>
      </c>
      <c r="E640" s="257">
        <f>(E624/E613)*SUM(C640:D640)</f>
        <v>1721.3033595509905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 t="e">
        <f>(I630/I613)*BS93</f>
        <v>#DIV/0!</v>
      </c>
      <c r="J640" s="255" t="e">
        <f>(J631/J613)*BS94</f>
        <v>#DIV/0!</v>
      </c>
      <c r="N640" s="251" t="s">
        <v>569</v>
      </c>
    </row>
    <row r="641" spans="1:14" s="231" customFormat="1" ht="12.6" customHeight="1" x14ac:dyDescent="0.2">
      <c r="A641" s="250">
        <v>8670</v>
      </c>
      <c r="B641" s="254" t="s">
        <v>570</v>
      </c>
      <c r="C641" s="255">
        <f>BT86</f>
        <v>4189</v>
      </c>
      <c r="D641" s="255">
        <f>(D616/D613)*BT91</f>
        <v>5213.7872116214694</v>
      </c>
      <c r="E641" s="257">
        <f>(E624/E613)*SUM(C641:D641)</f>
        <v>2180.3485065262748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 t="e">
        <f>(I630/I613)*BT93</f>
        <v>#DIV/0!</v>
      </c>
      <c r="J641" s="255" t="e">
        <f>(J631/J613)*BT94</f>
        <v>#DIV/0!</v>
      </c>
      <c r="N641" s="251" t="s">
        <v>571</v>
      </c>
    </row>
    <row r="642" spans="1:14" s="231" customFormat="1" ht="12.6" customHeight="1" x14ac:dyDescent="0.2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 t="e">
        <f>(I630/I613)*BU93</f>
        <v>#DIV/0!</v>
      </c>
      <c r="J642" s="255" t="e">
        <f>(J631/J613)*BU94</f>
        <v>#DIV/0!</v>
      </c>
      <c r="N642" s="251" t="s">
        <v>573</v>
      </c>
    </row>
    <row r="643" spans="1:14" s="231" customFormat="1" ht="12.6" customHeight="1" x14ac:dyDescent="0.2">
      <c r="A643" s="250">
        <v>8690</v>
      </c>
      <c r="B643" s="254" t="s">
        <v>574</v>
      </c>
      <c r="C643" s="255">
        <f>BV86</f>
        <v>416890.67000000004</v>
      </c>
      <c r="D643" s="255">
        <f>(D616/D613)*BV91</f>
        <v>18659.870020539995</v>
      </c>
      <c r="E643" s="257">
        <f>(E624/E613)*SUM(C643:D643)</f>
        <v>100996.85849284827</v>
      </c>
      <c r="F643" s="257">
        <f>(F625/F613)*BV65</f>
        <v>147.97182271570779</v>
      </c>
      <c r="G643" s="255">
        <f>(G626/G613)*BV92</f>
        <v>0</v>
      </c>
      <c r="H643" s="257">
        <f>(H629/H613)*BV61</f>
        <v>15834.409887934431</v>
      </c>
      <c r="I643" s="255" t="e">
        <f>(I630/I613)*BV93</f>
        <v>#DIV/0!</v>
      </c>
      <c r="J643" s="255" t="e">
        <f>(J631/J613)*BV94</f>
        <v>#DIV/0!</v>
      </c>
      <c r="N643" s="251" t="s">
        <v>575</v>
      </c>
    </row>
    <row r="644" spans="1:14" s="231" customFormat="1" ht="12.6" customHeight="1" x14ac:dyDescent="0.2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 t="e">
        <f>(I630/I613)*BW93</f>
        <v>#DIV/0!</v>
      </c>
      <c r="J644" s="255" t="e">
        <f>(J631/J613)*BW94</f>
        <v>#DIV/0!</v>
      </c>
      <c r="N644" s="251" t="s">
        <v>577</v>
      </c>
    </row>
    <row r="645" spans="1:14" s="231" customFormat="1" ht="12.6" customHeight="1" x14ac:dyDescent="0.2">
      <c r="A645" s="250">
        <v>8710</v>
      </c>
      <c r="B645" s="254" t="s">
        <v>578</v>
      </c>
      <c r="C645" s="255">
        <f>BX86</f>
        <v>336158.54000000004</v>
      </c>
      <c r="D645" s="255">
        <f>(D616/D613)*BX91</f>
        <v>4445.4396225404107</v>
      </c>
      <c r="E645" s="257">
        <f>(E624/E613)*SUM(C645:D645)</f>
        <v>78980.345037378298</v>
      </c>
      <c r="F645" s="257">
        <f>(F625/F613)*BX65</f>
        <v>32.997743039746069</v>
      </c>
      <c r="G645" s="255">
        <f>(G626/G613)*BX92</f>
        <v>0</v>
      </c>
      <c r="H645" s="257">
        <f>(H629/H613)*BX61</f>
        <v>6097.0547699860772</v>
      </c>
      <c r="I645" s="255" t="e">
        <f>(I630/I613)*BX93</f>
        <v>#DIV/0!</v>
      </c>
      <c r="J645" s="255" t="e">
        <f>(J631/J613)*BX94</f>
        <v>#DIV/0!</v>
      </c>
      <c r="K645" s="257" t="e">
        <f>SUM(C632:J645)</f>
        <v>#DIV/0!</v>
      </c>
      <c r="L645" s="257"/>
      <c r="N645" s="251" t="s">
        <v>579</v>
      </c>
    </row>
    <row r="646" spans="1:14" s="231" customFormat="1" ht="12.6" customHeight="1" x14ac:dyDescent="0.2">
      <c r="A646" s="250">
        <v>8720</v>
      </c>
      <c r="B646" s="254" t="s">
        <v>580</v>
      </c>
      <c r="C646" s="255">
        <f>BY86</f>
        <v>381383.62</v>
      </c>
      <c r="D646" s="255">
        <f>(D616/D613)*BY91</f>
        <v>0</v>
      </c>
      <c r="E646" s="257">
        <f>(E624/E613)*SUM(C646:D646)</f>
        <v>88436.459058950393</v>
      </c>
      <c r="F646" s="257">
        <f>(F625/F613)*BY65</f>
        <v>1007.4974502094703</v>
      </c>
      <c r="G646" s="255">
        <f>(G626/G613)*BY92</f>
        <v>0</v>
      </c>
      <c r="H646" s="257">
        <f>(H629/H613)*BY61</f>
        <v>3299.5825814042305</v>
      </c>
      <c r="I646" s="255" t="e">
        <f>(I630/I613)*BY93</f>
        <v>#DIV/0!</v>
      </c>
      <c r="J646" s="255" t="e">
        <f>(J631/J613)*BY94</f>
        <v>#DIV/0!</v>
      </c>
      <c r="K646" s="257">
        <v>0</v>
      </c>
      <c r="L646" s="257"/>
      <c r="N646" s="251" t="s">
        <v>581</v>
      </c>
    </row>
    <row r="647" spans="1:14" s="231" customFormat="1" ht="12.6" customHeight="1" x14ac:dyDescent="0.2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 t="e">
        <f>(I630/I613)*BZ93</f>
        <v>#DIV/0!</v>
      </c>
      <c r="J647" s="255" t="e">
        <f>(J631/J613)*BZ94</f>
        <v>#DIV/0!</v>
      </c>
      <c r="K647" s="257">
        <v>0</v>
      </c>
      <c r="L647" s="257"/>
      <c r="N647" s="251" t="s">
        <v>583</v>
      </c>
    </row>
    <row r="648" spans="1:14" s="231" customFormat="1" ht="12.6" customHeight="1" x14ac:dyDescent="0.2">
      <c r="A648" s="250">
        <v>8740</v>
      </c>
      <c r="B648" s="254" t="s">
        <v>584</v>
      </c>
      <c r="C648" s="255">
        <f>CA86</f>
        <v>4752.6099999999997</v>
      </c>
      <c r="D648" s="255">
        <f>(D616/D613)*CA91</f>
        <v>0</v>
      </c>
      <c r="E648" s="257">
        <f>(E624/E613)*SUM(C648:D648)</f>
        <v>1102.0504752882628</v>
      </c>
      <c r="F648" s="257">
        <f>(F625/F613)*CA65</f>
        <v>11.28037414253582</v>
      </c>
      <c r="G648" s="255">
        <f>(G626/G613)*CA92</f>
        <v>0</v>
      </c>
      <c r="H648" s="257">
        <f>(H629/H613)*CA61</f>
        <v>0</v>
      </c>
      <c r="I648" s="255" t="e">
        <f>(I630/I613)*CA93</f>
        <v>#DIV/0!</v>
      </c>
      <c r="J648" s="255" t="e">
        <f>(J631/J613)*CA94</f>
        <v>#DIV/0!</v>
      </c>
      <c r="K648" s="257">
        <v>0</v>
      </c>
      <c r="L648" s="257" t="e">
        <f>SUM(C646:K648)</f>
        <v>#DIV/0!</v>
      </c>
      <c r="N648" s="251" t="s">
        <v>585</v>
      </c>
    </row>
    <row r="649" spans="1:14" s="231" customFormat="1" ht="12.6" customHeight="1" x14ac:dyDescent="0.2">
      <c r="A649" s="250"/>
      <c r="B649" s="250"/>
      <c r="C649" s="231">
        <f>SUM(C615:C648)</f>
        <v>13188462.729999999</v>
      </c>
      <c r="L649" s="253"/>
    </row>
    <row r="667" spans="1:14" s="231" customFormat="1" ht="12.6" customHeight="1" x14ac:dyDescent="0.2">
      <c r="C667" s="248" t="s">
        <v>586</v>
      </c>
      <c r="M667" s="248" t="s">
        <v>587</v>
      </c>
    </row>
    <row r="668" spans="1:14" s="231" customFormat="1" ht="12.6" customHeight="1" x14ac:dyDescent="0.2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" customHeight="1" x14ac:dyDescent="0.2">
      <c r="A669" s="250">
        <v>6010</v>
      </c>
      <c r="B669" s="249" t="s">
        <v>315</v>
      </c>
      <c r="C669" s="255">
        <f>C86</f>
        <v>1222277.6399999999</v>
      </c>
      <c r="D669" s="255">
        <f>(D616/D613)*C91</f>
        <v>41161.477986485283</v>
      </c>
      <c r="E669" s="257">
        <f>(E624/E613)*SUM(C669:D669)</f>
        <v>292970.3216705746</v>
      </c>
      <c r="F669" s="257">
        <f>(F625/F613)*C65</f>
        <v>6599.0370556919815</v>
      </c>
      <c r="G669" s="255">
        <f>(G626/G613)*C92</f>
        <v>80045.334884732321</v>
      </c>
      <c r="H669" s="257">
        <f>(H629/H613)*C61</f>
        <v>16695.170561344232</v>
      </c>
      <c r="I669" s="255" t="e">
        <f>(I630/I613)*C93</f>
        <v>#DIV/0!</v>
      </c>
      <c r="J669" s="255" t="e">
        <f>(J631/J613)*C94</f>
        <v>#DIV/0!</v>
      </c>
      <c r="K669" s="255" t="e">
        <f>(K645/K613)*C90</f>
        <v>#DIV/0!</v>
      </c>
      <c r="L669" s="255" t="e">
        <f>(L648/L613)*C95</f>
        <v>#DIV/0!</v>
      </c>
      <c r="M669" s="231" t="e">
        <f t="shared" ref="M669:M714" si="18">ROUND(SUM(D669:L669),0)</f>
        <v>#DIV/0!</v>
      </c>
      <c r="N669" s="249" t="s">
        <v>589</v>
      </c>
    </row>
    <row r="670" spans="1:14" s="231" customFormat="1" ht="12.6" customHeight="1" x14ac:dyDescent="0.2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 t="e">
        <f>(I630/I613)*D93</f>
        <v>#DIV/0!</v>
      </c>
      <c r="J670" s="255" t="e">
        <f>(J631/J613)*D94</f>
        <v>#DIV/0!</v>
      </c>
      <c r="K670" s="255" t="e">
        <f>(K645/K613)*D90</f>
        <v>#DIV/0!</v>
      </c>
      <c r="L670" s="255" t="e">
        <f>(L648/L613)*D95</f>
        <v>#DIV/0!</v>
      </c>
      <c r="M670" s="231" t="e">
        <f t="shared" si="18"/>
        <v>#DIV/0!</v>
      </c>
      <c r="N670" s="249" t="s">
        <v>590</v>
      </c>
    </row>
    <row r="671" spans="1:14" s="231" customFormat="1" ht="12.6" customHeight="1" x14ac:dyDescent="0.2">
      <c r="A671" s="250">
        <v>6070</v>
      </c>
      <c r="B671" s="249" t="s">
        <v>591</v>
      </c>
      <c r="C671" s="255">
        <f>E86</f>
        <v>2277799.02</v>
      </c>
      <c r="D671" s="255">
        <f>(D616/D613)*E91</f>
        <v>128190.56294257734</v>
      </c>
      <c r="E671" s="257">
        <f>(E624/E613)*SUM(C671:D671)</f>
        <v>557908.59410313005</v>
      </c>
      <c r="F671" s="257">
        <f>(F625/F613)*E65</f>
        <v>1083.5876141196252</v>
      </c>
      <c r="G671" s="255">
        <f>(G626/G613)*E92</f>
        <v>38199.821222458158</v>
      </c>
      <c r="H671" s="257">
        <f>(H629/H613)*E61</f>
        <v>23240.538182064578</v>
      </c>
      <c r="I671" s="255" t="e">
        <f>(I630/I613)*E93</f>
        <v>#DIV/0!</v>
      </c>
      <c r="J671" s="255" t="e">
        <f>(J631/J613)*E94</f>
        <v>#DIV/0!</v>
      </c>
      <c r="K671" s="255" t="e">
        <f>(K645/K613)*E90</f>
        <v>#DIV/0!</v>
      </c>
      <c r="L671" s="255" t="e">
        <f>(L648/L613)*E95</f>
        <v>#DIV/0!</v>
      </c>
      <c r="M671" s="231" t="e">
        <f t="shared" si="18"/>
        <v>#DIV/0!</v>
      </c>
      <c r="N671" s="249" t="s">
        <v>592</v>
      </c>
    </row>
    <row r="672" spans="1:14" s="231" customFormat="1" ht="12.6" customHeight="1" x14ac:dyDescent="0.2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 t="e">
        <f>(I630/I613)*F93</f>
        <v>#DIV/0!</v>
      </c>
      <c r="J672" s="255" t="e">
        <f>(J631/J613)*F94</f>
        <v>#DIV/0!</v>
      </c>
      <c r="K672" s="255" t="e">
        <f>(K645/K613)*F90</f>
        <v>#DIV/0!</v>
      </c>
      <c r="L672" s="255" t="e">
        <f>(L648/L613)*F95</f>
        <v>#DIV/0!</v>
      </c>
      <c r="M672" s="231" t="e">
        <f t="shared" si="18"/>
        <v>#DIV/0!</v>
      </c>
      <c r="N672" s="249" t="s">
        <v>594</v>
      </c>
    </row>
    <row r="673" spans="1:14" s="231" customFormat="1" ht="12.6" customHeight="1" x14ac:dyDescent="0.2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 t="e">
        <f>(I630/I613)*G93</f>
        <v>#DIV/0!</v>
      </c>
      <c r="J673" s="255" t="e">
        <f>(J631/J613)*G94</f>
        <v>#DIV/0!</v>
      </c>
      <c r="K673" s="255" t="e">
        <f>(K645/K613)*G90</f>
        <v>#DIV/0!</v>
      </c>
      <c r="L673" s="255" t="e">
        <f>(L648/L613)*G95</f>
        <v>#DIV/0!</v>
      </c>
      <c r="M673" s="231" t="e">
        <f t="shared" si="18"/>
        <v>#DIV/0!</v>
      </c>
      <c r="N673" s="249" t="s">
        <v>596</v>
      </c>
    </row>
    <row r="674" spans="1:14" s="231" customFormat="1" ht="12.6" customHeight="1" x14ac:dyDescent="0.2">
      <c r="A674" s="250">
        <v>6140</v>
      </c>
      <c r="B674" s="249" t="s">
        <v>597</v>
      </c>
      <c r="C674" s="255">
        <f>H86</f>
        <v>3374554.44</v>
      </c>
      <c r="D674" s="255">
        <f>(D616/D613)*H91</f>
        <v>53125.747587890342</v>
      </c>
      <c r="E674" s="257">
        <f>(E624/E613)*SUM(C674:D674)</f>
        <v>794821.49384599121</v>
      </c>
      <c r="F674" s="257">
        <f>(F625/F613)*H65</f>
        <v>568.70624612914162</v>
      </c>
      <c r="G674" s="255">
        <f>(G626/G613)*H92</f>
        <v>294373.6746360212</v>
      </c>
      <c r="H674" s="257">
        <f>(H629/H613)*H61</f>
        <v>60073.92199839223</v>
      </c>
      <c r="I674" s="255" t="e">
        <f>(I630/I613)*H93</f>
        <v>#DIV/0!</v>
      </c>
      <c r="J674" s="255" t="e">
        <f>(J631/J613)*H94</f>
        <v>#DIV/0!</v>
      </c>
      <c r="K674" s="255" t="e">
        <f>(K645/K613)*H90</f>
        <v>#DIV/0!</v>
      </c>
      <c r="L674" s="255" t="e">
        <f>(L648/L613)*H95</f>
        <v>#DIV/0!</v>
      </c>
      <c r="M674" s="231" t="e">
        <f t="shared" si="18"/>
        <v>#DIV/0!</v>
      </c>
      <c r="N674" s="249" t="s">
        <v>598</v>
      </c>
    </row>
    <row r="675" spans="1:14" s="231" customFormat="1" ht="12.6" customHeight="1" x14ac:dyDescent="0.2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 t="e">
        <f>(I630/I613)*I93</f>
        <v>#DIV/0!</v>
      </c>
      <c r="J675" s="255" t="e">
        <f>(J631/J613)*I94</f>
        <v>#DIV/0!</v>
      </c>
      <c r="K675" s="255" t="e">
        <f>(K645/K613)*I90</f>
        <v>#DIV/0!</v>
      </c>
      <c r="L675" s="255" t="e">
        <f>(L648/L613)*I95</f>
        <v>#DIV/0!</v>
      </c>
      <c r="M675" s="231" t="e">
        <f t="shared" si="18"/>
        <v>#DIV/0!</v>
      </c>
      <c r="N675" s="249" t="s">
        <v>600</v>
      </c>
    </row>
    <row r="676" spans="1:14" s="231" customFormat="1" ht="12.6" customHeight="1" x14ac:dyDescent="0.2">
      <c r="A676" s="250">
        <v>6170</v>
      </c>
      <c r="B676" s="249" t="s">
        <v>110</v>
      </c>
      <c r="C676" s="255">
        <f>J86</f>
        <v>7717</v>
      </c>
      <c r="D676" s="255">
        <f>(D616/D613)*J91</f>
        <v>9604.3448635132336</v>
      </c>
      <c r="E676" s="257">
        <f>(E624/E613)*SUM(C676:D676)</f>
        <v>4016.5290944274134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 t="e">
        <f>(I630/I613)*J93</f>
        <v>#DIV/0!</v>
      </c>
      <c r="J676" s="255" t="e">
        <f>(J631/J613)*J94</f>
        <v>#DIV/0!</v>
      </c>
      <c r="K676" s="255" t="e">
        <f>(K645/K613)*J90</f>
        <v>#DIV/0!</v>
      </c>
      <c r="L676" s="255" t="e">
        <f>(L648/L613)*J95</f>
        <v>#DIV/0!</v>
      </c>
      <c r="M676" s="231" t="e">
        <f t="shared" si="18"/>
        <v>#DIV/0!</v>
      </c>
      <c r="N676" s="249" t="s">
        <v>601</v>
      </c>
    </row>
    <row r="677" spans="1:14" s="231" customFormat="1" ht="12.6" customHeight="1" x14ac:dyDescent="0.2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 t="e">
        <f>(I630/I613)*K93</f>
        <v>#DIV/0!</v>
      </c>
      <c r="J677" s="255" t="e">
        <f>(J631/J613)*K94</f>
        <v>#DIV/0!</v>
      </c>
      <c r="K677" s="255" t="e">
        <f>(K645/K613)*K90</f>
        <v>#DIV/0!</v>
      </c>
      <c r="L677" s="255" t="e">
        <f>(L648/L613)*K95</f>
        <v>#DIV/0!</v>
      </c>
      <c r="M677" s="231" t="e">
        <f t="shared" si="18"/>
        <v>#DIV/0!</v>
      </c>
      <c r="N677" s="249" t="s">
        <v>602</v>
      </c>
    </row>
    <row r="678" spans="1:14" s="231" customFormat="1" ht="12.6" customHeight="1" x14ac:dyDescent="0.2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 t="e">
        <f>(I630/I613)*L93</f>
        <v>#DIV/0!</v>
      </c>
      <c r="J678" s="255" t="e">
        <f>(J631/J613)*L94</f>
        <v>#DIV/0!</v>
      </c>
      <c r="K678" s="255" t="e">
        <f>(K645/K613)*L90</f>
        <v>#DIV/0!</v>
      </c>
      <c r="L678" s="255" t="e">
        <f>(L648/L613)*L95</f>
        <v>#DIV/0!</v>
      </c>
      <c r="M678" s="231" t="e">
        <f t="shared" si="18"/>
        <v>#DIV/0!</v>
      </c>
      <c r="N678" s="249" t="s">
        <v>603</v>
      </c>
    </row>
    <row r="679" spans="1:14" s="231" customFormat="1" ht="12.6" customHeight="1" x14ac:dyDescent="0.2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 t="e">
        <f>(I630/I613)*M93</f>
        <v>#DIV/0!</v>
      </c>
      <c r="J679" s="255" t="e">
        <f>(J631/J613)*M94</f>
        <v>#DIV/0!</v>
      </c>
      <c r="K679" s="255" t="e">
        <f>(K645/K613)*M90</f>
        <v>#DIV/0!</v>
      </c>
      <c r="L679" s="255" t="e">
        <f>(L648/L613)*M95</f>
        <v>#DIV/0!</v>
      </c>
      <c r="M679" s="231" t="e">
        <f t="shared" si="18"/>
        <v>#DIV/0!</v>
      </c>
      <c r="N679" s="249" t="s">
        <v>605</v>
      </c>
    </row>
    <row r="680" spans="1:14" s="231" customFormat="1" ht="12.6" customHeight="1" x14ac:dyDescent="0.2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 t="e">
        <f>(I630/I613)*N93</f>
        <v>#DIV/0!</v>
      </c>
      <c r="J680" s="255" t="e">
        <f>(J631/J613)*N94</f>
        <v>#DIV/0!</v>
      </c>
      <c r="K680" s="255" t="e">
        <f>(K645/K613)*N90</f>
        <v>#DIV/0!</v>
      </c>
      <c r="L680" s="255" t="e">
        <f>(L648/L613)*N95</f>
        <v>#DIV/0!</v>
      </c>
      <c r="M680" s="231" t="e">
        <f t="shared" si="18"/>
        <v>#DIV/0!</v>
      </c>
      <c r="N680" s="249" t="s">
        <v>607</v>
      </c>
    </row>
    <row r="681" spans="1:14" s="231" customFormat="1" ht="12.6" customHeight="1" x14ac:dyDescent="0.2">
      <c r="A681" s="250">
        <v>7010</v>
      </c>
      <c r="B681" s="249" t="s">
        <v>608</v>
      </c>
      <c r="C681" s="255">
        <f>O86</f>
        <v>1953798.09</v>
      </c>
      <c r="D681" s="255">
        <f>(D616/D613)*O91</f>
        <v>121632.16745006402</v>
      </c>
      <c r="E681" s="257">
        <f>(E624/E613)*SUM(C681:D681)</f>
        <v>481257.43573541375</v>
      </c>
      <c r="F681" s="257">
        <f>(F625/F613)*O65</f>
        <v>3116.3882394838665</v>
      </c>
      <c r="G681" s="255">
        <f>(G626/G613)*O92</f>
        <v>43844.248552524179</v>
      </c>
      <c r="H681" s="257">
        <f>(H629/H613)*O61</f>
        <v>21088.63649854008</v>
      </c>
      <c r="I681" s="255" t="e">
        <f>(I630/I613)*O93</f>
        <v>#DIV/0!</v>
      </c>
      <c r="J681" s="255" t="e">
        <f>(J631/J613)*O94</f>
        <v>#DIV/0!</v>
      </c>
      <c r="K681" s="255" t="e">
        <f>(K645/K613)*O90</f>
        <v>#DIV/0!</v>
      </c>
      <c r="L681" s="255" t="e">
        <f>(L648/L613)*O95</f>
        <v>#DIV/0!</v>
      </c>
      <c r="M681" s="231" t="e">
        <f t="shared" si="18"/>
        <v>#DIV/0!</v>
      </c>
      <c r="N681" s="249" t="s">
        <v>609</v>
      </c>
    </row>
    <row r="682" spans="1:14" s="231" customFormat="1" ht="12.6" customHeight="1" x14ac:dyDescent="0.2">
      <c r="A682" s="250">
        <v>7020</v>
      </c>
      <c r="B682" s="249" t="s">
        <v>610</v>
      </c>
      <c r="C682" s="255">
        <f>P86</f>
        <v>5499516.7000000002</v>
      </c>
      <c r="D682" s="255">
        <f>(D616/D613)*P91</f>
        <v>33615.207022296316</v>
      </c>
      <c r="E682" s="257">
        <f>(E624/E613)*SUM(C682:D682)</f>
        <v>1283040.4026348835</v>
      </c>
      <c r="F682" s="257">
        <f>(F625/F613)*P65</f>
        <v>92110.575323977027</v>
      </c>
      <c r="G682" s="255">
        <f>(G626/G613)*P92</f>
        <v>0</v>
      </c>
      <c r="H682" s="257">
        <f>(H629/H613)*P61</f>
        <v>46929.389214863426</v>
      </c>
      <c r="I682" s="255" t="e">
        <f>(I630/I613)*P93</f>
        <v>#DIV/0!</v>
      </c>
      <c r="J682" s="255" t="e">
        <f>(J631/J613)*P94</f>
        <v>#DIV/0!</v>
      </c>
      <c r="K682" s="255" t="e">
        <f>(K645/K613)*P90</f>
        <v>#DIV/0!</v>
      </c>
      <c r="L682" s="255" t="e">
        <f>(L648/L613)*P95</f>
        <v>#DIV/0!</v>
      </c>
      <c r="M682" s="231" t="e">
        <f t="shared" si="18"/>
        <v>#DIV/0!</v>
      </c>
      <c r="N682" s="249" t="s">
        <v>611</v>
      </c>
    </row>
    <row r="683" spans="1:14" s="231" customFormat="1" ht="12.6" customHeight="1" x14ac:dyDescent="0.2">
      <c r="A683" s="250">
        <v>7030</v>
      </c>
      <c r="B683" s="249" t="s">
        <v>612</v>
      </c>
      <c r="C683" s="255">
        <f>Q86</f>
        <v>387096.28</v>
      </c>
      <c r="D683" s="255">
        <f>(D616/D613)*Q91</f>
        <v>53578.523845741678</v>
      </c>
      <c r="E683" s="257">
        <f>(E624/E613)*SUM(C683:D683)</f>
        <v>102185.08925111921</v>
      </c>
      <c r="F683" s="257">
        <f>(F625/F613)*Q65</f>
        <v>1555.4964945440267</v>
      </c>
      <c r="G683" s="255">
        <f>(G626/G613)*Q92</f>
        <v>0</v>
      </c>
      <c r="H683" s="257">
        <f>(H629/H613)*Q61</f>
        <v>4250.0058249608837</v>
      </c>
      <c r="I683" s="255" t="e">
        <f>(I630/I613)*Q93</f>
        <v>#DIV/0!</v>
      </c>
      <c r="J683" s="255" t="e">
        <f>(J631/J613)*Q94</f>
        <v>#DIV/0!</v>
      </c>
      <c r="K683" s="255" t="e">
        <f>(K645/K613)*Q90</f>
        <v>#DIV/0!</v>
      </c>
      <c r="L683" s="255" t="e">
        <f>(L648/L613)*Q95</f>
        <v>#DIV/0!</v>
      </c>
      <c r="M683" s="231" t="e">
        <f t="shared" si="18"/>
        <v>#DIV/0!</v>
      </c>
      <c r="N683" s="249" t="s">
        <v>613</v>
      </c>
    </row>
    <row r="684" spans="1:14" s="231" customFormat="1" ht="12.6" customHeight="1" x14ac:dyDescent="0.2">
      <c r="A684" s="250">
        <v>7040</v>
      </c>
      <c r="B684" s="249" t="s">
        <v>118</v>
      </c>
      <c r="C684" s="255">
        <f>R86</f>
        <v>297639.01999999996</v>
      </c>
      <c r="D684" s="255">
        <f>(D616/D613)*R91</f>
        <v>2195.2788259458821</v>
      </c>
      <c r="E684" s="257">
        <f>(E624/E613)*SUM(C684:D684)</f>
        <v>69526.540475413844</v>
      </c>
      <c r="F684" s="257">
        <f>(F625/F613)*R65</f>
        <v>1146.2302125746551</v>
      </c>
      <c r="G684" s="255">
        <f>(G626/G613)*R92</f>
        <v>0</v>
      </c>
      <c r="H684" s="257">
        <f>(H629/H613)*R61</f>
        <v>0</v>
      </c>
      <c r="I684" s="255" t="e">
        <f>(I630/I613)*R93</f>
        <v>#DIV/0!</v>
      </c>
      <c r="J684" s="255" t="e">
        <f>(J631/J613)*R94</f>
        <v>#DIV/0!</v>
      </c>
      <c r="K684" s="255" t="e">
        <f>(K645/K613)*R90</f>
        <v>#DIV/0!</v>
      </c>
      <c r="L684" s="255" t="e">
        <f>(L648/L613)*R95</f>
        <v>#DIV/0!</v>
      </c>
      <c r="M684" s="231" t="e">
        <f t="shared" si="18"/>
        <v>#DIV/0!</v>
      </c>
      <c r="N684" s="249" t="s">
        <v>614</v>
      </c>
    </row>
    <row r="685" spans="1:14" s="231" customFormat="1" ht="12.6" customHeight="1" x14ac:dyDescent="0.2">
      <c r="A685" s="250">
        <v>7050</v>
      </c>
      <c r="B685" s="249" t="s">
        <v>615</v>
      </c>
      <c r="C685" s="255">
        <f>S86</f>
        <v>57041.39</v>
      </c>
      <c r="D685" s="255">
        <f>(D616/D613)*S91</f>
        <v>0</v>
      </c>
      <c r="E685" s="257">
        <f>(E624/E613)*SUM(C685:D685)</f>
        <v>13226.940767410571</v>
      </c>
      <c r="F685" s="257">
        <f>(F625/F613)*S65</f>
        <v>1994.507984285364</v>
      </c>
      <c r="G685" s="255">
        <f>(G626/G613)*S92</f>
        <v>0</v>
      </c>
      <c r="H685" s="257">
        <f>(H629/H613)*S61</f>
        <v>0</v>
      </c>
      <c r="I685" s="255" t="e">
        <f>(I630/I613)*S93</f>
        <v>#DIV/0!</v>
      </c>
      <c r="J685" s="255" t="e">
        <f>(J631/J613)*S94</f>
        <v>#DIV/0!</v>
      </c>
      <c r="K685" s="255" t="e">
        <f>(K645/K613)*S90</f>
        <v>#DIV/0!</v>
      </c>
      <c r="L685" s="255" t="e">
        <f>(L648/L613)*S95</f>
        <v>#DIV/0!</v>
      </c>
      <c r="M685" s="231" t="e">
        <f t="shared" si="18"/>
        <v>#DIV/0!</v>
      </c>
      <c r="N685" s="249" t="s">
        <v>616</v>
      </c>
    </row>
    <row r="686" spans="1:14" s="231" customFormat="1" ht="12.6" customHeight="1" x14ac:dyDescent="0.2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 t="e">
        <f>(I630/I613)*T93</f>
        <v>#DIV/0!</v>
      </c>
      <c r="J686" s="255" t="e">
        <f>(J631/J613)*T94</f>
        <v>#DIV/0!</v>
      </c>
      <c r="K686" s="255" t="e">
        <f>(K645/K613)*T90</f>
        <v>#DIV/0!</v>
      </c>
      <c r="L686" s="255" t="e">
        <f>(L648/L613)*T95</f>
        <v>#DIV/0!</v>
      </c>
      <c r="M686" s="231" t="e">
        <f t="shared" si="18"/>
        <v>#DIV/0!</v>
      </c>
      <c r="N686" s="249" t="s">
        <v>618</v>
      </c>
    </row>
    <row r="687" spans="1:14" s="231" customFormat="1" ht="12.6" customHeight="1" x14ac:dyDescent="0.2">
      <c r="A687" s="250">
        <v>7070</v>
      </c>
      <c r="B687" s="249" t="s">
        <v>121</v>
      </c>
      <c r="C687" s="255">
        <f>U86</f>
        <v>2463692.3600000003</v>
      </c>
      <c r="D687" s="255">
        <f>(D616/D613)*U91</f>
        <v>37607.870386985393</v>
      </c>
      <c r="E687" s="257">
        <f>(E624/E613)*SUM(C687:D687)</f>
        <v>580009.53323260671</v>
      </c>
      <c r="F687" s="257">
        <f>(F625/F613)*U65</f>
        <v>24920.237440948502</v>
      </c>
      <c r="G687" s="255">
        <f>(G626/G613)*U92</f>
        <v>0</v>
      </c>
      <c r="H687" s="257">
        <f>(H629/H613)*U61</f>
        <v>63050.719327267783</v>
      </c>
      <c r="I687" s="255" t="e">
        <f>(I630/I613)*U93</f>
        <v>#DIV/0!</v>
      </c>
      <c r="J687" s="255" t="e">
        <f>(J631/J613)*U94</f>
        <v>#DIV/0!</v>
      </c>
      <c r="K687" s="255" t="e">
        <f>(K645/K613)*U90</f>
        <v>#DIV/0!</v>
      </c>
      <c r="L687" s="255" t="e">
        <f>(L648/L613)*U95</f>
        <v>#DIV/0!</v>
      </c>
      <c r="M687" s="231" t="e">
        <f t="shared" si="18"/>
        <v>#DIV/0!</v>
      </c>
      <c r="N687" s="249" t="s">
        <v>619</v>
      </c>
    </row>
    <row r="688" spans="1:14" s="231" customFormat="1" ht="12.6" customHeight="1" x14ac:dyDescent="0.2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 t="e">
        <f>(I630/I613)*V93</f>
        <v>#DIV/0!</v>
      </c>
      <c r="J688" s="255" t="e">
        <f>(J631/J613)*V94</f>
        <v>#DIV/0!</v>
      </c>
      <c r="K688" s="255" t="e">
        <f>(K645/K613)*V90</f>
        <v>#DIV/0!</v>
      </c>
      <c r="L688" s="255" t="e">
        <f>(L648/L613)*V95</f>
        <v>#DIV/0!</v>
      </c>
      <c r="M688" s="231" t="e">
        <f t="shared" si="18"/>
        <v>#DIV/0!</v>
      </c>
      <c r="N688" s="249" t="s">
        <v>621</v>
      </c>
    </row>
    <row r="689" spans="1:14" s="231" customFormat="1" ht="12.6" customHeight="1" x14ac:dyDescent="0.2">
      <c r="A689" s="250">
        <v>7120</v>
      </c>
      <c r="B689" s="249" t="s">
        <v>622</v>
      </c>
      <c r="C689" s="255">
        <f>W86</f>
        <v>178633.03</v>
      </c>
      <c r="D689" s="255">
        <f>(D616/D613)*W91</f>
        <v>0</v>
      </c>
      <c r="E689" s="257">
        <f>(E624/E613)*SUM(C689:D689)</f>
        <v>41422.000882395674</v>
      </c>
      <c r="F689" s="257">
        <f>(F625/F613)*W65</f>
        <v>0.18881628086449095</v>
      </c>
      <c r="G689" s="255">
        <f>(G626/G613)*W92</f>
        <v>0</v>
      </c>
      <c r="H689" s="257">
        <f>(H629/H613)*W61</f>
        <v>609.70547699860776</v>
      </c>
      <c r="I689" s="255" t="e">
        <f>(I630/I613)*W93</f>
        <v>#DIV/0!</v>
      </c>
      <c r="J689" s="255" t="e">
        <f>(J631/J613)*W94</f>
        <v>#DIV/0!</v>
      </c>
      <c r="K689" s="255" t="e">
        <f>(K645/K613)*W90</f>
        <v>#DIV/0!</v>
      </c>
      <c r="L689" s="255" t="e">
        <f>(L648/L613)*W95</f>
        <v>#DIV/0!</v>
      </c>
      <c r="M689" s="231" t="e">
        <f t="shared" si="18"/>
        <v>#DIV/0!</v>
      </c>
      <c r="N689" s="249" t="s">
        <v>623</v>
      </c>
    </row>
    <row r="690" spans="1:14" s="231" customFormat="1" ht="12.6" customHeight="1" x14ac:dyDescent="0.2">
      <c r="A690" s="250">
        <v>7130</v>
      </c>
      <c r="B690" s="249" t="s">
        <v>624</v>
      </c>
      <c r="C690" s="255">
        <f>X86</f>
        <v>133415.26999999999</v>
      </c>
      <c r="D690" s="255">
        <f>(D616/D613)*X91</f>
        <v>0</v>
      </c>
      <c r="E690" s="257">
        <f>(E624/E613)*SUM(C690:D690)</f>
        <v>30936.761424609194</v>
      </c>
      <c r="F690" s="257">
        <f>(F625/F613)*X65</f>
        <v>1137.9257928144111</v>
      </c>
      <c r="G690" s="255">
        <f>(G626/G613)*X92</f>
        <v>0</v>
      </c>
      <c r="H690" s="257">
        <f>(H629/H613)*X61</f>
        <v>1864.981459054565</v>
      </c>
      <c r="I690" s="255" t="e">
        <f>(I630/I613)*X93</f>
        <v>#DIV/0!</v>
      </c>
      <c r="J690" s="255" t="e">
        <f>(J631/J613)*X94</f>
        <v>#DIV/0!</v>
      </c>
      <c r="K690" s="255" t="e">
        <f>(K645/K613)*X90</f>
        <v>#DIV/0!</v>
      </c>
      <c r="L690" s="255" t="e">
        <f>(L648/L613)*X95</f>
        <v>#DIV/0!</v>
      </c>
      <c r="M690" s="231" t="e">
        <f t="shared" si="18"/>
        <v>#DIV/0!</v>
      </c>
      <c r="N690" s="249" t="s">
        <v>625</v>
      </c>
    </row>
    <row r="691" spans="1:14" s="231" customFormat="1" ht="12.6" customHeight="1" x14ac:dyDescent="0.2">
      <c r="A691" s="250">
        <v>7140</v>
      </c>
      <c r="B691" s="249" t="s">
        <v>626</v>
      </c>
      <c r="C691" s="255">
        <f>Y86</f>
        <v>1492851.0299999998</v>
      </c>
      <c r="D691" s="255">
        <f>(D616/D613)*Y91</f>
        <v>55952.169076295664</v>
      </c>
      <c r="E691" s="257">
        <f>(E624/E613)*SUM(C691:D691)</f>
        <v>359141.46156954038</v>
      </c>
      <c r="F691" s="257">
        <f>(F625/F613)*Y65</f>
        <v>1000.2937594347106</v>
      </c>
      <c r="G691" s="255">
        <f>(G626/G613)*Y92</f>
        <v>0</v>
      </c>
      <c r="H691" s="257">
        <f>(H629/H613)*Y61</f>
        <v>43880.861829870388</v>
      </c>
      <c r="I691" s="255" t="e">
        <f>(I630/I613)*Y93</f>
        <v>#DIV/0!</v>
      </c>
      <c r="J691" s="255" t="e">
        <f>(J631/J613)*Y94</f>
        <v>#DIV/0!</v>
      </c>
      <c r="K691" s="255" t="e">
        <f>(K645/K613)*Y90</f>
        <v>#DIV/0!</v>
      </c>
      <c r="L691" s="255" t="e">
        <f>(L648/L613)*Y95</f>
        <v>#DIV/0!</v>
      </c>
      <c r="M691" s="231" t="e">
        <f t="shared" si="18"/>
        <v>#DIV/0!</v>
      </c>
      <c r="N691" s="249" t="s">
        <v>627</v>
      </c>
    </row>
    <row r="692" spans="1:14" s="231" customFormat="1" ht="12.6" customHeight="1" x14ac:dyDescent="0.2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 t="e">
        <f>(I630/I613)*Z93</f>
        <v>#DIV/0!</v>
      </c>
      <c r="J692" s="255" t="e">
        <f>(J631/J613)*Z94</f>
        <v>#DIV/0!</v>
      </c>
      <c r="K692" s="255" t="e">
        <f>(K645/K613)*Z90</f>
        <v>#DIV/0!</v>
      </c>
      <c r="L692" s="255" t="e">
        <f>(L648/L613)*Z95</f>
        <v>#DIV/0!</v>
      </c>
      <c r="M692" s="231" t="e">
        <f t="shared" si="18"/>
        <v>#DIV/0!</v>
      </c>
      <c r="N692" s="249" t="s">
        <v>629</v>
      </c>
    </row>
    <row r="693" spans="1:14" s="231" customFormat="1" ht="12.6" customHeight="1" x14ac:dyDescent="0.2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 t="e">
        <f>(I630/I613)*AA93</f>
        <v>#DIV/0!</v>
      </c>
      <c r="J693" s="255" t="e">
        <f>(J631/J613)*AA94</f>
        <v>#DIV/0!</v>
      </c>
      <c r="K693" s="255" t="e">
        <f>(K645/K613)*AA90</f>
        <v>#DIV/0!</v>
      </c>
      <c r="L693" s="255" t="e">
        <f>(L648/L613)*AA95</f>
        <v>#DIV/0!</v>
      </c>
      <c r="M693" s="231" t="e">
        <f t="shared" si="18"/>
        <v>#DIV/0!</v>
      </c>
      <c r="N693" s="249" t="s">
        <v>631</v>
      </c>
    </row>
    <row r="694" spans="1:14" s="231" customFormat="1" ht="12.6" customHeight="1" x14ac:dyDescent="0.2">
      <c r="A694" s="250">
        <v>7170</v>
      </c>
      <c r="B694" s="249" t="s">
        <v>127</v>
      </c>
      <c r="C694" s="255">
        <f>AB86</f>
        <v>1312295.73</v>
      </c>
      <c r="D694" s="255">
        <f>(D616/D613)*AB91</f>
        <v>14571.163207215792</v>
      </c>
      <c r="E694" s="257">
        <f>(E624/E613)*SUM(C694:D694)</f>
        <v>307678.15796020982</v>
      </c>
      <c r="F694" s="257">
        <f>(F625/F613)*AB65</f>
        <v>23311.131808349699</v>
      </c>
      <c r="G694" s="255">
        <f>(G626/G613)*AB92</f>
        <v>0</v>
      </c>
      <c r="H694" s="257">
        <f>(H629/H613)*AB61</f>
        <v>15063.311784671487</v>
      </c>
      <c r="I694" s="255" t="e">
        <f>(I630/I613)*AB93</f>
        <v>#DIV/0!</v>
      </c>
      <c r="J694" s="255" t="e">
        <f>(J631/J613)*AB94</f>
        <v>#DIV/0!</v>
      </c>
      <c r="K694" s="255" t="e">
        <f>(K645/K613)*AB90</f>
        <v>#DIV/0!</v>
      </c>
      <c r="L694" s="255" t="e">
        <f>(L648/L613)*AB95</f>
        <v>#DIV/0!</v>
      </c>
      <c r="M694" s="231" t="e">
        <f t="shared" si="18"/>
        <v>#DIV/0!</v>
      </c>
      <c r="N694" s="249" t="s">
        <v>632</v>
      </c>
    </row>
    <row r="695" spans="1:14" s="231" customFormat="1" ht="12.6" customHeight="1" x14ac:dyDescent="0.2">
      <c r="A695" s="250">
        <v>7180</v>
      </c>
      <c r="B695" s="249" t="s">
        <v>633</v>
      </c>
      <c r="C695" s="255">
        <f>AC86</f>
        <v>248775.07000000004</v>
      </c>
      <c r="D695" s="255">
        <f>(D616/D613)*AC91</f>
        <v>11552.654821540204</v>
      </c>
      <c r="E695" s="257">
        <f>(E624/E613)*SUM(C695:D695)</f>
        <v>60365.62917434641</v>
      </c>
      <c r="F695" s="257">
        <f>(F625/F613)*AC65</f>
        <v>1441.8825914098481</v>
      </c>
      <c r="G695" s="255">
        <f>(G626/G613)*AC92</f>
        <v>0</v>
      </c>
      <c r="H695" s="257">
        <f>(H629/H613)*AC61</f>
        <v>8159.2938833637209</v>
      </c>
      <c r="I695" s="255" t="e">
        <f>(I630/I613)*AC93</f>
        <v>#DIV/0!</v>
      </c>
      <c r="J695" s="255" t="e">
        <f>(J631/J613)*AC94</f>
        <v>#DIV/0!</v>
      </c>
      <c r="K695" s="255" t="e">
        <f>(K645/K613)*AC90</f>
        <v>#DIV/0!</v>
      </c>
      <c r="L695" s="255" t="e">
        <f>(L648/L613)*AC95</f>
        <v>#DIV/0!</v>
      </c>
      <c r="M695" s="231" t="e">
        <f t="shared" si="18"/>
        <v>#DIV/0!</v>
      </c>
      <c r="N695" s="249" t="s">
        <v>634</v>
      </c>
    </row>
    <row r="696" spans="1:14" s="231" customFormat="1" ht="12.6" customHeight="1" x14ac:dyDescent="0.2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 t="e">
        <f>(I630/I613)*AD93</f>
        <v>#DIV/0!</v>
      </c>
      <c r="J696" s="255" t="e">
        <f>(J631/J613)*AD94</f>
        <v>#DIV/0!</v>
      </c>
      <c r="K696" s="255" t="e">
        <f>(K645/K613)*AD90</f>
        <v>#DIV/0!</v>
      </c>
      <c r="L696" s="255" t="e">
        <f>(L648/L613)*AD95</f>
        <v>#DIV/0!</v>
      </c>
      <c r="M696" s="231" t="e">
        <f t="shared" si="18"/>
        <v>#DIV/0!</v>
      </c>
      <c r="N696" s="249" t="s">
        <v>635</v>
      </c>
    </row>
    <row r="697" spans="1:14" s="231" customFormat="1" ht="12.6" customHeight="1" x14ac:dyDescent="0.2">
      <c r="A697" s="250">
        <v>7200</v>
      </c>
      <c r="B697" s="249" t="s">
        <v>636</v>
      </c>
      <c r="C697" s="255">
        <f>AE86</f>
        <v>94508.83</v>
      </c>
      <c r="D697" s="255">
        <f>(D616/D613)*AE91</f>
        <v>7546.2709641889687</v>
      </c>
      <c r="E697" s="257">
        <f>(E624/E613)*SUM(C697:D697)</f>
        <v>23664.864679234379</v>
      </c>
      <c r="F697" s="257">
        <f>(F625/F613)*AE65</f>
        <v>14.0762537384478</v>
      </c>
      <c r="G697" s="255">
        <f>(G626/G613)*AE92</f>
        <v>0</v>
      </c>
      <c r="H697" s="257">
        <f>(H629/H613)*AE61</f>
        <v>376.58279461678711</v>
      </c>
      <c r="I697" s="255" t="e">
        <f>(I630/I613)*AE93</f>
        <v>#DIV/0!</v>
      </c>
      <c r="J697" s="255" t="e">
        <f>(J631/J613)*AE94</f>
        <v>#DIV/0!</v>
      </c>
      <c r="K697" s="255" t="e">
        <f>(K645/K613)*AE90</f>
        <v>#DIV/0!</v>
      </c>
      <c r="L697" s="255" t="e">
        <f>(L648/L613)*AE95</f>
        <v>#DIV/0!</v>
      </c>
      <c r="M697" s="231" t="e">
        <f t="shared" si="18"/>
        <v>#DIV/0!</v>
      </c>
      <c r="N697" s="249" t="s">
        <v>637</v>
      </c>
    </row>
    <row r="698" spans="1:14" s="231" customFormat="1" ht="12.6" customHeight="1" x14ac:dyDescent="0.2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 t="e">
        <f>(I630/I613)*AF93</f>
        <v>#DIV/0!</v>
      </c>
      <c r="J698" s="255" t="e">
        <f>(J631/J613)*AF94</f>
        <v>#DIV/0!</v>
      </c>
      <c r="K698" s="255" t="e">
        <f>(K645/K613)*AF90</f>
        <v>#DIV/0!</v>
      </c>
      <c r="L698" s="255" t="e">
        <f>(L648/L613)*AF95</f>
        <v>#DIV/0!</v>
      </c>
      <c r="M698" s="231" t="e">
        <f t="shared" si="18"/>
        <v>#DIV/0!</v>
      </c>
      <c r="N698" s="249" t="s">
        <v>639</v>
      </c>
    </row>
    <row r="699" spans="1:14" s="231" customFormat="1" ht="12.6" customHeight="1" x14ac:dyDescent="0.2">
      <c r="A699" s="250">
        <v>7230</v>
      </c>
      <c r="B699" s="249" t="s">
        <v>640</v>
      </c>
      <c r="C699" s="255">
        <f>AG86</f>
        <v>3214270.8499999996</v>
      </c>
      <c r="D699" s="255">
        <f>(D616/D613)*AG91</f>
        <v>63470.999055160311</v>
      </c>
      <c r="E699" s="257">
        <f>(E624/E613)*SUM(C699:D699)</f>
        <v>760053.31020712166</v>
      </c>
      <c r="F699" s="257">
        <f>(F625/F613)*AG65</f>
        <v>10136.435250495433</v>
      </c>
      <c r="G699" s="255">
        <f>(G626/G613)*AG92</f>
        <v>0</v>
      </c>
      <c r="H699" s="257">
        <f>(H629/H613)*AG61</f>
        <v>81072.895926785466</v>
      </c>
      <c r="I699" s="255" t="e">
        <f>(I630/I613)*AG93</f>
        <v>#DIV/0!</v>
      </c>
      <c r="J699" s="255" t="e">
        <f>(J631/J613)*AG94</f>
        <v>#DIV/0!</v>
      </c>
      <c r="K699" s="255" t="e">
        <f>(K645/K613)*AG90</f>
        <v>#DIV/0!</v>
      </c>
      <c r="L699" s="255" t="e">
        <f>(L648/L613)*AG95</f>
        <v>#DIV/0!</v>
      </c>
      <c r="M699" s="231" t="e">
        <f t="shared" si="18"/>
        <v>#DIV/0!</v>
      </c>
      <c r="N699" s="249" t="s">
        <v>641</v>
      </c>
    </row>
    <row r="700" spans="1:14" s="231" customFormat="1" ht="12.6" customHeight="1" x14ac:dyDescent="0.2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 t="e">
        <f>(I630/I613)*AH93</f>
        <v>#DIV/0!</v>
      </c>
      <c r="J700" s="255" t="e">
        <f>(J631/J613)*AH94</f>
        <v>#DIV/0!</v>
      </c>
      <c r="K700" s="255" t="e">
        <f>(K645/K613)*AH90</f>
        <v>#DIV/0!</v>
      </c>
      <c r="L700" s="255" t="e">
        <f>(L648/L613)*AH95</f>
        <v>#DIV/0!</v>
      </c>
      <c r="M700" s="231" t="e">
        <f t="shared" si="18"/>
        <v>#DIV/0!</v>
      </c>
      <c r="N700" s="249" t="s">
        <v>642</v>
      </c>
    </row>
    <row r="701" spans="1:14" s="231" customFormat="1" ht="12.6" customHeight="1" x14ac:dyDescent="0.2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 t="e">
        <f>(I630/I613)*AI93</f>
        <v>#DIV/0!</v>
      </c>
      <c r="J701" s="255" t="e">
        <f>(J631/J613)*AI94</f>
        <v>#DIV/0!</v>
      </c>
      <c r="K701" s="255" t="e">
        <f>(K645/K613)*AI90</f>
        <v>#DIV/0!</v>
      </c>
      <c r="L701" s="255" t="e">
        <f>(L648/L613)*AI95</f>
        <v>#DIV/0!</v>
      </c>
      <c r="M701" s="231" t="e">
        <f t="shared" si="18"/>
        <v>#DIV/0!</v>
      </c>
      <c r="N701" s="249" t="s">
        <v>644</v>
      </c>
    </row>
    <row r="702" spans="1:14" s="231" customFormat="1" ht="12.6" customHeight="1" x14ac:dyDescent="0.2">
      <c r="A702" s="250">
        <v>7260</v>
      </c>
      <c r="B702" s="249" t="s">
        <v>133</v>
      </c>
      <c r="C702" s="255">
        <f>AJ86</f>
        <v>8919283.9900000002</v>
      </c>
      <c r="D702" s="255">
        <f>(D616/D613)*AJ91</f>
        <v>0</v>
      </c>
      <c r="E702" s="257">
        <f>(E624/E613)*SUM(C702:D702)</f>
        <v>2068232.2261684618</v>
      </c>
      <c r="F702" s="257">
        <f>(F625/F613)*AJ65</f>
        <v>12026.938681703503</v>
      </c>
      <c r="G702" s="255">
        <f>(G626/G613)*AJ92</f>
        <v>0</v>
      </c>
      <c r="H702" s="257">
        <f>(H629/H613)*AJ61</f>
        <v>152982.27718456244</v>
      </c>
      <c r="I702" s="255" t="e">
        <f>(I630/I613)*AJ93</f>
        <v>#DIV/0!</v>
      </c>
      <c r="J702" s="255" t="e">
        <f>(J631/J613)*AJ94</f>
        <v>#DIV/0!</v>
      </c>
      <c r="K702" s="255" t="e">
        <f>(K645/K613)*AJ90</f>
        <v>#DIV/0!</v>
      </c>
      <c r="L702" s="255" t="e">
        <f>(L648/L613)*AJ95</f>
        <v>#DIV/0!</v>
      </c>
      <c r="M702" s="231" t="e">
        <f t="shared" si="18"/>
        <v>#DIV/0!</v>
      </c>
      <c r="N702" s="249" t="s">
        <v>645</v>
      </c>
    </row>
    <row r="703" spans="1:14" s="231" customFormat="1" ht="12.6" customHeight="1" x14ac:dyDescent="0.2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 t="e">
        <f>(I630/I613)*AK93</f>
        <v>#DIV/0!</v>
      </c>
      <c r="J703" s="255" t="e">
        <f>(J631/J613)*AK94</f>
        <v>#DIV/0!</v>
      </c>
      <c r="K703" s="255" t="e">
        <f>(K645/K613)*AK90</f>
        <v>#DIV/0!</v>
      </c>
      <c r="L703" s="255" t="e">
        <f>(L648/L613)*AK95</f>
        <v>#DIV/0!</v>
      </c>
      <c r="M703" s="231" t="e">
        <f t="shared" si="18"/>
        <v>#DIV/0!</v>
      </c>
      <c r="N703" s="249" t="s">
        <v>647</v>
      </c>
    </row>
    <row r="704" spans="1:14" s="231" customFormat="1" ht="12.6" customHeight="1" x14ac:dyDescent="0.2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 t="e">
        <f>(I630/I613)*AL93</f>
        <v>#DIV/0!</v>
      </c>
      <c r="J704" s="255" t="e">
        <f>(J631/J613)*AL94</f>
        <v>#DIV/0!</v>
      </c>
      <c r="K704" s="255" t="e">
        <f>(K645/K613)*AL90</f>
        <v>#DIV/0!</v>
      </c>
      <c r="L704" s="255" t="e">
        <f>(L648/L613)*AL95</f>
        <v>#DIV/0!</v>
      </c>
      <c r="M704" s="231" t="e">
        <f t="shared" si="18"/>
        <v>#DIV/0!</v>
      </c>
      <c r="N704" s="249" t="s">
        <v>649</v>
      </c>
    </row>
    <row r="705" spans="1:14" s="231" customFormat="1" ht="12.6" customHeight="1" x14ac:dyDescent="0.2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 t="e">
        <f>(I630/I613)*AM93</f>
        <v>#DIV/0!</v>
      </c>
      <c r="J705" s="255" t="e">
        <f>(J631/J613)*AM94</f>
        <v>#DIV/0!</v>
      </c>
      <c r="K705" s="255" t="e">
        <f>(K645/K613)*AM90</f>
        <v>#DIV/0!</v>
      </c>
      <c r="L705" s="255" t="e">
        <f>(L648/L613)*AM95</f>
        <v>#DIV/0!</v>
      </c>
      <c r="M705" s="231" t="e">
        <f t="shared" si="18"/>
        <v>#DIV/0!</v>
      </c>
      <c r="N705" s="249" t="s">
        <v>651</v>
      </c>
    </row>
    <row r="706" spans="1:14" s="231" customFormat="1" ht="12.6" customHeight="1" x14ac:dyDescent="0.2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 t="e">
        <f>(I630/I613)*AN93</f>
        <v>#DIV/0!</v>
      </c>
      <c r="J706" s="255" t="e">
        <f>(J631/J613)*AN94</f>
        <v>#DIV/0!</v>
      </c>
      <c r="K706" s="255" t="e">
        <f>(K645/K613)*AN90</f>
        <v>#DIV/0!</v>
      </c>
      <c r="L706" s="255" t="e">
        <f>(L648/L613)*AN95</f>
        <v>#DIV/0!</v>
      </c>
      <c r="M706" s="231" t="e">
        <f t="shared" si="18"/>
        <v>#DIV/0!</v>
      </c>
      <c r="N706" s="249" t="s">
        <v>653</v>
      </c>
    </row>
    <row r="707" spans="1:14" s="231" customFormat="1" ht="12.6" customHeight="1" x14ac:dyDescent="0.2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 t="e">
        <f>(I630/I613)*AO93</f>
        <v>#DIV/0!</v>
      </c>
      <c r="J707" s="255" t="e">
        <f>(J631/J613)*AO94</f>
        <v>#DIV/0!</v>
      </c>
      <c r="K707" s="255" t="e">
        <f>(K645/K613)*AO90</f>
        <v>#DIV/0!</v>
      </c>
      <c r="L707" s="255" t="e">
        <f>(L648/L613)*AO95</f>
        <v>#DIV/0!</v>
      </c>
      <c r="M707" s="231" t="e">
        <f t="shared" si="18"/>
        <v>#DIV/0!</v>
      </c>
      <c r="N707" s="249" t="s">
        <v>655</v>
      </c>
    </row>
    <row r="708" spans="1:14" s="231" customFormat="1" ht="12.6" customHeight="1" x14ac:dyDescent="0.2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 t="e">
        <f>(I630/I613)*AP93</f>
        <v>#DIV/0!</v>
      </c>
      <c r="J708" s="255" t="e">
        <f>(J631/J613)*AP94</f>
        <v>#DIV/0!</v>
      </c>
      <c r="K708" s="255" t="e">
        <f>(K645/K613)*AP90</f>
        <v>#DIV/0!</v>
      </c>
      <c r="L708" s="255" t="e">
        <f>(L648/L613)*AP95</f>
        <v>#DIV/0!</v>
      </c>
      <c r="M708" s="231" t="e">
        <f t="shared" si="18"/>
        <v>#DIV/0!</v>
      </c>
      <c r="N708" s="249" t="s">
        <v>657</v>
      </c>
    </row>
    <row r="709" spans="1:14" s="231" customFormat="1" ht="12.6" customHeight="1" x14ac:dyDescent="0.2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 t="e">
        <f>(I630/I613)*AQ93</f>
        <v>#DIV/0!</v>
      </c>
      <c r="J709" s="255" t="e">
        <f>(J631/J613)*AQ94</f>
        <v>#DIV/0!</v>
      </c>
      <c r="K709" s="255" t="e">
        <f>(K645/K613)*AQ90</f>
        <v>#DIV/0!</v>
      </c>
      <c r="L709" s="255" t="e">
        <f>(L648/L613)*AQ95</f>
        <v>#DIV/0!</v>
      </c>
      <c r="M709" s="231" t="e">
        <f t="shared" si="18"/>
        <v>#DIV/0!</v>
      </c>
      <c r="N709" s="249" t="s">
        <v>659</v>
      </c>
    </row>
    <row r="710" spans="1:14" s="231" customFormat="1" ht="12.6" customHeight="1" x14ac:dyDescent="0.2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 t="e">
        <f>(I630/I613)*AR93</f>
        <v>#DIV/0!</v>
      </c>
      <c r="J710" s="255" t="e">
        <f>(J631/J613)*AR94</f>
        <v>#DIV/0!</v>
      </c>
      <c r="K710" s="255" t="e">
        <f>(K645/K613)*AR90</f>
        <v>#DIV/0!</v>
      </c>
      <c r="L710" s="255" t="e">
        <f>(L648/L613)*AR95</f>
        <v>#DIV/0!</v>
      </c>
      <c r="M710" s="231" t="e">
        <f t="shared" si="18"/>
        <v>#DIV/0!</v>
      </c>
      <c r="N710" s="249" t="s">
        <v>661</v>
      </c>
    </row>
    <row r="711" spans="1:14" s="231" customFormat="1" ht="12.6" customHeight="1" x14ac:dyDescent="0.2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 t="e">
        <f>(I630/I613)*AS93</f>
        <v>#DIV/0!</v>
      </c>
      <c r="J711" s="255" t="e">
        <f>(J631/J613)*AS94</f>
        <v>#DIV/0!</v>
      </c>
      <c r="K711" s="255" t="e">
        <f>(K645/K613)*AS90</f>
        <v>#DIV/0!</v>
      </c>
      <c r="L711" s="255" t="e">
        <f>(L648/L613)*AS95</f>
        <v>#DIV/0!</v>
      </c>
      <c r="M711" s="231" t="e">
        <f t="shared" si="18"/>
        <v>#DIV/0!</v>
      </c>
      <c r="N711" s="249" t="s">
        <v>662</v>
      </c>
    </row>
    <row r="712" spans="1:14" s="231" customFormat="1" ht="12.6" customHeight="1" x14ac:dyDescent="0.2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 t="e">
        <f>(I630/I613)*AT93</f>
        <v>#DIV/0!</v>
      </c>
      <c r="J712" s="255" t="e">
        <f>(J631/J613)*AT94</f>
        <v>#DIV/0!</v>
      </c>
      <c r="K712" s="255" t="e">
        <f>(K645/K613)*AT90</f>
        <v>#DIV/0!</v>
      </c>
      <c r="L712" s="255" t="e">
        <f>(L648/L613)*AT95</f>
        <v>#DIV/0!</v>
      </c>
      <c r="M712" s="231" t="e">
        <f t="shared" si="18"/>
        <v>#DIV/0!</v>
      </c>
      <c r="N712" s="249" t="s">
        <v>664</v>
      </c>
    </row>
    <row r="713" spans="1:14" s="231" customFormat="1" ht="12.6" customHeight="1" x14ac:dyDescent="0.2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 t="e">
        <f>(I630/I613)*AU93</f>
        <v>#DIV/0!</v>
      </c>
      <c r="J713" s="255" t="e">
        <f>(J631/J613)*AU94</f>
        <v>#DIV/0!</v>
      </c>
      <c r="K713" s="255" t="e">
        <f>(K645/K613)*AU90</f>
        <v>#DIV/0!</v>
      </c>
      <c r="L713" s="255" t="e">
        <f>(L648/L613)*AU95</f>
        <v>#DIV/0!</v>
      </c>
      <c r="M713" s="231" t="e">
        <f t="shared" si="18"/>
        <v>#DIV/0!</v>
      </c>
      <c r="N713" s="249" t="s">
        <v>666</v>
      </c>
    </row>
    <row r="714" spans="1:14" s="231" customFormat="1" ht="12.6" customHeight="1" x14ac:dyDescent="0.2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 t="e">
        <f>(I630/I613)*AV93</f>
        <v>#DIV/0!</v>
      </c>
      <c r="J714" s="255" t="e">
        <f>(J631/J613)*AV94</f>
        <v>#DIV/0!</v>
      </c>
      <c r="K714" s="255" t="e">
        <f>(K645/K613)*AV90</f>
        <v>#DIV/0!</v>
      </c>
      <c r="L714" s="255" t="e">
        <f>(L648/L613)*AV95</f>
        <v>#DIV/0!</v>
      </c>
      <c r="M714" s="231" t="e">
        <f t="shared" si="18"/>
        <v>#DIV/0!</v>
      </c>
      <c r="N714" s="251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2">
        <f>SUM(C615:C648)+SUM(C669:C714)</f>
        <v>46323628.469999999</v>
      </c>
      <c r="D716" s="231">
        <f>SUM(D617:D648)+SUM(D669:D714)</f>
        <v>921825.02000000025</v>
      </c>
      <c r="E716" s="231">
        <f>SUM(E625:E648)+SUM(E669:E714)</f>
        <v>8719716.0258771162</v>
      </c>
      <c r="F716" s="231">
        <f>SUM(F626:F649)+SUM(F669:F714)</f>
        <v>198344.39306619385</v>
      </c>
      <c r="G716" s="231">
        <f>SUM(G627:G648)+SUM(G669:G714)</f>
        <v>456463.07929573586</v>
      </c>
      <c r="H716" s="231">
        <f>SUM(H630:H648)+SUM(H669:H714)</f>
        <v>608934.37889534491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49" t="s">
        <v>669</v>
      </c>
    </row>
    <row r="717" spans="1:14" s="231" customFormat="1" ht="12.6" customHeight="1" x14ac:dyDescent="0.2">
      <c r="C717" s="252">
        <f>CE86</f>
        <v>46323628.469999999</v>
      </c>
      <c r="D717" s="231">
        <f>D616</f>
        <v>921825.02000000014</v>
      </c>
      <c r="E717" s="231">
        <f>E624</f>
        <v>8719716.0258771181</v>
      </c>
      <c r="F717" s="231">
        <f>F625</f>
        <v>198344.39306619388</v>
      </c>
      <c r="G717" s="231">
        <f>G626</f>
        <v>456463.07929573586</v>
      </c>
      <c r="H717" s="231">
        <f>H629</f>
        <v>608934.37889534468</v>
      </c>
      <c r="I717" s="231">
        <f>I630</f>
        <v>779405.99153583124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13188462.729999999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1023</v>
      </c>
      <c r="B1" s="12" t="s">
        <v>1024</v>
      </c>
      <c r="C1" s="12" t="s">
        <v>1025</v>
      </c>
      <c r="D1" s="12" t="s">
        <v>1026</v>
      </c>
      <c r="E1" s="12" t="s">
        <v>1027</v>
      </c>
      <c r="F1" s="12" t="s">
        <v>1028</v>
      </c>
      <c r="G1" s="12" t="s">
        <v>1029</v>
      </c>
      <c r="H1" s="12" t="s">
        <v>1030</v>
      </c>
      <c r="I1" s="12" t="s">
        <v>1031</v>
      </c>
      <c r="J1" s="12" t="s">
        <v>1032</v>
      </c>
      <c r="K1" s="12" t="s">
        <v>1033</v>
      </c>
      <c r="L1" s="12" t="s">
        <v>1034</v>
      </c>
      <c r="M1" s="12" t="s">
        <v>1035</v>
      </c>
      <c r="N1" s="12" t="s">
        <v>1036</v>
      </c>
    </row>
    <row r="2" spans="1:14" x14ac:dyDescent="0.25">
      <c r="A2" s="12" t="str">
        <f>RIGHT(data!C96,4)</f>
        <v>2022</v>
      </c>
      <c r="B2" s="225" t="str">
        <f>RIGHT(data!C97,3)</f>
        <v>199</v>
      </c>
      <c r="C2" s="12" t="str">
        <f>SUBSTITUTE(LEFT(data!C98,49),",","")</f>
        <v>ASTRIA TOPPENISH HOSPITAL</v>
      </c>
      <c r="D2" s="12" t="str">
        <f>LEFT(data!C99,49)</f>
        <v>502 W 4th Ave</v>
      </c>
      <c r="E2" s="12" t="str">
        <f>RIGHT(data!C100,100)</f>
        <v>Toppenish</v>
      </c>
      <c r="F2" s="12" t="str">
        <f>RIGHT(data!C101,100)</f>
        <v>Washington</v>
      </c>
      <c r="G2" s="12" t="str">
        <f>RIGHT(data!C102,100)</f>
        <v>98948</v>
      </c>
      <c r="H2" s="12" t="str">
        <f>RIGHT(data!C103,100)</f>
        <v>Yakima</v>
      </c>
      <c r="I2" s="12" t="str">
        <f>LEFT(data!C104,49)</f>
        <v>Brian Gibbons</v>
      </c>
      <c r="J2" s="12" t="str">
        <f>LEFT(data!C105,49)</f>
        <v>Maxwell Owens</v>
      </c>
      <c r="K2" s="12" t="str">
        <f>LEFT(data!C107,49)</f>
        <v>509-865-3105</v>
      </c>
      <c r="L2" s="12" t="str">
        <f>LEFT(data!C107,49)</f>
        <v>509-865-3105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1037</v>
      </c>
      <c r="B1" s="16" t="s">
        <v>1038</v>
      </c>
      <c r="C1" s="10" t="s">
        <v>1039</v>
      </c>
      <c r="D1" s="10" t="s">
        <v>1040</v>
      </c>
      <c r="E1" s="10" t="s">
        <v>1041</v>
      </c>
      <c r="F1" s="10" t="s">
        <v>1042</v>
      </c>
      <c r="G1" s="10" t="s">
        <v>1043</v>
      </c>
      <c r="H1" s="10" t="s">
        <v>1044</v>
      </c>
      <c r="I1" s="10" t="s">
        <v>1045</v>
      </c>
      <c r="J1" s="10" t="s">
        <v>1046</v>
      </c>
      <c r="K1" s="10" t="s">
        <v>1047</v>
      </c>
      <c r="L1" s="10" t="s">
        <v>1048</v>
      </c>
      <c r="M1" s="10" t="s">
        <v>1049</v>
      </c>
      <c r="N1" s="10" t="s">
        <v>1050</v>
      </c>
      <c r="O1" s="10" t="s">
        <v>1051</v>
      </c>
      <c r="P1" s="10" t="s">
        <v>1052</v>
      </c>
      <c r="Q1" s="10" t="s">
        <v>1053</v>
      </c>
      <c r="R1" s="10" t="s">
        <v>1054</v>
      </c>
      <c r="S1" s="10" t="s">
        <v>1055</v>
      </c>
      <c r="T1" s="10" t="s">
        <v>1056</v>
      </c>
      <c r="U1" s="10" t="s">
        <v>1057</v>
      </c>
      <c r="V1" s="10" t="s">
        <v>1058</v>
      </c>
      <c r="W1" s="10" t="s">
        <v>1059</v>
      </c>
      <c r="X1" s="10" t="s">
        <v>1060</v>
      </c>
      <c r="Y1" s="10" t="s">
        <v>1061</v>
      </c>
      <c r="Z1" s="10" t="s">
        <v>1062</v>
      </c>
      <c r="AA1" s="10" t="s">
        <v>1063</v>
      </c>
      <c r="AB1" s="10" t="s">
        <v>1064</v>
      </c>
      <c r="AC1" s="10" t="s">
        <v>1065</v>
      </c>
      <c r="AD1" s="10" t="s">
        <v>1066</v>
      </c>
      <c r="AE1" s="10" t="s">
        <v>1067</v>
      </c>
      <c r="AF1" s="10" t="s">
        <v>1068</v>
      </c>
      <c r="AG1" s="10" t="s">
        <v>1069</v>
      </c>
      <c r="AH1" s="10" t="s">
        <v>1070</v>
      </c>
      <c r="AI1" s="10" t="s">
        <v>1071</v>
      </c>
      <c r="AJ1" s="10" t="s">
        <v>1072</v>
      </c>
      <c r="AK1" s="10" t="s">
        <v>1073</v>
      </c>
      <c r="AL1" s="10" t="s">
        <v>1074</v>
      </c>
      <c r="AM1" s="10" t="s">
        <v>1075</v>
      </c>
      <c r="AN1" s="10" t="s">
        <v>1076</v>
      </c>
      <c r="AO1" s="10" t="s">
        <v>1077</v>
      </c>
      <c r="AP1" s="10" t="s">
        <v>1078</v>
      </c>
      <c r="AQ1" s="10" t="s">
        <v>1079</v>
      </c>
      <c r="AR1" s="10" t="s">
        <v>1080</v>
      </c>
      <c r="AS1" s="10" t="s">
        <v>1081</v>
      </c>
      <c r="AT1" s="10" t="s">
        <v>1082</v>
      </c>
      <c r="AU1" s="10" t="s">
        <v>1083</v>
      </c>
      <c r="AV1" s="10" t="s">
        <v>1084</v>
      </c>
      <c r="AW1" s="10" t="s">
        <v>1085</v>
      </c>
      <c r="AX1" s="10" t="s">
        <v>1086</v>
      </c>
      <c r="AY1" s="10" t="s">
        <v>1087</v>
      </c>
      <c r="AZ1" s="10" t="s">
        <v>1088</v>
      </c>
      <c r="BA1" s="10" t="s">
        <v>1089</v>
      </c>
      <c r="BB1" s="10" t="s">
        <v>1090</v>
      </c>
      <c r="BC1" s="10" t="s">
        <v>1091</v>
      </c>
      <c r="BD1" s="10" t="s">
        <v>1092</v>
      </c>
      <c r="BE1" s="10" t="s">
        <v>1093</v>
      </c>
      <c r="BF1" s="10" t="s">
        <v>1094</v>
      </c>
      <c r="BG1" s="10" t="s">
        <v>1095</v>
      </c>
      <c r="BH1" s="10" t="s">
        <v>1096</v>
      </c>
      <c r="BI1" s="10" t="s">
        <v>1097</v>
      </c>
      <c r="BJ1" s="10" t="s">
        <v>1098</v>
      </c>
      <c r="BK1" s="10" t="s">
        <v>1099</v>
      </c>
      <c r="BL1" s="10" t="s">
        <v>1100</v>
      </c>
      <c r="BM1" s="10" t="s">
        <v>1101</v>
      </c>
      <c r="BN1" s="10" t="s">
        <v>1102</v>
      </c>
      <c r="BO1" s="10" t="s">
        <v>1103</v>
      </c>
      <c r="BP1" s="10" t="s">
        <v>1104</v>
      </c>
      <c r="BQ1" s="10" t="s">
        <v>1105</v>
      </c>
      <c r="BR1" s="10" t="s">
        <v>1106</v>
      </c>
      <c r="BS1" s="10" t="s">
        <v>1107</v>
      </c>
      <c r="BT1" s="10" t="s">
        <v>1108</v>
      </c>
      <c r="BU1" s="10" t="s">
        <v>1109</v>
      </c>
      <c r="BV1" s="10" t="s">
        <v>1110</v>
      </c>
      <c r="BW1" s="10" t="s">
        <v>1111</v>
      </c>
      <c r="BX1" s="10" t="s">
        <v>1112</v>
      </c>
      <c r="BY1" s="10" t="s">
        <v>1113</v>
      </c>
      <c r="BZ1" s="10" t="s">
        <v>1114</v>
      </c>
      <c r="CA1" s="10" t="s">
        <v>1115</v>
      </c>
      <c r="CB1" s="10" t="s">
        <v>1116</v>
      </c>
      <c r="CC1" s="10" t="s">
        <v>1117</v>
      </c>
      <c r="CD1" s="10" t="s">
        <v>1118</v>
      </c>
      <c r="CE1" s="10" t="s">
        <v>1119</v>
      </c>
      <c r="CF1" s="10" t="s">
        <v>1120</v>
      </c>
    </row>
    <row r="2" spans="1:84" s="183" customFormat="1" ht="12.6" customHeight="1" x14ac:dyDescent="0.25">
      <c r="A2" s="16" t="str">
        <f>RIGHT(data!C97,3)</f>
        <v>199</v>
      </c>
      <c r="B2" s="224" t="str">
        <f>RIGHT(data!C96,4)</f>
        <v>2022</v>
      </c>
      <c r="C2" s="16" t="s">
        <v>1121</v>
      </c>
      <c r="D2" s="223">
        <f>ROUND(data!C181,0)</f>
        <v>1401956</v>
      </c>
      <c r="E2" s="223">
        <f>ROUND(data!C182,0)</f>
        <v>132674</v>
      </c>
      <c r="F2" s="223">
        <f>ROUND(data!C183,0)</f>
        <v>307026</v>
      </c>
      <c r="G2" s="223">
        <f>ROUND(data!C184,0)</f>
        <v>2031938</v>
      </c>
      <c r="H2" s="223">
        <f>ROUND(data!C185,0)</f>
        <v>0</v>
      </c>
      <c r="I2" s="223">
        <f>ROUND(data!C186,0)</f>
        <v>595065</v>
      </c>
      <c r="J2" s="223">
        <f>ROUND(data!C187+data!C188,0)</f>
        <v>0</v>
      </c>
      <c r="K2" s="223">
        <f>ROUND(data!C191,0)</f>
        <v>887528</v>
      </c>
      <c r="L2" s="223">
        <f>ROUND(data!C192,0)</f>
        <v>207651</v>
      </c>
      <c r="M2" s="223">
        <f>ROUND(data!C195,0)</f>
        <v>564029</v>
      </c>
      <c r="N2" s="223">
        <f>ROUND(data!C196,0)</f>
        <v>10995</v>
      </c>
      <c r="O2" s="223">
        <f>ROUND(data!C199,0)</f>
        <v>5306</v>
      </c>
      <c r="P2" s="223">
        <f>ROUND(data!C200,0)</f>
        <v>1868953</v>
      </c>
      <c r="Q2" s="223">
        <f>ROUND(data!C201,0)</f>
        <v>0</v>
      </c>
      <c r="R2" s="223">
        <f>ROUND(data!C204,0)</f>
        <v>0</v>
      </c>
      <c r="S2" s="223">
        <f>ROUND(data!C205,0)</f>
        <v>2483700</v>
      </c>
      <c r="T2" s="223">
        <f>ROUND(data!B211,0)</f>
        <v>550000</v>
      </c>
      <c r="U2" s="223">
        <f>ROUND(data!C211,0)</f>
        <v>0</v>
      </c>
      <c r="V2" s="223">
        <f>ROUND(data!D211,0)</f>
        <v>0</v>
      </c>
      <c r="W2" s="223">
        <f>ROUND(data!B212,0)</f>
        <v>26953</v>
      </c>
      <c r="X2" s="223">
        <f>ROUND(data!C212,0)</f>
        <v>0</v>
      </c>
      <c r="Y2" s="223">
        <f>ROUND(data!D212,0)</f>
        <v>0</v>
      </c>
      <c r="Z2" s="223">
        <f>ROUND(data!B213,0)</f>
        <v>8034842</v>
      </c>
      <c r="AA2" s="223">
        <f>ROUND(data!C213,0)</f>
        <v>209523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1892548</v>
      </c>
      <c r="AJ2" s="223">
        <f>ROUND(data!C216,0)</f>
        <v>22340</v>
      </c>
      <c r="AK2" s="223">
        <f>ROUND(data!D216,0)</f>
        <v>58478</v>
      </c>
      <c r="AL2" s="223">
        <f>ROUND(data!B217,0)</f>
        <v>477465</v>
      </c>
      <c r="AM2" s="223">
        <f>ROUND(data!C217,0)</f>
        <v>17419</v>
      </c>
      <c r="AN2" s="223">
        <f>ROUND(data!D217,0)</f>
        <v>86901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255373</v>
      </c>
      <c r="AS2" s="223">
        <f>ROUND(data!C219,0)</f>
        <v>964207</v>
      </c>
      <c r="AT2" s="223">
        <f>ROUND(data!D219,0)</f>
        <v>110591</v>
      </c>
      <c r="AU2" s="223">
        <v>0</v>
      </c>
      <c r="AV2" s="223">
        <v>0</v>
      </c>
      <c r="AW2" s="223">
        <v>0</v>
      </c>
      <c r="AX2" s="223">
        <f>ROUND(data!B225,0)</f>
        <v>4457</v>
      </c>
      <c r="AY2" s="223">
        <f>ROUND(data!C225,0)</f>
        <v>1797</v>
      </c>
      <c r="AZ2" s="223">
        <f>ROUND(data!D225,0)</f>
        <v>0</v>
      </c>
      <c r="BA2" s="223">
        <f>ROUND(data!B226,0)</f>
        <v>2014147</v>
      </c>
      <c r="BB2" s="223">
        <f>ROUND(data!C226,0)</f>
        <v>536529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1242414</v>
      </c>
      <c r="BK2" s="223">
        <f>ROUND(data!C229,0)</f>
        <v>126656</v>
      </c>
      <c r="BL2" s="223">
        <f>ROUND(data!D229,0)</f>
        <v>18403</v>
      </c>
      <c r="BM2" s="223">
        <f>ROUND(data!B230,0)</f>
        <v>219154</v>
      </c>
      <c r="BN2" s="223">
        <f>ROUND(data!C230,0)</f>
        <v>39618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43102380</v>
      </c>
      <c r="BW2" s="223">
        <f>ROUND(data!C240,0)</f>
        <v>68010301</v>
      </c>
      <c r="BX2" s="223">
        <f>ROUND(data!C241,0)</f>
        <v>4181785</v>
      </c>
      <c r="BY2" s="223">
        <f>ROUND(data!C242,0)</f>
        <v>3533047</v>
      </c>
      <c r="BZ2" s="223">
        <f>ROUND(data!C243,0)</f>
        <v>0</v>
      </c>
      <c r="CA2" s="223">
        <f>ROUND(data!C244,0)</f>
        <v>24761050</v>
      </c>
      <c r="CB2" s="223">
        <f>ROUND(data!C247,0)</f>
        <v>0</v>
      </c>
      <c r="CC2" s="223">
        <f>ROUND(data!C249,0)</f>
        <v>258499</v>
      </c>
      <c r="CD2" s="223">
        <f>ROUND(data!C250,0)</f>
        <v>1005308</v>
      </c>
      <c r="CE2" s="223">
        <f>ROUND(data!C254+data!C255,0)</f>
        <v>0</v>
      </c>
      <c r="CF2" s="223">
        <f>data!D237</f>
        <v>8743018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1122</v>
      </c>
      <c r="B1" s="16" t="s">
        <v>1123</v>
      </c>
      <c r="C1" s="16" t="s">
        <v>1124</v>
      </c>
      <c r="D1" s="10" t="s">
        <v>1125</v>
      </c>
      <c r="E1" s="10" t="s">
        <v>1126</v>
      </c>
      <c r="F1" s="10" t="s">
        <v>1127</v>
      </c>
      <c r="G1" s="10" t="s">
        <v>1128</v>
      </c>
      <c r="H1" s="10" t="s">
        <v>1129</v>
      </c>
      <c r="I1" s="10" t="s">
        <v>1130</v>
      </c>
      <c r="J1" s="10" t="s">
        <v>1131</v>
      </c>
      <c r="K1" s="10" t="s">
        <v>1132</v>
      </c>
      <c r="L1" s="10" t="s">
        <v>1133</v>
      </c>
      <c r="M1" s="10" t="s">
        <v>1134</v>
      </c>
      <c r="N1" s="10" t="s">
        <v>1135</v>
      </c>
      <c r="O1" s="10" t="s">
        <v>1136</v>
      </c>
      <c r="P1" s="10" t="s">
        <v>1137</v>
      </c>
      <c r="Q1" s="10" t="s">
        <v>1138</v>
      </c>
      <c r="R1" s="10" t="s">
        <v>1139</v>
      </c>
      <c r="S1" s="10" t="s">
        <v>1140</v>
      </c>
      <c r="T1" s="10" t="s">
        <v>1141</v>
      </c>
      <c r="U1" s="10" t="s">
        <v>1142</v>
      </c>
      <c r="V1" s="10" t="s">
        <v>1143</v>
      </c>
      <c r="W1" s="10" t="s">
        <v>1144</v>
      </c>
      <c r="X1" s="10" t="s">
        <v>1145</v>
      </c>
      <c r="Y1" s="10" t="s">
        <v>1146</v>
      </c>
      <c r="Z1" s="10" t="s">
        <v>1147</v>
      </c>
      <c r="AA1" s="10" t="s">
        <v>1148</v>
      </c>
      <c r="AB1" s="10" t="s">
        <v>1149</v>
      </c>
      <c r="AC1" s="10" t="s">
        <v>1150</v>
      </c>
      <c r="AD1" s="10" t="s">
        <v>1151</v>
      </c>
      <c r="AE1" s="10" t="s">
        <v>1152</v>
      </c>
      <c r="AF1" s="10" t="s">
        <v>1153</v>
      </c>
      <c r="AG1" s="10" t="s">
        <v>1154</v>
      </c>
      <c r="AH1" s="10" t="s">
        <v>1155</v>
      </c>
      <c r="AI1" s="10" t="s">
        <v>1156</v>
      </c>
      <c r="AJ1" s="10" t="s">
        <v>1157</v>
      </c>
      <c r="AK1" s="10" t="s">
        <v>1158</v>
      </c>
      <c r="AL1" s="10" t="s">
        <v>1159</v>
      </c>
      <c r="AM1" s="10" t="s">
        <v>1160</v>
      </c>
      <c r="AN1" s="10" t="s">
        <v>1161</v>
      </c>
      <c r="AO1" s="10" t="s">
        <v>1162</v>
      </c>
      <c r="AP1" s="10" t="s">
        <v>1163</v>
      </c>
      <c r="AQ1" s="10" t="s">
        <v>1164</v>
      </c>
      <c r="AR1" s="10" t="s">
        <v>1165</v>
      </c>
      <c r="AS1" s="10" t="s">
        <v>1166</v>
      </c>
      <c r="AT1" s="10" t="s">
        <v>1167</v>
      </c>
      <c r="AU1" s="10" t="s">
        <v>1168</v>
      </c>
      <c r="AV1" s="10" t="s">
        <v>1169</v>
      </c>
      <c r="AW1" s="10" t="s">
        <v>1170</v>
      </c>
      <c r="AX1" s="10" t="s">
        <v>1171</v>
      </c>
      <c r="AY1" s="10" t="s">
        <v>1172</v>
      </c>
      <c r="AZ1" s="10" t="s">
        <v>1173</v>
      </c>
      <c r="BA1" s="10" t="s">
        <v>1174</v>
      </c>
      <c r="BB1" s="10" t="s">
        <v>1175</v>
      </c>
      <c r="BC1" s="10" t="s">
        <v>1176</v>
      </c>
      <c r="BD1" s="10" t="s">
        <v>1177</v>
      </c>
      <c r="BE1" s="10" t="s">
        <v>1178</v>
      </c>
      <c r="BF1" s="10" t="s">
        <v>1179</v>
      </c>
      <c r="BG1" s="10" t="s">
        <v>1180</v>
      </c>
      <c r="BH1" s="10" t="s">
        <v>1181</v>
      </c>
      <c r="BI1" s="10" t="s">
        <v>1182</v>
      </c>
      <c r="BJ1" s="10" t="s">
        <v>1183</v>
      </c>
      <c r="BK1" s="10" t="s">
        <v>1184</v>
      </c>
      <c r="BL1" s="10" t="s">
        <v>1185</v>
      </c>
      <c r="BM1" s="10" t="s">
        <v>1186</v>
      </c>
      <c r="BN1" s="10" t="s">
        <v>1187</v>
      </c>
      <c r="BO1" s="10" t="s">
        <v>1188</v>
      </c>
      <c r="BP1" s="10" t="s">
        <v>1189</v>
      </c>
      <c r="BQ1" s="10" t="s">
        <v>1190</v>
      </c>
      <c r="BR1" s="10" t="s">
        <v>1191</v>
      </c>
      <c r="BS1" s="10" t="s">
        <v>1192</v>
      </c>
    </row>
    <row r="2" spans="1:87" s="183" customFormat="1" ht="12.6" customHeight="1" x14ac:dyDescent="0.25">
      <c r="A2" s="16" t="str">
        <f>RIGHT(data!C97,3)</f>
        <v>199</v>
      </c>
      <c r="B2" s="16" t="str">
        <f>RIGHT(data!C96,4)</f>
        <v>2022</v>
      </c>
      <c r="C2" s="16" t="s">
        <v>1121</v>
      </c>
      <c r="D2" s="222">
        <f>ROUND(data!C127,0)</f>
        <v>1230</v>
      </c>
      <c r="E2" s="222">
        <f>ROUND(data!C128,0)</f>
        <v>0</v>
      </c>
      <c r="F2" s="222">
        <f>ROUND(data!C129,0)</f>
        <v>0</v>
      </c>
      <c r="G2" s="222">
        <f>ROUND(data!C130,0)</f>
        <v>257</v>
      </c>
      <c r="H2" s="222">
        <f>ROUND(data!D127,0)</f>
        <v>9150</v>
      </c>
      <c r="I2" s="222">
        <f>ROUND(data!D128,0)</f>
        <v>0</v>
      </c>
      <c r="J2" s="222">
        <f>ROUND(data!D129,0)</f>
        <v>0</v>
      </c>
      <c r="K2" s="222">
        <f>ROUND(data!D130,0)</f>
        <v>444</v>
      </c>
      <c r="L2" s="222">
        <f>ROUND(data!C132,0)</f>
        <v>7</v>
      </c>
      <c r="M2" s="222">
        <f>ROUND(data!C133,0)</f>
        <v>0</v>
      </c>
      <c r="N2" s="222">
        <f>ROUND(data!C134,0)</f>
        <v>16</v>
      </c>
      <c r="O2" s="222">
        <f>ROUND(data!C135,0)</f>
        <v>0</v>
      </c>
      <c r="P2" s="222">
        <f>ROUND(data!C136,0)</f>
        <v>10</v>
      </c>
      <c r="Q2" s="222">
        <f>ROUND(data!C137,0)</f>
        <v>0</v>
      </c>
      <c r="R2" s="222">
        <f>ROUND(data!C138,0)</f>
        <v>15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78</v>
      </c>
      <c r="X2" s="222">
        <f>ROUND(data!C145,0)</f>
        <v>0</v>
      </c>
      <c r="Y2" s="222">
        <f>ROUND(data!B154,0)</f>
        <v>430</v>
      </c>
      <c r="Z2" s="222">
        <f>ROUND(data!B155,0)</f>
        <v>3079</v>
      </c>
      <c r="AA2" s="222">
        <f>ROUND(data!B156,0)</f>
        <v>11327</v>
      </c>
      <c r="AB2" s="222">
        <f>ROUND(data!B157,0)</f>
        <v>18618060</v>
      </c>
      <c r="AC2" s="222">
        <f>ROUND(data!B158,0)</f>
        <v>38947345</v>
      </c>
      <c r="AD2" s="222">
        <f>ROUND(data!C154,0)</f>
        <v>681</v>
      </c>
      <c r="AE2" s="222">
        <f>ROUND(data!C155,0)</f>
        <v>5599</v>
      </c>
      <c r="AF2" s="222">
        <f>ROUND(data!C156,0)</f>
        <v>32173</v>
      </c>
      <c r="AG2" s="222">
        <f>ROUND(data!C157,0)</f>
        <v>29469289</v>
      </c>
      <c r="AH2" s="222">
        <f>ROUND(data!C158,0)</f>
        <v>56004404</v>
      </c>
      <c r="AI2" s="222">
        <f>ROUND(data!D154,0)</f>
        <v>118</v>
      </c>
      <c r="AJ2" s="222">
        <f>ROUND(data!D155,0)</f>
        <v>916</v>
      </c>
      <c r="AK2" s="222">
        <f>ROUND(data!D156,0)</f>
        <v>45046</v>
      </c>
      <c r="AL2" s="222">
        <f>ROUND(data!D157,0)</f>
        <v>5117024</v>
      </c>
      <c r="AM2" s="222">
        <f>ROUND(data!D158,0)</f>
        <v>59183175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1193</v>
      </c>
      <c r="B1" s="16" t="s">
        <v>1194</v>
      </c>
      <c r="C1" s="16" t="s">
        <v>1195</v>
      </c>
      <c r="D1" s="10" t="s">
        <v>1196</v>
      </c>
      <c r="E1" s="10" t="s">
        <v>1197</v>
      </c>
      <c r="F1" s="10" t="s">
        <v>1198</v>
      </c>
      <c r="G1" s="10" t="s">
        <v>1199</v>
      </c>
      <c r="H1" s="10" t="s">
        <v>1200</v>
      </c>
      <c r="I1" s="10" t="s">
        <v>1201</v>
      </c>
      <c r="J1" s="10" t="s">
        <v>1202</v>
      </c>
      <c r="K1" s="10" t="s">
        <v>1203</v>
      </c>
      <c r="L1" s="10" t="s">
        <v>1204</v>
      </c>
      <c r="M1" s="10" t="s">
        <v>1205</v>
      </c>
      <c r="N1" s="10" t="s">
        <v>1206</v>
      </c>
      <c r="O1" s="10" t="s">
        <v>1207</v>
      </c>
      <c r="P1" s="10" t="s">
        <v>1208</v>
      </c>
      <c r="Q1" s="10" t="s">
        <v>1209</v>
      </c>
      <c r="R1" s="10" t="s">
        <v>1210</v>
      </c>
      <c r="S1" s="10" t="s">
        <v>1211</v>
      </c>
      <c r="T1" s="10" t="s">
        <v>1212</v>
      </c>
      <c r="U1" s="10" t="s">
        <v>1213</v>
      </c>
      <c r="V1" s="10" t="s">
        <v>1214</v>
      </c>
      <c r="W1" s="10" t="s">
        <v>1215</v>
      </c>
      <c r="X1" s="10" t="s">
        <v>1216</v>
      </c>
      <c r="Y1" s="10" t="s">
        <v>1217</v>
      </c>
      <c r="Z1" s="10" t="s">
        <v>1218</v>
      </c>
      <c r="AA1" s="10" t="s">
        <v>1219</v>
      </c>
      <c r="AB1" s="10" t="s">
        <v>1220</v>
      </c>
      <c r="AC1" s="10" t="s">
        <v>1221</v>
      </c>
      <c r="AD1" s="10" t="s">
        <v>1222</v>
      </c>
      <c r="AE1" s="10" t="s">
        <v>1223</v>
      </c>
      <c r="AF1" s="10" t="s">
        <v>1224</v>
      </c>
      <c r="AG1" s="10" t="s">
        <v>1225</v>
      </c>
      <c r="AH1" s="10" t="s">
        <v>1226</v>
      </c>
      <c r="AI1" s="10" t="s">
        <v>1227</v>
      </c>
      <c r="AJ1" s="10" t="s">
        <v>1228</v>
      </c>
      <c r="AK1" s="10" t="s">
        <v>1229</v>
      </c>
      <c r="AL1" s="10" t="s">
        <v>1230</v>
      </c>
      <c r="AM1" s="10" t="s">
        <v>1231</v>
      </c>
      <c r="AN1" s="10" t="s">
        <v>1232</v>
      </c>
      <c r="AO1" s="10" t="s">
        <v>1233</v>
      </c>
      <c r="AP1" s="10" t="s">
        <v>1234</v>
      </c>
      <c r="AQ1" s="10" t="s">
        <v>1235</v>
      </c>
      <c r="AR1" s="10" t="s">
        <v>1236</v>
      </c>
      <c r="AS1" s="10" t="s">
        <v>1237</v>
      </c>
      <c r="AT1" s="10" t="s">
        <v>1238</v>
      </c>
      <c r="AU1" s="10" t="s">
        <v>1239</v>
      </c>
      <c r="AV1" s="10" t="s">
        <v>1240</v>
      </c>
      <c r="AW1" s="10" t="s">
        <v>1241</v>
      </c>
      <c r="AX1" s="10" t="s">
        <v>1242</v>
      </c>
      <c r="AY1" s="10" t="s">
        <v>1243</v>
      </c>
      <c r="AZ1" s="10" t="s">
        <v>1244</v>
      </c>
      <c r="BA1" s="10" t="s">
        <v>1245</v>
      </c>
      <c r="BB1" s="10" t="s">
        <v>1246</v>
      </c>
      <c r="BC1" s="10" t="s">
        <v>1247</v>
      </c>
      <c r="BD1" s="10" t="s">
        <v>1248</v>
      </c>
      <c r="BE1" s="10" t="s">
        <v>1249</v>
      </c>
      <c r="BF1" s="10" t="s">
        <v>1250</v>
      </c>
      <c r="BG1" s="10" t="s">
        <v>1251</v>
      </c>
      <c r="BH1" s="10" t="s">
        <v>1252</v>
      </c>
      <c r="BI1" s="10" t="s">
        <v>1253</v>
      </c>
      <c r="BJ1" s="10" t="s">
        <v>1254</v>
      </c>
      <c r="BK1" s="10" t="s">
        <v>1255</v>
      </c>
      <c r="BL1" s="10" t="s">
        <v>1256</v>
      </c>
      <c r="BM1" s="10" t="s">
        <v>1257</v>
      </c>
      <c r="BN1" s="10" t="s">
        <v>1258</v>
      </c>
      <c r="BO1" s="10" t="s">
        <v>1259</v>
      </c>
      <c r="BP1" s="10" t="s">
        <v>1260</v>
      </c>
      <c r="BQ1" s="10" t="s">
        <v>1261</v>
      </c>
      <c r="BR1" s="10" t="s">
        <v>1262</v>
      </c>
      <c r="BS1" s="10" t="s">
        <v>1263</v>
      </c>
      <c r="BT1" s="10" t="s">
        <v>1264</v>
      </c>
      <c r="BU1" s="10" t="s">
        <v>1265</v>
      </c>
      <c r="BV1" s="10" t="s">
        <v>1266</v>
      </c>
      <c r="BW1" s="10" t="s">
        <v>1267</v>
      </c>
      <c r="BX1" s="10" t="s">
        <v>1268</v>
      </c>
      <c r="BY1" s="10" t="s">
        <v>1269</v>
      </c>
      <c r="BZ1" s="10" t="s">
        <v>1270</v>
      </c>
      <c r="CA1" s="10" t="s">
        <v>1271</v>
      </c>
      <c r="CB1" s="10" t="s">
        <v>1272</v>
      </c>
      <c r="CC1" s="10" t="s">
        <v>1273</v>
      </c>
      <c r="CD1" s="10" t="s">
        <v>1274</v>
      </c>
      <c r="CE1" s="10" t="s">
        <v>1275</v>
      </c>
      <c r="CF1" s="10" t="s">
        <v>1276</v>
      </c>
      <c r="CG1" s="10" t="s">
        <v>1277</v>
      </c>
      <c r="CH1" s="10" t="s">
        <v>1278</v>
      </c>
      <c r="CI1" s="10" t="s">
        <v>1279</v>
      </c>
      <c r="CJ1" s="10" t="s">
        <v>1280</v>
      </c>
      <c r="CK1" s="10" t="s">
        <v>1281</v>
      </c>
      <c r="CL1" s="10" t="s">
        <v>1282</v>
      </c>
      <c r="CM1" s="10" t="s">
        <v>1283</v>
      </c>
      <c r="CN1" s="10" t="s">
        <v>1284</v>
      </c>
      <c r="CO1" s="10" t="s">
        <v>1285</v>
      </c>
      <c r="CP1" s="10" t="s">
        <v>1286</v>
      </c>
      <c r="CQ1" s="211" t="s">
        <v>1287</v>
      </c>
      <c r="CR1" s="211" t="s">
        <v>1288</v>
      </c>
      <c r="CS1" s="211" t="s">
        <v>1289</v>
      </c>
      <c r="CT1" s="211" t="s">
        <v>1290</v>
      </c>
      <c r="CU1" s="211" t="s">
        <v>1291</v>
      </c>
      <c r="CV1" s="211" t="s">
        <v>1292</v>
      </c>
      <c r="CW1" s="211" t="s">
        <v>1293</v>
      </c>
      <c r="CX1" s="211" t="s">
        <v>1294</v>
      </c>
      <c r="CY1" s="211" t="s">
        <v>1295</v>
      </c>
      <c r="CZ1" s="211" t="s">
        <v>1296</v>
      </c>
      <c r="DA1" s="211" t="s">
        <v>1297</v>
      </c>
      <c r="DB1" s="211" t="s">
        <v>1298</v>
      </c>
      <c r="DC1" s="211" t="s">
        <v>1299</v>
      </c>
      <c r="DD1" s="211" t="s">
        <v>1300</v>
      </c>
      <c r="DE1" s="10" t="s">
        <v>1301</v>
      </c>
      <c r="DF1" s="10" t="s">
        <v>1302</v>
      </c>
      <c r="DG1" s="10" t="s">
        <v>1303</v>
      </c>
      <c r="DH1" s="10" t="s">
        <v>1304</v>
      </c>
    </row>
    <row r="2" spans="1:112" s="183" customFormat="1" ht="12.6" customHeight="1" x14ac:dyDescent="0.25">
      <c r="A2" s="223" t="str">
        <f>RIGHT(data!C97,3)</f>
        <v>199</v>
      </c>
      <c r="B2" s="224" t="str">
        <f>RIGHT(data!C96,4)</f>
        <v>2022</v>
      </c>
      <c r="C2" s="16" t="s">
        <v>1121</v>
      </c>
      <c r="D2" s="222">
        <f>ROUND(data!C266,0)</f>
        <v>307312</v>
      </c>
      <c r="E2" s="222">
        <f>ROUND(data!C267,0)</f>
        <v>0</v>
      </c>
      <c r="F2" s="222">
        <f>ROUND(data!C268,0)</f>
        <v>55447099</v>
      </c>
      <c r="G2" s="222">
        <f>ROUND(data!C269,0)</f>
        <v>44596843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2730152</v>
      </c>
      <c r="L2" s="222">
        <f>ROUND(data!C274,0)</f>
        <v>378612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550000</v>
      </c>
      <c r="R2" s="222">
        <f>ROUND(data!C284,0)</f>
        <v>26953</v>
      </c>
      <c r="S2" s="222">
        <f>ROUND(data!C285,0)</f>
        <v>8244365</v>
      </c>
      <c r="T2" s="222">
        <f>ROUND(data!C286,0)</f>
        <v>0</v>
      </c>
      <c r="U2" s="222">
        <f>ROUND(data!C287,0)</f>
        <v>0</v>
      </c>
      <c r="V2" s="222">
        <f>ROUND(data!C288,0)</f>
        <v>2264393</v>
      </c>
      <c r="W2" s="222">
        <f>ROUND(data!C289,0)</f>
        <v>0</v>
      </c>
      <c r="X2" s="222">
        <f>ROUND(data!C290,0)</f>
        <v>1108989</v>
      </c>
      <c r="Y2" s="222">
        <f>ROUND(data!C291,0)</f>
        <v>0</v>
      </c>
      <c r="Z2" s="222">
        <f>ROUND(data!C292,0)</f>
        <v>4166369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3937364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4931802</v>
      </c>
      <c r="AK2" s="222">
        <f>ROUND(data!C316,0)</f>
        <v>650632</v>
      </c>
      <c r="AL2" s="222">
        <f>ROUND(data!C317,0)</f>
        <v>1343481</v>
      </c>
      <c r="AM2" s="222">
        <f>ROUND(data!C318,0)</f>
        <v>-501191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25182</v>
      </c>
      <c r="AR2" s="222">
        <f>ROUND(data!C323,0)</f>
        <v>555064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158865</v>
      </c>
      <c r="AW2" s="222">
        <f>ROUND(data!C332,0)</f>
        <v>0</v>
      </c>
      <c r="AX2" s="222">
        <f>ROUND(data!C333,0)</f>
        <v>0</v>
      </c>
      <c r="AY2" s="222">
        <f>ROUND(data!C334,0)</f>
        <v>3953869</v>
      </c>
      <c r="AZ2" s="222">
        <f>ROUND(data!C335,0)</f>
        <v>0</v>
      </c>
      <c r="BA2" s="222">
        <f>ROUND(data!C336,0)</f>
        <v>25171592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-9502205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256.92</v>
      </c>
      <c r="BL2" s="222">
        <f>ROUND(data!C358,0)</f>
        <v>53204373</v>
      </c>
      <c r="BM2" s="222">
        <f>ROUND(data!C359,0)</f>
        <v>154134924</v>
      </c>
      <c r="BN2" s="222">
        <f>ROUND(data!C363,0)</f>
        <v>143588563</v>
      </c>
      <c r="BO2" s="222">
        <f>ROUND(data!C364,0)</f>
        <v>1263807</v>
      </c>
      <c r="BP2" s="222">
        <f>ROUND(data!C365,0)</f>
        <v>0</v>
      </c>
      <c r="BQ2" s="222">
        <f>ROUND(data!D381,0)</f>
        <v>3849278</v>
      </c>
      <c r="BR2" s="222">
        <f>ROUND(data!C370,0)</f>
        <v>200</v>
      </c>
      <c r="BS2" s="222">
        <f>ROUND(data!C371,0)</f>
        <v>1213461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11322</v>
      </c>
      <c r="BY2" s="222">
        <f>ROUND(data!C377,0)</f>
        <v>0</v>
      </c>
      <c r="BZ2" s="222">
        <f>ROUND(data!C378,0)</f>
        <v>158183</v>
      </c>
      <c r="CA2" s="222">
        <f>ROUND(data!C379,0)</f>
        <v>86678</v>
      </c>
      <c r="CB2" s="222">
        <f>ROUND(data!C380,0)</f>
        <v>2379434</v>
      </c>
      <c r="CC2" s="222">
        <f>ROUND(data!C382,0)</f>
        <v>0</v>
      </c>
      <c r="CD2" s="222">
        <f>ROUND(data!C389,0)</f>
        <v>21035919</v>
      </c>
      <c r="CE2" s="222">
        <f>ROUND(data!C390,0)</f>
        <v>4468667</v>
      </c>
      <c r="CF2" s="222">
        <f>ROUND(data!C391,0)</f>
        <v>4767567</v>
      </c>
      <c r="CG2" s="222">
        <f>ROUND(data!C392,0)</f>
        <v>5974751</v>
      </c>
      <c r="CH2" s="222">
        <f>ROUND(data!C393,0)</f>
        <v>0</v>
      </c>
      <c r="CI2" s="222">
        <f>ROUND(data!C394,0)</f>
        <v>4497938</v>
      </c>
      <c r="CJ2" s="222">
        <f>ROUND(data!C395,0)</f>
        <v>715558</v>
      </c>
      <c r="CK2" s="222">
        <f>ROUND(data!C396,0)</f>
        <v>1095180</v>
      </c>
      <c r="CL2" s="222">
        <f>ROUND(data!C397,0)</f>
        <v>575024</v>
      </c>
      <c r="CM2" s="222">
        <f>ROUND(data!C398,0)</f>
        <v>0</v>
      </c>
      <c r="CN2" s="222">
        <f>ROUND(data!C399,0)</f>
        <v>2483700</v>
      </c>
      <c r="CO2" s="222">
        <f>ROUND(data!C362,0)</f>
        <v>8743018</v>
      </c>
      <c r="CP2" s="222">
        <f>ROUND(data!D415,0)</f>
        <v>19311931</v>
      </c>
      <c r="CQ2" s="65">
        <f>ROUND(data!C401,0)</f>
        <v>0</v>
      </c>
      <c r="CR2" s="65">
        <f>ROUND(data!C402,0)</f>
        <v>6942785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277566</v>
      </c>
      <c r="CY2" s="65">
        <f>ROUND(data!C409,0)</f>
        <v>8854382</v>
      </c>
      <c r="CZ2" s="65">
        <f>ROUND(data!C410,0)</f>
        <v>0</v>
      </c>
      <c r="DA2" s="65">
        <f>ROUND(data!C411,0)</f>
        <v>0</v>
      </c>
      <c r="DB2" s="65">
        <f>ROUND(data!C412,0)</f>
        <v>1874259</v>
      </c>
      <c r="DC2" s="65">
        <f>ROUND(data!C413,0)</f>
        <v>611713</v>
      </c>
      <c r="DD2" s="65">
        <f>ROUND(data!C414,0)</f>
        <v>751226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1305</v>
      </c>
      <c r="B1" s="16" t="s">
        <v>1306</v>
      </c>
      <c r="C1" s="10" t="s">
        <v>1307</v>
      </c>
      <c r="D1" s="16" t="s">
        <v>1308</v>
      </c>
      <c r="E1" s="10" t="s">
        <v>1309</v>
      </c>
      <c r="F1" s="10" t="s">
        <v>1310</v>
      </c>
      <c r="G1" s="10" t="s">
        <v>1311</v>
      </c>
      <c r="H1" s="10" t="s">
        <v>1312</v>
      </c>
      <c r="I1" s="10" t="s">
        <v>1313</v>
      </c>
      <c r="J1" s="10" t="s">
        <v>1314</v>
      </c>
      <c r="K1" s="10" t="s">
        <v>1315</v>
      </c>
      <c r="L1" s="10" t="s">
        <v>1316</v>
      </c>
      <c r="M1" s="10" t="s">
        <v>1317</v>
      </c>
      <c r="N1" s="10" t="s">
        <v>1318</v>
      </c>
      <c r="O1" s="10" t="s">
        <v>1319</v>
      </c>
      <c r="P1" s="10" t="s">
        <v>1287</v>
      </c>
      <c r="Q1" s="10" t="s">
        <v>1288</v>
      </c>
      <c r="R1" s="10" t="s">
        <v>1289</v>
      </c>
      <c r="S1" s="10" t="s">
        <v>1290</v>
      </c>
      <c r="T1" s="10" t="s">
        <v>1291</v>
      </c>
      <c r="U1" s="10" t="s">
        <v>1292</v>
      </c>
      <c r="V1" s="10" t="s">
        <v>1293</v>
      </c>
      <c r="W1" s="10" t="s">
        <v>1294</v>
      </c>
      <c r="X1" s="10" t="s">
        <v>1295</v>
      </c>
      <c r="Y1" s="10" t="s">
        <v>1296</v>
      </c>
      <c r="Z1" s="10" t="s">
        <v>1297</v>
      </c>
      <c r="AA1" s="10" t="s">
        <v>1298</v>
      </c>
      <c r="AB1" s="10" t="s">
        <v>1299</v>
      </c>
      <c r="AC1" s="10" t="s">
        <v>1300</v>
      </c>
      <c r="AD1" s="10" t="s">
        <v>1320</v>
      </c>
      <c r="AE1" s="10" t="s">
        <v>1321</v>
      </c>
      <c r="AF1" s="10" t="s">
        <v>1322</v>
      </c>
      <c r="AG1" s="10" t="s">
        <v>1323</v>
      </c>
      <c r="AH1" s="10" t="s">
        <v>1324</v>
      </c>
      <c r="AI1" s="10" t="s">
        <v>1325</v>
      </c>
      <c r="AJ1" s="10" t="s">
        <v>1326</v>
      </c>
      <c r="AK1" s="10" t="s">
        <v>1327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199</v>
      </c>
      <c r="B2" s="224" t="str">
        <f>RIGHT(data!$C$96,4)</f>
        <v>2022</v>
      </c>
      <c r="C2" s="16" t="str">
        <f>data!C$55</f>
        <v>6010</v>
      </c>
      <c r="D2" s="16" t="s">
        <v>1121</v>
      </c>
      <c r="E2" s="222">
        <f>ROUND(data!C59,0)</f>
        <v>1738</v>
      </c>
      <c r="F2" s="212">
        <f>ROUND(data!C60,2)</f>
        <v>7.75</v>
      </c>
      <c r="G2" s="222">
        <f>ROUND(data!C61,0)</f>
        <v>691127</v>
      </c>
      <c r="H2" s="222">
        <f>ROUND(data!C62,0)</f>
        <v>155635</v>
      </c>
      <c r="I2" s="222">
        <f>ROUND(data!C63,0)</f>
        <v>0</v>
      </c>
      <c r="J2" s="222">
        <f>ROUND(data!C64,0)</f>
        <v>202366</v>
      </c>
      <c r="K2" s="222">
        <f>ROUND(data!C65,0)</f>
        <v>0</v>
      </c>
      <c r="L2" s="222">
        <f>ROUND(data!C66,0)</f>
        <v>54848</v>
      </c>
      <c r="M2" s="66">
        <f>ROUND(data!C67,0)</f>
        <v>27100</v>
      </c>
      <c r="N2" s="222">
        <f>ROUND(data!C68,0)</f>
        <v>1437</v>
      </c>
      <c r="O2" s="222">
        <f>ROUND(data!C69,0)</f>
        <v>1666267</v>
      </c>
      <c r="P2" s="222">
        <f>ROUND(data!C70,0)</f>
        <v>0</v>
      </c>
      <c r="Q2" s="222">
        <f>ROUND(data!C71,0)</f>
        <v>1664831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1252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145</v>
      </c>
      <c r="AB2" s="222">
        <f>ROUND(data!C82,0)</f>
        <v>0</v>
      </c>
      <c r="AC2" s="222">
        <f>ROUND(data!C83,0)</f>
        <v>39</v>
      </c>
      <c r="AD2" s="222">
        <f>ROUND(data!C84,0)</f>
        <v>0</v>
      </c>
      <c r="AE2" s="222">
        <f>ROUND(data!C89,0)</f>
        <v>-2399479</v>
      </c>
      <c r="AF2" s="222">
        <f>ROUND(data!C87,0)</f>
        <v>-2398807</v>
      </c>
      <c r="AG2" s="222">
        <f>IF(data!C90&gt;0,ROUND(data!C90,0),0)</f>
        <v>3000</v>
      </c>
      <c r="AH2" s="222">
        <f>IF(data!C91&gt;0,ROUND(data!C91,0),0)</f>
        <v>4729</v>
      </c>
      <c r="AI2" s="222">
        <f>IF(data!C92&gt;0,ROUND(data!C92,0),0)</f>
        <v>0</v>
      </c>
      <c r="AJ2" s="222">
        <f>IF(data!C93&gt;0,ROUND(data!C93,0),0)</f>
        <v>76829</v>
      </c>
      <c r="AK2" s="212">
        <f>IF(data!C94&gt;0,ROUND(data!C94,2),0)</f>
        <v>3.89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199</v>
      </c>
      <c r="B3" s="224" t="str">
        <f>RIGHT(data!$C$96,4)</f>
        <v>2022</v>
      </c>
      <c r="C3" s="16" t="str">
        <f>data!D$55</f>
        <v>6030</v>
      </c>
      <c r="D3" s="16" t="s">
        <v>1121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199</v>
      </c>
      <c r="B4" s="224" t="str">
        <f>RIGHT(data!$C$96,4)</f>
        <v>2022</v>
      </c>
      <c r="C4" s="16" t="str">
        <f>data!E$55</f>
        <v>6070</v>
      </c>
      <c r="D4" s="16" t="s">
        <v>1121</v>
      </c>
      <c r="E4" s="222">
        <f>ROUND(data!E59,0)</f>
        <v>1798</v>
      </c>
      <c r="F4" s="212">
        <f>ROUND(data!E60,2)</f>
        <v>11.06</v>
      </c>
      <c r="G4" s="222">
        <f>ROUND(data!E61,0)</f>
        <v>999703</v>
      </c>
      <c r="H4" s="222">
        <f>ROUND(data!E62,0)</f>
        <v>233858</v>
      </c>
      <c r="I4" s="222">
        <f>ROUND(data!E63,0)</f>
        <v>1093678</v>
      </c>
      <c r="J4" s="222">
        <f>ROUND(data!E64,0)</f>
        <v>32848</v>
      </c>
      <c r="K4" s="222">
        <f>ROUND(data!E65,0)</f>
        <v>0</v>
      </c>
      <c r="L4" s="222">
        <f>ROUND(data!E66,0)</f>
        <v>91026</v>
      </c>
      <c r="M4" s="66">
        <f>ROUND(data!E67,0)</f>
        <v>0</v>
      </c>
      <c r="N4" s="222">
        <f>ROUND(data!E68,0)</f>
        <v>0</v>
      </c>
      <c r="O4" s="222">
        <f>ROUND(data!E69,0)</f>
        <v>644835</v>
      </c>
      <c r="P4" s="222">
        <f>ROUND(data!E70,0)</f>
        <v>0</v>
      </c>
      <c r="Q4" s="222">
        <f>ROUND(data!E71,0)</f>
        <v>642036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2777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22</v>
      </c>
      <c r="AD4" s="222">
        <f>ROUND(data!E84,0)</f>
        <v>0</v>
      </c>
      <c r="AE4" s="222">
        <f>ROUND(data!E89,0)</f>
        <v>-7008014</v>
      </c>
      <c r="AF4" s="222">
        <f>ROUND(data!E87,0)</f>
        <v>-4895168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6.35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199</v>
      </c>
      <c r="B5" s="224" t="str">
        <f>RIGHT(data!$C$96,4)</f>
        <v>2022</v>
      </c>
      <c r="C5" s="16" t="str">
        <f>data!F$55</f>
        <v>6100</v>
      </c>
      <c r="D5" s="16" t="s">
        <v>1121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199</v>
      </c>
      <c r="B6" s="224" t="str">
        <f>RIGHT(data!$C$96,4)</f>
        <v>2022</v>
      </c>
      <c r="C6" s="16" t="str">
        <f>data!G$55</f>
        <v>6120</v>
      </c>
      <c r="D6" s="16" t="s">
        <v>1121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199</v>
      </c>
      <c r="B7" s="224" t="str">
        <f>RIGHT(data!$C$96,4)</f>
        <v>2022</v>
      </c>
      <c r="C7" s="16" t="str">
        <f>data!H$55</f>
        <v>6140</v>
      </c>
      <c r="D7" s="16" t="s">
        <v>1121</v>
      </c>
      <c r="E7" s="222">
        <f>ROUND(data!H59,0)</f>
        <v>5070</v>
      </c>
      <c r="F7" s="212">
        <f>ROUND(data!H60,2)</f>
        <v>27.91</v>
      </c>
      <c r="G7" s="222">
        <f>ROUND(data!H61,0)</f>
        <v>1727641</v>
      </c>
      <c r="H7" s="222">
        <f>ROUND(data!H62,0)</f>
        <v>414490</v>
      </c>
      <c r="I7" s="222">
        <f>ROUND(data!H63,0)</f>
        <v>824819</v>
      </c>
      <c r="J7" s="222">
        <f>ROUND(data!H64,0)</f>
        <v>26534</v>
      </c>
      <c r="K7" s="222">
        <f>ROUND(data!H65,0)</f>
        <v>0</v>
      </c>
      <c r="L7" s="222">
        <f>ROUND(data!H66,0)</f>
        <v>35300</v>
      </c>
      <c r="M7" s="66">
        <f>ROUND(data!H67,0)</f>
        <v>43342</v>
      </c>
      <c r="N7" s="222">
        <f>ROUND(data!H68,0)</f>
        <v>0</v>
      </c>
      <c r="O7" s="222">
        <f>ROUND(data!H69,0)</f>
        <v>918678</v>
      </c>
      <c r="P7" s="222">
        <f>ROUND(data!H70,0)</f>
        <v>0</v>
      </c>
      <c r="Q7" s="222">
        <f>ROUND(data!H71,0)</f>
        <v>891570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941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2973</v>
      </c>
      <c r="AB7" s="222">
        <f>ROUND(data!H82,0)</f>
        <v>0</v>
      </c>
      <c r="AC7" s="222">
        <f>ROUND(data!H83,0)</f>
        <v>23194</v>
      </c>
      <c r="AD7" s="222">
        <f>ROUND(data!H84,0)</f>
        <v>0</v>
      </c>
      <c r="AE7" s="222">
        <f>ROUND(data!H89,0)</f>
        <v>-11415280</v>
      </c>
      <c r="AF7" s="222">
        <f>ROUND(data!H87,0)</f>
        <v>-11415280</v>
      </c>
      <c r="AG7" s="222">
        <f>IF(data!H90&gt;0,ROUND(data!H90,0),0)</f>
        <v>4798</v>
      </c>
      <c r="AH7" s="222">
        <f>IF(data!H91&gt;0,ROUND(data!H91,0),0)</f>
        <v>15242</v>
      </c>
      <c r="AI7" s="222">
        <f>IF(data!H92&gt;0,ROUND(data!H92,0),0)</f>
        <v>0</v>
      </c>
      <c r="AJ7" s="222">
        <f>IF(data!H93&gt;0,ROUND(data!H93,0),0)</f>
        <v>46098</v>
      </c>
      <c r="AK7" s="212">
        <f>IF(data!H94&gt;0,ROUND(data!H94,2),0)</f>
        <v>6.9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199</v>
      </c>
      <c r="B8" s="224" t="str">
        <f>RIGHT(data!$C$96,4)</f>
        <v>2022</v>
      </c>
      <c r="C8" s="16" t="str">
        <f>data!I$55</f>
        <v>6150</v>
      </c>
      <c r="D8" s="16" t="s">
        <v>1121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199</v>
      </c>
      <c r="B9" s="224" t="str">
        <f>RIGHT(data!$C$96,4)</f>
        <v>2022</v>
      </c>
      <c r="C9" s="16" t="str">
        <f>data!J$55</f>
        <v>6170</v>
      </c>
      <c r="D9" s="16" t="s">
        <v>1121</v>
      </c>
      <c r="E9" s="222">
        <f>ROUND(data!J59,0)</f>
        <v>444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-661195</v>
      </c>
      <c r="AF9" s="222">
        <f>ROUND(data!J87,0)</f>
        <v>-644475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199</v>
      </c>
      <c r="B10" s="224" t="str">
        <f>RIGHT(data!$C$96,4)</f>
        <v>2022</v>
      </c>
      <c r="C10" s="16" t="str">
        <f>data!K$55</f>
        <v>6200</v>
      </c>
      <c r="D10" s="16" t="s">
        <v>1121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199</v>
      </c>
      <c r="B11" s="224" t="str">
        <f>RIGHT(data!$C$96,4)</f>
        <v>2022</v>
      </c>
      <c r="C11" s="16" t="str">
        <f>data!L$55</f>
        <v>6210</v>
      </c>
      <c r="D11" s="16" t="s">
        <v>1121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199</v>
      </c>
      <c r="B12" s="224" t="str">
        <f>RIGHT(data!$C$96,4)</f>
        <v>2022</v>
      </c>
      <c r="C12" s="16" t="str">
        <f>data!M$55</f>
        <v>6330</v>
      </c>
      <c r="D12" s="16" t="s">
        <v>1121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199</v>
      </c>
      <c r="B13" s="224" t="str">
        <f>RIGHT(data!$C$96,4)</f>
        <v>2022</v>
      </c>
      <c r="C13" s="16" t="str">
        <f>data!N$55</f>
        <v>6400</v>
      </c>
      <c r="D13" s="16" t="s">
        <v>1121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199</v>
      </c>
      <c r="B14" s="224" t="str">
        <f>RIGHT(data!$C$96,4)</f>
        <v>2022</v>
      </c>
      <c r="C14" s="16" t="str">
        <f>data!O$55</f>
        <v>7010</v>
      </c>
      <c r="D14" s="16" t="s">
        <v>1121</v>
      </c>
      <c r="E14" s="222">
        <f>ROUND(data!O59,0)</f>
        <v>544</v>
      </c>
      <c r="F14" s="212">
        <f>ROUND(data!O60,2)</f>
        <v>9.61</v>
      </c>
      <c r="G14" s="222">
        <f>ROUND(data!O61,0)</f>
        <v>1100479</v>
      </c>
      <c r="H14" s="222">
        <f>ROUND(data!O62,0)</f>
        <v>252942</v>
      </c>
      <c r="I14" s="222">
        <f>ROUND(data!O63,0)</f>
        <v>919678</v>
      </c>
      <c r="J14" s="222">
        <f>ROUND(data!O64,0)</f>
        <v>90289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48951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4709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44242</v>
      </c>
      <c r="AD14" s="222">
        <f>ROUND(data!O84,0)</f>
        <v>0</v>
      </c>
      <c r="AE14" s="222">
        <f>ROUND(data!O89,0)</f>
        <v>-2506529</v>
      </c>
      <c r="AF14" s="222">
        <f>ROUND(data!O87,0)</f>
        <v>-2220772</v>
      </c>
      <c r="AG14" s="222">
        <f>IF(data!O90&gt;0,ROUND(data!O90,0),0)</f>
        <v>0</v>
      </c>
      <c r="AH14" s="222">
        <f>IF(data!O91&gt;0,ROUND(data!O91,0),0)</f>
        <v>6360</v>
      </c>
      <c r="AI14" s="222">
        <f>IF(data!O92&gt;0,ROUND(data!O92,0),0)</f>
        <v>0</v>
      </c>
      <c r="AJ14" s="222">
        <f>IF(data!O93&gt;0,ROUND(data!O93,0),0)</f>
        <v>36878</v>
      </c>
      <c r="AK14" s="212">
        <f>IF(data!O94&gt;0,ROUND(data!O94,2),0)</f>
        <v>7.38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199</v>
      </c>
      <c r="B15" s="224" t="str">
        <f>RIGHT(data!$C$96,4)</f>
        <v>2022</v>
      </c>
      <c r="C15" s="16" t="str">
        <f>data!P$55</f>
        <v>7020</v>
      </c>
      <c r="D15" s="16" t="s">
        <v>1121</v>
      </c>
      <c r="E15" s="222">
        <f>ROUND(data!P59,0)</f>
        <v>0</v>
      </c>
      <c r="F15" s="212">
        <f>ROUND(data!P60,2)</f>
        <v>31.77</v>
      </c>
      <c r="G15" s="222">
        <f>ROUND(data!P61,0)</f>
        <v>2620689</v>
      </c>
      <c r="H15" s="222">
        <f>ROUND(data!P62,0)</f>
        <v>573068</v>
      </c>
      <c r="I15" s="222">
        <f>ROUND(data!P63,0)</f>
        <v>94786</v>
      </c>
      <c r="J15" s="222">
        <f>ROUND(data!P64,0)</f>
        <v>2795277</v>
      </c>
      <c r="K15" s="222">
        <f>ROUND(data!P65,0)</f>
        <v>0</v>
      </c>
      <c r="L15" s="222">
        <f>ROUND(data!P66,0)</f>
        <v>173451</v>
      </c>
      <c r="M15" s="66">
        <f>ROUND(data!P67,0)</f>
        <v>52322</v>
      </c>
      <c r="N15" s="222">
        <f>ROUND(data!P68,0)</f>
        <v>527983</v>
      </c>
      <c r="O15" s="222">
        <f>ROUND(data!P69,0)</f>
        <v>590064</v>
      </c>
      <c r="P15" s="222">
        <f>ROUND(data!P70,0)</f>
        <v>0</v>
      </c>
      <c r="Q15" s="222">
        <f>ROUND(data!P71,0)</f>
        <v>482149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46835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610</v>
      </c>
      <c r="AB15" s="222">
        <f>ROUND(data!P82,0)</f>
        <v>20456</v>
      </c>
      <c r="AC15" s="222">
        <f>ROUND(data!P83,0)</f>
        <v>40014</v>
      </c>
      <c r="AD15" s="222">
        <f>ROUND(data!P84,0)</f>
        <v>0</v>
      </c>
      <c r="AE15" s="222">
        <f>ROUND(data!P89,0)</f>
        <v>-53441571</v>
      </c>
      <c r="AF15" s="222">
        <f>ROUND(data!P87,0)</f>
        <v>-3076562</v>
      </c>
      <c r="AG15" s="222">
        <f>IF(data!P90&gt;0,ROUND(data!P90,0),0)</f>
        <v>5792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33805</v>
      </c>
      <c r="AK15" s="212">
        <f>IF(data!P94&gt;0,ROUND(data!P94,2),0)</f>
        <v>14.45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199</v>
      </c>
      <c r="B16" s="224" t="str">
        <f>RIGHT(data!$C$96,4)</f>
        <v>2022</v>
      </c>
      <c r="C16" s="16" t="str">
        <f>data!Q$55</f>
        <v>7030</v>
      </c>
      <c r="D16" s="16" t="s">
        <v>1121</v>
      </c>
      <c r="E16" s="222">
        <f>ROUND(data!Q59,0)</f>
        <v>0</v>
      </c>
      <c r="F16" s="212">
        <f>ROUND(data!Q60,2)</f>
        <v>3.41</v>
      </c>
      <c r="G16" s="222">
        <f>ROUND(data!Q61,0)</f>
        <v>410801</v>
      </c>
      <c r="H16" s="222">
        <f>ROUND(data!Q62,0)</f>
        <v>91406</v>
      </c>
      <c r="I16" s="222">
        <f>ROUND(data!Q63,0)</f>
        <v>0</v>
      </c>
      <c r="J16" s="222">
        <f>ROUND(data!Q64,0)</f>
        <v>37172</v>
      </c>
      <c r="K16" s="222">
        <f>ROUND(data!Q65,0)</f>
        <v>0</v>
      </c>
      <c r="L16" s="222">
        <f>ROUND(data!Q66,0)</f>
        <v>210</v>
      </c>
      <c r="M16" s="66">
        <f>ROUND(data!Q67,0)</f>
        <v>35276</v>
      </c>
      <c r="N16" s="222">
        <f>ROUND(data!Q68,0)</f>
        <v>0</v>
      </c>
      <c r="O16" s="222">
        <f>ROUND(data!Q69,0)</f>
        <v>962409</v>
      </c>
      <c r="P16" s="222">
        <f>ROUND(data!Q70,0)</f>
        <v>0</v>
      </c>
      <c r="Q16" s="222">
        <f>ROUND(data!Q71,0)</f>
        <v>962409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-718668</v>
      </c>
      <c r="AF16" s="222">
        <f>ROUND(data!Q87,0)</f>
        <v>-31686</v>
      </c>
      <c r="AG16" s="222">
        <f>IF(data!Q90&gt;0,ROUND(data!Q90,0),0)</f>
        <v>3905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3.41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199</v>
      </c>
      <c r="B17" s="224" t="str">
        <f>RIGHT(data!$C$96,4)</f>
        <v>2022</v>
      </c>
      <c r="C17" s="16" t="str">
        <f>data!R$55</f>
        <v>7040</v>
      </c>
      <c r="D17" s="16" t="s">
        <v>1121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10668</v>
      </c>
      <c r="K17" s="222">
        <f>ROUND(data!R65,0)</f>
        <v>0</v>
      </c>
      <c r="L17" s="222">
        <f>ROUND(data!R66,0)</f>
        <v>733217</v>
      </c>
      <c r="M17" s="66">
        <f>ROUND(data!R67,0)</f>
        <v>1445</v>
      </c>
      <c r="N17" s="222">
        <f>ROUND(data!R68,0)</f>
        <v>0</v>
      </c>
      <c r="O17" s="222">
        <f>ROUND(data!R69,0)</f>
        <v>3599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3599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-687306</v>
      </c>
      <c r="AF17" s="222">
        <f>ROUND(data!R87,0)</f>
        <v>-192584</v>
      </c>
      <c r="AG17" s="222">
        <f>IF(data!R90&gt;0,ROUND(data!R90,0),0)</f>
        <v>160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199</v>
      </c>
      <c r="B18" s="224" t="str">
        <f>RIGHT(data!$C$96,4)</f>
        <v>2022</v>
      </c>
      <c r="C18" s="16" t="str">
        <f>data!S$55</f>
        <v>7050</v>
      </c>
      <c r="D18" s="16" t="s">
        <v>1121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-4585</v>
      </c>
      <c r="K18" s="222">
        <f>ROUND(data!S65,0)</f>
        <v>0</v>
      </c>
      <c r="L18" s="222">
        <f>ROUND(data!S66,0)</f>
        <v>46</v>
      </c>
      <c r="M18" s="66">
        <f>ROUND(data!S67,0)</f>
        <v>0</v>
      </c>
      <c r="N18" s="222">
        <f>ROUND(data!S68,0)</f>
        <v>0</v>
      </c>
      <c r="O18" s="222">
        <f>ROUND(data!S69,0)</f>
        <v>25735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25735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-366700</v>
      </c>
      <c r="AF18" s="222">
        <f>ROUND(data!S87,0)</f>
        <v>-60274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199</v>
      </c>
      <c r="B19" s="224" t="str">
        <f>RIGHT(data!$C$96,4)</f>
        <v>2022</v>
      </c>
      <c r="C19" s="16" t="str">
        <f>data!T$55</f>
        <v>7060</v>
      </c>
      <c r="D19" s="16" t="s">
        <v>1121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-352</v>
      </c>
      <c r="K19" s="222">
        <f>ROUND(data!T65,0)</f>
        <v>0</v>
      </c>
      <c r="L19" s="222">
        <f>ROUND(data!T66,0)</f>
        <v>610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-308350</v>
      </c>
      <c r="AF19" s="222">
        <f>ROUND(data!T87,0)</f>
        <v>-5558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199</v>
      </c>
      <c r="B20" s="224" t="str">
        <f>RIGHT(data!$C$96,4)</f>
        <v>2022</v>
      </c>
      <c r="C20" s="16" t="str">
        <f>data!U$55</f>
        <v>7070</v>
      </c>
      <c r="D20" s="16" t="s">
        <v>1121</v>
      </c>
      <c r="E20" s="222">
        <f>ROUND(data!U59,0)</f>
        <v>0</v>
      </c>
      <c r="F20" s="212">
        <f>ROUND(data!U60,2)</f>
        <v>17.72</v>
      </c>
      <c r="G20" s="222">
        <f>ROUND(data!U61,0)</f>
        <v>977903</v>
      </c>
      <c r="H20" s="222">
        <f>ROUND(data!U62,0)</f>
        <v>229933</v>
      </c>
      <c r="I20" s="222">
        <f>ROUND(data!U63,0)</f>
        <v>50000</v>
      </c>
      <c r="J20" s="222">
        <f>ROUND(data!U64,0)</f>
        <v>755072</v>
      </c>
      <c r="K20" s="222">
        <f>ROUND(data!U65,0)</f>
        <v>0</v>
      </c>
      <c r="L20" s="222">
        <f>ROUND(data!U66,0)</f>
        <v>624670</v>
      </c>
      <c r="M20" s="66">
        <f>ROUND(data!U67,0)</f>
        <v>24761</v>
      </c>
      <c r="N20" s="222">
        <f>ROUND(data!U68,0)</f>
        <v>39438</v>
      </c>
      <c r="O20" s="222">
        <f>ROUND(data!U69,0)</f>
        <v>672294</v>
      </c>
      <c r="P20" s="222">
        <f>ROUND(data!U70,0)</f>
        <v>0</v>
      </c>
      <c r="Q20" s="222">
        <f>ROUND(data!U71,0)</f>
        <v>520927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3914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3732</v>
      </c>
      <c r="AB20" s="222">
        <f>ROUND(data!U82,0)</f>
        <v>0</v>
      </c>
      <c r="AC20" s="222">
        <f>ROUND(data!U83,0)</f>
        <v>143721</v>
      </c>
      <c r="AD20" s="222">
        <f>ROUND(data!U84,0)</f>
        <v>0</v>
      </c>
      <c r="AE20" s="222">
        <f>ROUND(data!U89,0)</f>
        <v>-21034605</v>
      </c>
      <c r="AF20" s="222">
        <f>ROUND(data!U87,0)</f>
        <v>-7732124</v>
      </c>
      <c r="AG20" s="222">
        <f>IF(data!U90&gt;0,ROUND(data!U90,0),0)</f>
        <v>2741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199</v>
      </c>
      <c r="B21" s="224" t="str">
        <f>RIGHT(data!$C$96,4)</f>
        <v>2022</v>
      </c>
      <c r="C21" s="16" t="str">
        <f>data!V$55</f>
        <v>7110</v>
      </c>
      <c r="D21" s="16" t="s">
        <v>1121</v>
      </c>
      <c r="E21" s="222">
        <f>ROUND(data!V59,0)</f>
        <v>0</v>
      </c>
      <c r="F21" s="212">
        <f>ROUND(data!V60,2)</f>
        <v>0</v>
      </c>
      <c r="G21" s="222">
        <f>ROUND(data!V61,0)</f>
        <v>69439</v>
      </c>
      <c r="H21" s="222">
        <f>ROUND(data!V62,0)</f>
        <v>16011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1591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1591</v>
      </c>
      <c r="AD21" s="222">
        <f>ROUND(data!V84,0)</f>
        <v>0</v>
      </c>
      <c r="AE21" s="222">
        <f>ROUND(data!V89,0)</f>
        <v>-2711380</v>
      </c>
      <c r="AF21" s="222">
        <f>ROUND(data!V87,0)</f>
        <v>-703399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199</v>
      </c>
      <c r="B22" s="224" t="str">
        <f>RIGHT(data!$C$96,4)</f>
        <v>2022</v>
      </c>
      <c r="C22" s="16" t="str">
        <f>data!W$55</f>
        <v>7120</v>
      </c>
      <c r="D22" s="16" t="s">
        <v>1121</v>
      </c>
      <c r="E22" s="222">
        <f>ROUND(data!W59,0)</f>
        <v>0</v>
      </c>
      <c r="F22" s="212">
        <f>ROUND(data!W60,2)</f>
        <v>7.0000000000000007E-2</v>
      </c>
      <c r="G22" s="222">
        <f>ROUND(data!W61,0)</f>
        <v>6298</v>
      </c>
      <c r="H22" s="222">
        <f>ROUND(data!W62,0)</f>
        <v>1511</v>
      </c>
      <c r="I22" s="222">
        <f>ROUND(data!W63,0)</f>
        <v>0</v>
      </c>
      <c r="J22" s="222">
        <f>ROUND(data!W64,0)</f>
        <v>457</v>
      </c>
      <c r="K22" s="222">
        <f>ROUND(data!W65,0)</f>
        <v>0</v>
      </c>
      <c r="L22" s="222">
        <f>ROUND(data!W66,0)</f>
        <v>289614</v>
      </c>
      <c r="M22" s="66">
        <f>ROUND(data!W67,0)</f>
        <v>0</v>
      </c>
      <c r="N22" s="222">
        <f>ROUND(data!W68,0)</f>
        <v>0</v>
      </c>
      <c r="O22" s="222">
        <f>ROUND(data!W69,0)</f>
        <v>2229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2229</v>
      </c>
      <c r="AD22" s="222">
        <f>ROUND(data!W84,0)</f>
        <v>0</v>
      </c>
      <c r="AE22" s="222">
        <f>ROUND(data!W89,0)</f>
        <v>-2632013</v>
      </c>
      <c r="AF22" s="222">
        <f>ROUND(data!W87,0)</f>
        <v>-241486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199</v>
      </c>
      <c r="B23" s="224" t="str">
        <f>RIGHT(data!$C$96,4)</f>
        <v>2022</v>
      </c>
      <c r="C23" s="16" t="str">
        <f>data!X$55</f>
        <v>7130</v>
      </c>
      <c r="D23" s="16" t="s">
        <v>1121</v>
      </c>
      <c r="E23" s="222">
        <f>ROUND(data!X59,0)</f>
        <v>0</v>
      </c>
      <c r="F23" s="212">
        <f>ROUND(data!X60,2)</f>
        <v>0.9</v>
      </c>
      <c r="G23" s="222">
        <f>ROUND(data!X61,0)</f>
        <v>74779</v>
      </c>
      <c r="H23" s="222">
        <f>ROUND(data!X62,0)</f>
        <v>15281</v>
      </c>
      <c r="I23" s="222">
        <f>ROUND(data!X63,0)</f>
        <v>0</v>
      </c>
      <c r="J23" s="222">
        <f>ROUND(data!X64,0)</f>
        <v>26605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525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525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-21582418</v>
      </c>
      <c r="AF23" s="222">
        <f>ROUND(data!X87,0)</f>
        <v>-3588394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199</v>
      </c>
      <c r="B24" s="224" t="str">
        <f>RIGHT(data!$C$96,4)</f>
        <v>2022</v>
      </c>
      <c r="C24" s="16" t="str">
        <f>data!Y$55</f>
        <v>7140</v>
      </c>
      <c r="D24" s="16" t="s">
        <v>1121</v>
      </c>
      <c r="E24" s="222">
        <f>ROUND(data!Y59,0)</f>
        <v>0</v>
      </c>
      <c r="F24" s="212">
        <f>ROUND(data!Y60,2)</f>
        <v>15.45</v>
      </c>
      <c r="G24" s="222">
        <f>ROUND(data!Y61,0)</f>
        <v>958775</v>
      </c>
      <c r="H24" s="222">
        <f>ROUND(data!Y62,0)</f>
        <v>224819</v>
      </c>
      <c r="I24" s="222">
        <f>ROUND(data!Y63,0)</f>
        <v>0</v>
      </c>
      <c r="J24" s="222">
        <f>ROUND(data!Y64,0)</f>
        <v>20227</v>
      </c>
      <c r="K24" s="222">
        <f>ROUND(data!Y65,0)</f>
        <v>0</v>
      </c>
      <c r="L24" s="222">
        <f>ROUND(data!Y66,0)</f>
        <v>260910</v>
      </c>
      <c r="M24" s="66">
        <f>ROUND(data!Y67,0)</f>
        <v>36838</v>
      </c>
      <c r="N24" s="222">
        <f>ROUND(data!Y68,0)</f>
        <v>0</v>
      </c>
      <c r="O24" s="222">
        <f>ROUND(data!Y69,0)</f>
        <v>-10650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-12803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890</v>
      </c>
      <c r="AB24" s="222">
        <f>ROUND(data!Y82,0)</f>
        <v>0</v>
      </c>
      <c r="AC24" s="222">
        <f>ROUND(data!Y83,0)</f>
        <v>1263</v>
      </c>
      <c r="AD24" s="222">
        <f>ROUND(data!Y84,0)</f>
        <v>0</v>
      </c>
      <c r="AE24" s="222">
        <f>ROUND(data!Y89,0)</f>
        <v>-10460612</v>
      </c>
      <c r="AF24" s="222">
        <f>ROUND(data!Y87,0)</f>
        <v>-1243916</v>
      </c>
      <c r="AG24" s="222">
        <f>IF(data!Y90&gt;0,ROUND(data!Y90,0),0)</f>
        <v>4078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21513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199</v>
      </c>
      <c r="B25" s="224" t="str">
        <f>RIGHT(data!$C$96,4)</f>
        <v>2022</v>
      </c>
      <c r="C25" s="16" t="str">
        <f>data!Z$55</f>
        <v>7150</v>
      </c>
      <c r="D25" s="16" t="s">
        <v>1121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199</v>
      </c>
      <c r="B26" s="224" t="str">
        <f>RIGHT(data!$C$96,4)</f>
        <v>2022</v>
      </c>
      <c r="C26" s="16" t="str">
        <f>data!AA$55</f>
        <v>7160</v>
      </c>
      <c r="D26" s="16" t="s">
        <v>1121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199</v>
      </c>
      <c r="B27" s="224" t="str">
        <f>RIGHT(data!$C$96,4)</f>
        <v>2022</v>
      </c>
      <c r="C27" s="16" t="str">
        <f>data!AB$55</f>
        <v>7170</v>
      </c>
      <c r="D27" s="16" t="s">
        <v>1121</v>
      </c>
      <c r="E27" s="222"/>
      <c r="F27" s="212">
        <f>ROUND(data!AB60,2)</f>
        <v>4.84</v>
      </c>
      <c r="G27" s="222">
        <f>ROUND(data!AB61,0)</f>
        <v>464893</v>
      </c>
      <c r="H27" s="222">
        <f>ROUND(data!AB62,0)</f>
        <v>108623</v>
      </c>
      <c r="I27" s="222">
        <f>ROUND(data!AB63,0)</f>
        <v>0</v>
      </c>
      <c r="J27" s="222">
        <f>ROUND(data!AB64,0)</f>
        <v>909248</v>
      </c>
      <c r="K27" s="222">
        <f>ROUND(data!AB65,0)</f>
        <v>0</v>
      </c>
      <c r="L27" s="222">
        <f>ROUND(data!AB66,0)</f>
        <v>244420</v>
      </c>
      <c r="M27" s="66">
        <f>ROUND(data!AB67,0)</f>
        <v>9594</v>
      </c>
      <c r="N27" s="222">
        <f>ROUND(data!AB68,0)</f>
        <v>0</v>
      </c>
      <c r="O27" s="222">
        <f>ROUND(data!AB69,0)</f>
        <v>43415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390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2942</v>
      </c>
      <c r="AB27" s="222">
        <f>ROUND(data!AB82,0)</f>
        <v>0</v>
      </c>
      <c r="AC27" s="222">
        <f>ROUND(data!AB83,0)</f>
        <v>40083</v>
      </c>
      <c r="AD27" s="222">
        <f>ROUND(data!AB84,0)</f>
        <v>0</v>
      </c>
      <c r="AE27" s="222">
        <f>ROUND(data!AB89,0)</f>
        <v>-11003961</v>
      </c>
      <c r="AF27" s="222">
        <f>ROUND(data!AB87,0)</f>
        <v>-7373555</v>
      </c>
      <c r="AG27" s="222">
        <f>IF(data!AB90&gt;0,ROUND(data!AB90,0),0)</f>
        <v>1062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199</v>
      </c>
      <c r="B28" s="224" t="str">
        <f>RIGHT(data!$C$96,4)</f>
        <v>2022</v>
      </c>
      <c r="C28" s="16" t="str">
        <f>data!AC$55</f>
        <v>7180</v>
      </c>
      <c r="D28" s="16" t="s">
        <v>1121</v>
      </c>
      <c r="E28" s="222">
        <f>ROUND(data!AC59,0)</f>
        <v>0</v>
      </c>
      <c r="F28" s="212">
        <f>ROUND(data!AC60,2)</f>
        <v>0.48</v>
      </c>
      <c r="G28" s="222">
        <f>ROUND(data!AC61,0)</f>
        <v>45180</v>
      </c>
      <c r="H28" s="222">
        <f>ROUND(data!AC62,0)</f>
        <v>10305</v>
      </c>
      <c r="I28" s="222">
        <f>ROUND(data!AC63,0)</f>
        <v>0</v>
      </c>
      <c r="J28" s="222">
        <f>ROUND(data!AC64,0)</f>
        <v>35139</v>
      </c>
      <c r="K28" s="222">
        <f>ROUND(data!AC65,0)</f>
        <v>0</v>
      </c>
      <c r="L28" s="222">
        <f>ROUND(data!AC66,0)</f>
        <v>687184</v>
      </c>
      <c r="M28" s="66">
        <f>ROUND(data!AC67,0)</f>
        <v>7606</v>
      </c>
      <c r="N28" s="222">
        <f>ROUND(data!AC68,0)</f>
        <v>0</v>
      </c>
      <c r="O28" s="222">
        <f>ROUND(data!AC69,0)</f>
        <v>-21527</v>
      </c>
      <c r="P28" s="222">
        <f>ROUND(data!AC70,0)</f>
        <v>0</v>
      </c>
      <c r="Q28" s="222">
        <f>ROUND(data!AC71,0)</f>
        <v>-24653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2918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208</v>
      </c>
      <c r="AD28" s="222">
        <f>ROUND(data!AC84,0)</f>
        <v>0</v>
      </c>
      <c r="AE28" s="222">
        <f>ROUND(data!AC89,0)</f>
        <v>-3118908</v>
      </c>
      <c r="AF28" s="222">
        <f>ROUND(data!AC87,0)</f>
        <v>-2475173</v>
      </c>
      <c r="AG28" s="222">
        <f>IF(data!AC90&gt;0,ROUND(data!AC90,0),0)</f>
        <v>842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199</v>
      </c>
      <c r="B29" s="224" t="str">
        <f>RIGHT(data!$C$96,4)</f>
        <v>2022</v>
      </c>
      <c r="C29" s="16" t="str">
        <f>data!AD$55</f>
        <v>7190</v>
      </c>
      <c r="D29" s="16" t="s">
        <v>1121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199</v>
      </c>
      <c r="B30" s="224" t="str">
        <f>RIGHT(data!$C$96,4)</f>
        <v>2022</v>
      </c>
      <c r="C30" s="16" t="str">
        <f>data!AE$55</f>
        <v>7200</v>
      </c>
      <c r="D30" s="16" t="s">
        <v>1121</v>
      </c>
      <c r="E30" s="222">
        <f>ROUND(data!AE59,0)</f>
        <v>0</v>
      </c>
      <c r="F30" s="212">
        <f>ROUND(data!AE60,2)</f>
        <v>0.8</v>
      </c>
      <c r="G30" s="222">
        <f>ROUND(data!AE61,0)</f>
        <v>97118</v>
      </c>
      <c r="H30" s="222">
        <f>ROUND(data!AE62,0)</f>
        <v>19830</v>
      </c>
      <c r="I30" s="222">
        <f>ROUND(data!AE63,0)</f>
        <v>0</v>
      </c>
      <c r="J30" s="222">
        <f>ROUND(data!AE64,0)</f>
        <v>1952</v>
      </c>
      <c r="K30" s="222">
        <f>ROUND(data!AE65,0)</f>
        <v>0</v>
      </c>
      <c r="L30" s="222">
        <f>ROUND(data!AE66,0)</f>
        <v>0</v>
      </c>
      <c r="M30" s="66">
        <f>ROUND(data!AE67,0)</f>
        <v>12285</v>
      </c>
      <c r="N30" s="222">
        <f>ROUND(data!AE68,0)</f>
        <v>0</v>
      </c>
      <c r="O30" s="222">
        <f>ROUND(data!AE69,0)</f>
        <v>34497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34497</v>
      </c>
      <c r="AD30" s="222">
        <f>ROUND(data!AE84,0)</f>
        <v>0</v>
      </c>
      <c r="AE30" s="222">
        <f>ROUND(data!AE89,0)</f>
        <v>-454217</v>
      </c>
      <c r="AF30" s="222">
        <f>ROUND(data!AE87,0)</f>
        <v>-167878</v>
      </c>
      <c r="AG30" s="222">
        <f>IF(data!AE90&gt;0,ROUND(data!AE90,0),0)</f>
        <v>1360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199</v>
      </c>
      <c r="B31" s="224" t="str">
        <f>RIGHT(data!$C$96,4)</f>
        <v>2022</v>
      </c>
      <c r="C31" s="16" t="str">
        <f>data!AF$55</f>
        <v>7220</v>
      </c>
      <c r="D31" s="16" t="s">
        <v>1121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199</v>
      </c>
      <c r="B32" s="224" t="str">
        <f>RIGHT(data!$C$96,4)</f>
        <v>2022</v>
      </c>
      <c r="C32" s="16" t="str">
        <f>data!AG$55</f>
        <v>7230</v>
      </c>
      <c r="D32" s="16" t="s">
        <v>1121</v>
      </c>
      <c r="E32" s="222">
        <f>ROUND(data!AG59,0)</f>
        <v>0</v>
      </c>
      <c r="F32" s="212">
        <f>ROUND(data!AG60,2)</f>
        <v>19.75</v>
      </c>
      <c r="G32" s="222">
        <f>ROUND(data!AG61,0)</f>
        <v>2009345</v>
      </c>
      <c r="H32" s="222">
        <f>ROUND(data!AG62,0)</f>
        <v>447654</v>
      </c>
      <c r="I32" s="222">
        <f>ROUND(data!AG63,0)</f>
        <v>1728345</v>
      </c>
      <c r="J32" s="222">
        <f>ROUND(data!AG64,0)</f>
        <v>261749</v>
      </c>
      <c r="K32" s="222">
        <f>ROUND(data!AG65,0)</f>
        <v>0</v>
      </c>
      <c r="L32" s="222">
        <f>ROUND(data!AG66,0)</f>
        <v>11370</v>
      </c>
      <c r="M32" s="66">
        <f>ROUND(data!AG67,0)</f>
        <v>41789</v>
      </c>
      <c r="N32" s="222">
        <f>ROUND(data!AG68,0)</f>
        <v>0</v>
      </c>
      <c r="O32" s="222">
        <f>ROUND(data!AG69,0)</f>
        <v>1187695</v>
      </c>
      <c r="P32" s="222">
        <f>ROUND(data!AG70,0)</f>
        <v>0</v>
      </c>
      <c r="Q32" s="222">
        <f>ROUND(data!AG71,0)</f>
        <v>1174388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3828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140</v>
      </c>
      <c r="AC32" s="222">
        <f>ROUND(data!AG83,0)</f>
        <v>9339</v>
      </c>
      <c r="AD32" s="222">
        <f>ROUND(data!AG84,0)</f>
        <v>0</v>
      </c>
      <c r="AE32" s="222">
        <f>ROUND(data!AG89,0)</f>
        <v>-27043169</v>
      </c>
      <c r="AF32" s="222">
        <f>ROUND(data!AG87,0)</f>
        <v>-3223731</v>
      </c>
      <c r="AG32" s="222">
        <f>IF(data!AG90&gt;0,ROUND(data!AG90,0),0)</f>
        <v>4626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92195</v>
      </c>
      <c r="AK32" s="212">
        <f>IF(data!AG94&gt;0,ROUND(data!AG94,2),0)</f>
        <v>10.75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199</v>
      </c>
      <c r="B33" s="224" t="str">
        <f>RIGHT(data!$C$96,4)</f>
        <v>2022</v>
      </c>
      <c r="C33" s="16" t="str">
        <f>data!AH$55</f>
        <v>7240</v>
      </c>
      <c r="D33" s="16" t="s">
        <v>1121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199</v>
      </c>
      <c r="B34" s="224" t="str">
        <f>RIGHT(data!$C$96,4)</f>
        <v>2022</v>
      </c>
      <c r="C34" s="16" t="str">
        <f>data!AI$55</f>
        <v>7250</v>
      </c>
      <c r="D34" s="16" t="s">
        <v>1121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199</v>
      </c>
      <c r="B35" s="224" t="str">
        <f>RIGHT(data!$C$96,4)</f>
        <v>2022</v>
      </c>
      <c r="C35" s="16" t="str">
        <f>data!AJ$55</f>
        <v>7260</v>
      </c>
      <c r="D35" s="16" t="s">
        <v>1121</v>
      </c>
      <c r="E35" s="222">
        <f>ROUND(data!AJ59,0)</f>
        <v>0</v>
      </c>
      <c r="F35" s="212">
        <f>ROUND(data!AJ60,2)</f>
        <v>53.09</v>
      </c>
      <c r="G35" s="222">
        <f>ROUND(data!AJ61,0)</f>
        <v>6151462</v>
      </c>
      <c r="H35" s="222">
        <f>ROUND(data!AJ62,0)</f>
        <v>1155019</v>
      </c>
      <c r="I35" s="222">
        <f>ROUND(data!AJ63,0)</f>
        <v>8085</v>
      </c>
      <c r="J35" s="222">
        <f>ROUND(data!AJ64,0)</f>
        <v>277275</v>
      </c>
      <c r="K35" s="222">
        <f>ROUND(data!AJ65,0)</f>
        <v>0</v>
      </c>
      <c r="L35" s="222">
        <f>ROUND(data!AJ66,0)</f>
        <v>227611</v>
      </c>
      <c r="M35" s="66">
        <f>ROUND(data!AJ67,0)</f>
        <v>0</v>
      </c>
      <c r="N35" s="222">
        <f>ROUND(data!AJ68,0)</f>
        <v>420982</v>
      </c>
      <c r="O35" s="222">
        <f>ROUND(data!AJ69,0)</f>
        <v>170320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44306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4327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8919</v>
      </c>
      <c r="AB35" s="222">
        <f>ROUND(data!AJ82,0)</f>
        <v>69512</v>
      </c>
      <c r="AC35" s="222">
        <f>ROUND(data!AJ83,0)</f>
        <v>43256</v>
      </c>
      <c r="AD35" s="222">
        <f>ROUND(data!AJ84,0)</f>
        <v>0</v>
      </c>
      <c r="AE35" s="222">
        <f>ROUND(data!AJ89,0)</f>
        <v>-26042000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199</v>
      </c>
      <c r="B36" s="224" t="str">
        <f>RIGHT(data!$C$96,4)</f>
        <v>2022</v>
      </c>
      <c r="C36" s="16" t="str">
        <f>data!AK$55</f>
        <v>7310</v>
      </c>
      <c r="D36" s="16" t="s">
        <v>1121</v>
      </c>
      <c r="E36" s="222">
        <f>ROUND(data!AK59,0)</f>
        <v>0</v>
      </c>
      <c r="F36" s="212">
        <f>ROUND(data!AK60,2)</f>
        <v>0.03</v>
      </c>
      <c r="G36" s="222">
        <f>ROUND(data!AK61,0)</f>
        <v>2769</v>
      </c>
      <c r="H36" s="222">
        <f>ROUND(data!AK62,0)</f>
        <v>575</v>
      </c>
      <c r="I36" s="222">
        <f>ROUND(data!AK63,0)</f>
        <v>0</v>
      </c>
      <c r="J36" s="222">
        <f>ROUND(data!AK64,0)</f>
        <v>10</v>
      </c>
      <c r="K36" s="222">
        <f>ROUND(data!AK65,0)</f>
        <v>0</v>
      </c>
      <c r="L36" s="222">
        <f>ROUND(data!AK66,0)</f>
        <v>10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-93361</v>
      </c>
      <c r="AF36" s="222">
        <f>ROUND(data!AK87,0)</f>
        <v>-91549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199</v>
      </c>
      <c r="B37" s="224" t="str">
        <f>RIGHT(data!$C$96,4)</f>
        <v>2022</v>
      </c>
      <c r="C37" s="16" t="str">
        <f>data!AL$55</f>
        <v>7320</v>
      </c>
      <c r="D37" s="16" t="s">
        <v>1121</v>
      </c>
      <c r="E37" s="222">
        <f>ROUND(data!AL59,0)</f>
        <v>0</v>
      </c>
      <c r="F37" s="212">
        <f>ROUND(data!AL60,2)</f>
        <v>0.06</v>
      </c>
      <c r="G37" s="222">
        <f>ROUND(data!AL61,0)</f>
        <v>6771</v>
      </c>
      <c r="H37" s="222">
        <f>ROUND(data!AL62,0)</f>
        <v>1421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-30351</v>
      </c>
      <c r="AF37" s="222">
        <f>ROUND(data!AL87,0)</f>
        <v>-30351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199</v>
      </c>
      <c r="B38" s="224" t="str">
        <f>RIGHT(data!$C$96,4)</f>
        <v>2022</v>
      </c>
      <c r="C38" s="16" t="str">
        <f>data!AM$55</f>
        <v>7330</v>
      </c>
      <c r="D38" s="16" t="s">
        <v>1121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199</v>
      </c>
      <c r="B39" s="224" t="str">
        <f>RIGHT(data!$C$96,4)</f>
        <v>2022</v>
      </c>
      <c r="C39" s="16" t="str">
        <f>data!AN$55</f>
        <v>7340</v>
      </c>
      <c r="D39" s="16" t="s">
        <v>1121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199</v>
      </c>
      <c r="B40" s="224" t="str">
        <f>RIGHT(data!$C$96,4)</f>
        <v>2022</v>
      </c>
      <c r="C40" s="16" t="str">
        <f>data!AO$55</f>
        <v>7350</v>
      </c>
      <c r="D40" s="16" t="s">
        <v>1121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-1446574</v>
      </c>
      <c r="AF40" s="222">
        <f>ROUND(data!AO87,0)</f>
        <v>-1318007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199</v>
      </c>
      <c r="B41" s="224" t="str">
        <f>RIGHT(data!$C$96,4)</f>
        <v>2022</v>
      </c>
      <c r="C41" s="16" t="str">
        <f>data!AP$55</f>
        <v>7380</v>
      </c>
      <c r="D41" s="16" t="s">
        <v>1121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199</v>
      </c>
      <c r="B42" s="224" t="str">
        <f>RIGHT(data!$C$96,4)</f>
        <v>2022</v>
      </c>
      <c r="C42" s="16" t="str">
        <f>data!AQ$55</f>
        <v>7390</v>
      </c>
      <c r="D42" s="16" t="s">
        <v>1121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199</v>
      </c>
      <c r="B43" s="224" t="str">
        <f>RIGHT(data!$C$96,4)</f>
        <v>2022</v>
      </c>
      <c r="C43" s="16" t="str">
        <f>data!AR$55</f>
        <v>7400</v>
      </c>
      <c r="D43" s="16" t="s">
        <v>1121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199</v>
      </c>
      <c r="B44" s="224" t="str">
        <f>RIGHT(data!$C$96,4)</f>
        <v>2022</v>
      </c>
      <c r="C44" s="16" t="str">
        <f>data!AS$55</f>
        <v>7410</v>
      </c>
      <c r="D44" s="16" t="s">
        <v>1121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199</v>
      </c>
      <c r="B45" s="224" t="str">
        <f>RIGHT(data!$C$96,4)</f>
        <v>2022</v>
      </c>
      <c r="C45" s="16" t="str">
        <f>data!AT$55</f>
        <v>7420</v>
      </c>
      <c r="D45" s="16" t="s">
        <v>1121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199</v>
      </c>
      <c r="B46" s="224" t="str">
        <f>RIGHT(data!$C$96,4)</f>
        <v>2022</v>
      </c>
      <c r="C46" s="16" t="str">
        <f>data!AU$55</f>
        <v>7430</v>
      </c>
      <c r="D46" s="16" t="s">
        <v>1121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199</v>
      </c>
      <c r="B47" s="224" t="str">
        <f>RIGHT(data!$C$96,4)</f>
        <v>2022</v>
      </c>
      <c r="C47" s="16" t="str">
        <f>data!AV$55</f>
        <v>7490</v>
      </c>
      <c r="D47" s="16" t="s">
        <v>1121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113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-172636</v>
      </c>
      <c r="AF47" s="222">
        <f>ROUND(data!AV87,0)</f>
        <v>-73644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199</v>
      </c>
      <c r="B48" s="224" t="str">
        <f>RIGHT(data!$C$96,4)</f>
        <v>2022</v>
      </c>
      <c r="C48" s="16" t="str">
        <f>data!AW$55</f>
        <v>8200</v>
      </c>
      <c r="D48" s="16" t="s">
        <v>1121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199</v>
      </c>
      <c r="B49" s="224" t="str">
        <f>RIGHT(data!$C$96,4)</f>
        <v>2022</v>
      </c>
      <c r="C49" s="16" t="str">
        <f>data!AX$55</f>
        <v>8310</v>
      </c>
      <c r="D49" s="16" t="s">
        <v>1121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199</v>
      </c>
      <c r="B50" s="224" t="str">
        <f>RIGHT(data!$C$96,4)</f>
        <v>2022</v>
      </c>
      <c r="C50" s="16" t="str">
        <f>data!AY$55</f>
        <v>8320</v>
      </c>
      <c r="D50" s="16" t="s">
        <v>1121</v>
      </c>
      <c r="E50" s="222">
        <f>ROUND(data!AY59,0)</f>
        <v>26331</v>
      </c>
      <c r="F50" s="212">
        <f>ROUND(data!AY60,2)</f>
        <v>7.38</v>
      </c>
      <c r="G50" s="222">
        <f>ROUND(data!AY61,0)</f>
        <v>282969</v>
      </c>
      <c r="H50" s="222">
        <f>ROUND(data!AY62,0)</f>
        <v>70234</v>
      </c>
      <c r="I50" s="222">
        <f>ROUND(data!AY63,0)</f>
        <v>0</v>
      </c>
      <c r="J50" s="222">
        <f>ROUND(data!AY64,0)</f>
        <v>369739</v>
      </c>
      <c r="K50" s="222">
        <f>ROUND(data!AY65,0)</f>
        <v>0</v>
      </c>
      <c r="L50" s="222">
        <f>ROUND(data!AY66,0)</f>
        <v>14021</v>
      </c>
      <c r="M50" s="66">
        <f>ROUND(data!AY67,0)</f>
        <v>4860</v>
      </c>
      <c r="N50" s="222">
        <f>ROUND(data!AY68,0)</f>
        <v>1448</v>
      </c>
      <c r="O50" s="222">
        <f>ROUND(data!AY69,0)</f>
        <v>36213</v>
      </c>
      <c r="P50" s="222">
        <f>ROUND(data!AY70,0)</f>
        <v>0</v>
      </c>
      <c r="Q50" s="222">
        <f>ROUND(data!AY71,0)</f>
        <v>34200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1201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398</v>
      </c>
      <c r="AC50" s="222">
        <f>ROUND(data!AY83,0)</f>
        <v>414</v>
      </c>
      <c r="AD50" s="222">
        <f>ROUND(data!AY84,0)</f>
        <v>0</v>
      </c>
      <c r="AE50" s="222"/>
      <c r="AF50" s="222"/>
      <c r="AG50" s="222">
        <f>IF(data!AY90&gt;0,ROUND(data!AY90,0),0)</f>
        <v>538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199</v>
      </c>
      <c r="B51" s="224" t="str">
        <f>RIGHT(data!$C$96,4)</f>
        <v>2022</v>
      </c>
      <c r="C51" s="16" t="str">
        <f>data!AZ$55</f>
        <v>8330</v>
      </c>
      <c r="D51" s="16" t="s">
        <v>1121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21003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2325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199</v>
      </c>
      <c r="B52" s="224" t="str">
        <f>RIGHT(data!$C$96,4)</f>
        <v>2022</v>
      </c>
      <c r="C52" s="16" t="str">
        <f>data!BA$55</f>
        <v>8350</v>
      </c>
      <c r="D52" s="16" t="s">
        <v>1121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199</v>
      </c>
      <c r="B53" s="224" t="str">
        <f>RIGHT(data!$C$96,4)</f>
        <v>2022</v>
      </c>
      <c r="C53" s="16" t="str">
        <f>data!BB$55</f>
        <v>8360</v>
      </c>
      <c r="D53" s="16" t="s">
        <v>1121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199</v>
      </c>
      <c r="B54" s="224" t="str">
        <f>RIGHT(data!$C$96,4)</f>
        <v>2022</v>
      </c>
      <c r="C54" s="16" t="str">
        <f>data!BC$55</f>
        <v>8370</v>
      </c>
      <c r="D54" s="16" t="s">
        <v>1121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199</v>
      </c>
      <c r="B55" s="224" t="str">
        <f>RIGHT(data!$C$96,4)</f>
        <v>2022</v>
      </c>
      <c r="C55" s="16" t="str">
        <f>data!BD$55</f>
        <v>8420</v>
      </c>
      <c r="D55" s="16" t="s">
        <v>1121</v>
      </c>
      <c r="E55" s="222"/>
      <c r="F55" s="212">
        <f>ROUND(data!BD60,2)</f>
        <v>3.81</v>
      </c>
      <c r="G55" s="222">
        <f>ROUND(data!BD61,0)</f>
        <v>159811</v>
      </c>
      <c r="H55" s="222">
        <f>ROUND(data!BD62,0)</f>
        <v>38584</v>
      </c>
      <c r="I55" s="222">
        <f>ROUND(data!BD63,0)</f>
        <v>0</v>
      </c>
      <c r="J55" s="222">
        <f>ROUND(data!BD64,0)</f>
        <v>-47512</v>
      </c>
      <c r="K55" s="222">
        <f>ROUND(data!BD65,0)</f>
        <v>0</v>
      </c>
      <c r="L55" s="222">
        <f>ROUND(data!BD66,0)</f>
        <v>4117</v>
      </c>
      <c r="M55" s="66">
        <f>ROUND(data!BD67,0)</f>
        <v>19223</v>
      </c>
      <c r="N55" s="222">
        <f>ROUND(data!BD68,0)</f>
        <v>0</v>
      </c>
      <c r="O55" s="222">
        <f>ROUND(data!BD69,0)</f>
        <v>-54504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10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-54514</v>
      </c>
      <c r="AD55" s="222">
        <f>ROUND(data!BD84,0)</f>
        <v>0</v>
      </c>
      <c r="AE55" s="222"/>
      <c r="AF55" s="222"/>
      <c r="AG55" s="222">
        <f>IF(data!BD90&gt;0,ROUND(data!BD90,0),0)</f>
        <v>2128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199</v>
      </c>
      <c r="B56" s="224" t="str">
        <f>RIGHT(data!$C$96,4)</f>
        <v>2022</v>
      </c>
      <c r="C56" s="16" t="str">
        <f>data!BE$55</f>
        <v>8430</v>
      </c>
      <c r="D56" s="16" t="s">
        <v>1121</v>
      </c>
      <c r="E56" s="222">
        <f>ROUND(data!BE59,0)</f>
        <v>79212</v>
      </c>
      <c r="F56" s="212">
        <f>ROUND(data!BE60,2)</f>
        <v>5.93</v>
      </c>
      <c r="G56" s="222">
        <f>ROUND(data!BE61,0)</f>
        <v>169112</v>
      </c>
      <c r="H56" s="222">
        <f>ROUND(data!BE62,0)</f>
        <v>47185</v>
      </c>
      <c r="I56" s="222">
        <f>ROUND(data!BE63,0)</f>
        <v>0</v>
      </c>
      <c r="J56" s="222">
        <f>ROUND(data!BE64,0)</f>
        <v>48410</v>
      </c>
      <c r="K56" s="222">
        <f>ROUND(data!BE65,0)</f>
        <v>0</v>
      </c>
      <c r="L56" s="222">
        <f>ROUND(data!BE66,0)</f>
        <v>58207</v>
      </c>
      <c r="M56" s="66">
        <f>ROUND(data!BE67,0)</f>
        <v>28067</v>
      </c>
      <c r="N56" s="222">
        <f>ROUND(data!BE68,0)</f>
        <v>18704</v>
      </c>
      <c r="O56" s="222">
        <f>ROUND(data!BE69,0)</f>
        <v>697521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181650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170</v>
      </c>
      <c r="AB56" s="222">
        <f>ROUND(data!BE82,0)</f>
        <v>515530</v>
      </c>
      <c r="AC56" s="222">
        <f>ROUND(data!BE83,0)</f>
        <v>171</v>
      </c>
      <c r="AD56" s="222">
        <f>ROUND(data!BE84,0)</f>
        <v>0</v>
      </c>
      <c r="AE56" s="222"/>
      <c r="AF56" s="222"/>
      <c r="AG56" s="222">
        <f>IF(data!BE90&gt;0,ROUND(data!BE90,0),0)</f>
        <v>3107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199</v>
      </c>
      <c r="B57" s="224" t="str">
        <f>RIGHT(data!$C$96,4)</f>
        <v>2022</v>
      </c>
      <c r="C57" s="16" t="str">
        <f>data!BF$55</f>
        <v>8460</v>
      </c>
      <c r="D57" s="16" t="s">
        <v>1121</v>
      </c>
      <c r="E57" s="222"/>
      <c r="F57" s="212">
        <f>ROUND(data!BF60,2)</f>
        <v>7.95</v>
      </c>
      <c r="G57" s="222">
        <f>ROUND(data!BF61,0)</f>
        <v>313981</v>
      </c>
      <c r="H57" s="222">
        <f>ROUND(data!BF62,0)</f>
        <v>80317</v>
      </c>
      <c r="I57" s="222">
        <f>ROUND(data!BF63,0)</f>
        <v>0</v>
      </c>
      <c r="J57" s="222">
        <f>ROUND(data!BF64,0)</f>
        <v>96600</v>
      </c>
      <c r="K57" s="222">
        <f>ROUND(data!BF65,0)</f>
        <v>0</v>
      </c>
      <c r="L57" s="222">
        <f>ROUND(data!BF66,0)</f>
        <v>206541</v>
      </c>
      <c r="M57" s="66">
        <f>ROUND(data!BF67,0)</f>
        <v>7209</v>
      </c>
      <c r="N57" s="222">
        <f>ROUND(data!BF68,0)</f>
        <v>489</v>
      </c>
      <c r="O57" s="222">
        <f>ROUND(data!BF69,0)</f>
        <v>1342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887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455</v>
      </c>
      <c r="AD57" s="222">
        <f>ROUND(data!BF84,0)</f>
        <v>0</v>
      </c>
      <c r="AE57" s="222"/>
      <c r="AF57" s="222"/>
      <c r="AG57" s="222">
        <f>IF(data!BF90&gt;0,ROUND(data!BF90,0),0)</f>
        <v>798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199</v>
      </c>
      <c r="B58" s="224" t="str">
        <f>RIGHT(data!$C$96,4)</f>
        <v>2022</v>
      </c>
      <c r="C58" s="16" t="str">
        <f>data!BG$55</f>
        <v>8470</v>
      </c>
      <c r="D58" s="16" t="s">
        <v>1121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511</v>
      </c>
      <c r="K58" s="222">
        <f>ROUND(data!BG65,0)</f>
        <v>0</v>
      </c>
      <c r="L58" s="222">
        <f>ROUND(data!BG66,0)</f>
        <v>34745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199</v>
      </c>
      <c r="B59" s="224" t="str">
        <f>RIGHT(data!$C$96,4)</f>
        <v>2022</v>
      </c>
      <c r="C59" s="16" t="str">
        <f>data!BH$55</f>
        <v>8480</v>
      </c>
      <c r="D59" s="16" t="s">
        <v>1121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4772</v>
      </c>
      <c r="K59" s="222">
        <f>ROUND(data!BH65,0)</f>
        <v>0</v>
      </c>
      <c r="L59" s="222">
        <f>ROUND(data!BH66,0)</f>
        <v>419541</v>
      </c>
      <c r="M59" s="66">
        <f>ROUND(data!BH67,0)</f>
        <v>2529</v>
      </c>
      <c r="N59" s="222">
        <f>ROUND(data!BH68,0)</f>
        <v>3991</v>
      </c>
      <c r="O59" s="222">
        <f>ROUND(data!BH69,0)</f>
        <v>7578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2058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5575</v>
      </c>
      <c r="AC59" s="222">
        <f>ROUND(data!BH83,0)</f>
        <v>-55</v>
      </c>
      <c r="AD59" s="222">
        <f>ROUND(data!BH84,0)</f>
        <v>0</v>
      </c>
      <c r="AE59" s="222"/>
      <c r="AF59" s="222"/>
      <c r="AG59" s="222">
        <f>IF(data!BH90&gt;0,ROUND(data!BH90,0),0)</f>
        <v>280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199</v>
      </c>
      <c r="B60" s="224" t="str">
        <f>RIGHT(data!$C$96,4)</f>
        <v>2022</v>
      </c>
      <c r="C60" s="16" t="str">
        <f>data!BI$55</f>
        <v>8490</v>
      </c>
      <c r="D60" s="16" t="s">
        <v>1121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199</v>
      </c>
      <c r="B61" s="224" t="str">
        <f>RIGHT(data!$C$96,4)</f>
        <v>2022</v>
      </c>
      <c r="C61" s="16" t="str">
        <f>data!BJ$55</f>
        <v>8510</v>
      </c>
      <c r="D61" s="16" t="s">
        <v>1121</v>
      </c>
      <c r="E61" s="222"/>
      <c r="F61" s="212">
        <f>ROUND(data!BJ60,2)</f>
        <v>1</v>
      </c>
      <c r="G61" s="222">
        <f>ROUND(data!BJ61,0)</f>
        <v>79954</v>
      </c>
      <c r="H61" s="222">
        <f>ROUND(data!BJ62,0)</f>
        <v>15445</v>
      </c>
      <c r="I61" s="222">
        <f>ROUND(data!BJ63,0)</f>
        <v>23150</v>
      </c>
      <c r="J61" s="222">
        <f>ROUND(data!BJ64,0)</f>
        <v>234</v>
      </c>
      <c r="K61" s="222">
        <f>ROUND(data!BJ65,0)</f>
        <v>0</v>
      </c>
      <c r="L61" s="222">
        <f>ROUND(data!BJ66,0)</f>
        <v>3758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199</v>
      </c>
      <c r="B62" s="224" t="str">
        <f>RIGHT(data!$C$96,4)</f>
        <v>2022</v>
      </c>
      <c r="C62" s="16" t="str">
        <f>data!BK$55</f>
        <v>8530</v>
      </c>
      <c r="D62" s="16" t="s">
        <v>1121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1740</v>
      </c>
      <c r="J62" s="222">
        <f>ROUND(data!BK64,0)</f>
        <v>124</v>
      </c>
      <c r="K62" s="222">
        <f>ROUND(data!BK65,0)</f>
        <v>0</v>
      </c>
      <c r="L62" s="222">
        <f>ROUND(data!BK66,0)</f>
        <v>0</v>
      </c>
      <c r="M62" s="66">
        <f>ROUND(data!BK67,0)</f>
        <v>22584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2500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199</v>
      </c>
      <c r="B63" s="224" t="str">
        <f>RIGHT(data!$C$96,4)</f>
        <v>2022</v>
      </c>
      <c r="C63" s="16" t="str">
        <f>data!BL$55</f>
        <v>8560</v>
      </c>
      <c r="D63" s="16" t="s">
        <v>1121</v>
      </c>
      <c r="E63" s="222"/>
      <c r="F63" s="212">
        <f>ROUND(data!BL60,2)</f>
        <v>13.87</v>
      </c>
      <c r="G63" s="222">
        <f>ROUND(data!BL61,0)</f>
        <v>518903</v>
      </c>
      <c r="H63" s="222">
        <f>ROUND(data!BL62,0)</f>
        <v>131173</v>
      </c>
      <c r="I63" s="222">
        <f>ROUND(data!BL63,0)</f>
        <v>0</v>
      </c>
      <c r="J63" s="222">
        <f>ROUND(data!BL64,0)</f>
        <v>11344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1018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828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102</v>
      </c>
      <c r="AC63" s="222">
        <f>ROUND(data!BL83,0)</f>
        <v>88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199</v>
      </c>
      <c r="B64" s="224" t="str">
        <f>RIGHT(data!$C$96,4)</f>
        <v>2022</v>
      </c>
      <c r="C64" s="16" t="str">
        <f>data!BM$55</f>
        <v>8590</v>
      </c>
      <c r="D64" s="16" t="s">
        <v>1121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199</v>
      </c>
      <c r="B65" s="224" t="str">
        <f>RIGHT(data!$C$96,4)</f>
        <v>2022</v>
      </c>
      <c r="C65" s="16" t="str">
        <f>data!BN$55</f>
        <v>8610</v>
      </c>
      <c r="D65" s="16" t="s">
        <v>1121</v>
      </c>
      <c r="E65" s="222"/>
      <c r="F65" s="212">
        <f>ROUND(data!BN60,2)</f>
        <v>1.01</v>
      </c>
      <c r="G65" s="222">
        <f>ROUND(data!BN61,0)</f>
        <v>-7370</v>
      </c>
      <c r="H65" s="222">
        <f>ROUND(data!BN62,0)</f>
        <v>-133413</v>
      </c>
      <c r="I65" s="222">
        <f>ROUND(data!BN63,0)</f>
        <v>23286</v>
      </c>
      <c r="J65" s="222">
        <f>ROUND(data!BN64,0)</f>
        <v>5769</v>
      </c>
      <c r="K65" s="222">
        <f>ROUND(data!BN65,0)</f>
        <v>0</v>
      </c>
      <c r="L65" s="222">
        <f>ROUND(data!BN66,0)</f>
        <v>597248</v>
      </c>
      <c r="M65" s="66">
        <f>ROUND(data!BN67,0)</f>
        <v>19810</v>
      </c>
      <c r="N65" s="222">
        <f>ROUND(data!BN68,0)</f>
        <v>0</v>
      </c>
      <c r="O65" s="222">
        <f>ROUND(data!BN69,0)</f>
        <v>10080925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530718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-243</v>
      </c>
      <c r="X65" s="222">
        <f>ROUND(data!BN78,0)</f>
        <v>8300431</v>
      </c>
      <c r="Y65" s="222">
        <f>ROUND(data!BN79,0)</f>
        <v>0</v>
      </c>
      <c r="Z65" s="222">
        <f>ROUND(data!BN80,0)</f>
        <v>0</v>
      </c>
      <c r="AA65" s="222">
        <f>ROUND(data!BN81,0)</f>
        <v>1224966</v>
      </c>
      <c r="AB65" s="222">
        <f>ROUND(data!BN82,0)</f>
        <v>0</v>
      </c>
      <c r="AC65" s="222">
        <f>ROUND(data!BN83,0)</f>
        <v>25053</v>
      </c>
      <c r="AD65" s="222">
        <f>ROUND(data!BN84,0)</f>
        <v>0</v>
      </c>
      <c r="AE65" s="222"/>
      <c r="AF65" s="222"/>
      <c r="AG65" s="222">
        <f>IF(data!BN90&gt;0,ROUND(data!BN90,0),0)</f>
        <v>2193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199</v>
      </c>
      <c r="B66" s="224" t="str">
        <f>RIGHT(data!$C$96,4)</f>
        <v>2022</v>
      </c>
      <c r="C66" s="16" t="str">
        <f>data!BO$55</f>
        <v>8620</v>
      </c>
      <c r="D66" s="16" t="s">
        <v>1121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199</v>
      </c>
      <c r="B67" s="224" t="str">
        <f>RIGHT(data!$C$96,4)</f>
        <v>2022</v>
      </c>
      <c r="C67" s="16" t="str">
        <f>data!BP$55</f>
        <v>8630</v>
      </c>
      <c r="D67" s="16" t="s">
        <v>1121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199</v>
      </c>
      <c r="B68" s="224" t="str">
        <f>RIGHT(data!$C$96,4)</f>
        <v>2022</v>
      </c>
      <c r="C68" s="16" t="str">
        <f>data!BQ$55</f>
        <v>8640</v>
      </c>
      <c r="D68" s="16" t="s">
        <v>1121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199</v>
      </c>
      <c r="B69" s="224" t="str">
        <f>RIGHT(data!$C$96,4)</f>
        <v>2022</v>
      </c>
      <c r="C69" s="16" t="str">
        <f>data!BR$55</f>
        <v>8650</v>
      </c>
      <c r="D69" s="16" t="s">
        <v>1121</v>
      </c>
      <c r="E69" s="222"/>
      <c r="F69" s="212">
        <f>ROUND(data!BR60,2)</f>
        <v>0.28000000000000003</v>
      </c>
      <c r="G69" s="222">
        <f>ROUND(data!BR61,0)</f>
        <v>19770</v>
      </c>
      <c r="H69" s="222">
        <f>ROUND(data!BR62,0)</f>
        <v>16267</v>
      </c>
      <c r="I69" s="222">
        <f>ROUND(data!BR63,0)</f>
        <v>0</v>
      </c>
      <c r="J69" s="222">
        <f>ROUND(data!BR64,0)</f>
        <v>5</v>
      </c>
      <c r="K69" s="222">
        <f>ROUND(data!BR65,0)</f>
        <v>0</v>
      </c>
      <c r="L69" s="222">
        <f>ROUND(data!BR66,0)</f>
        <v>41865</v>
      </c>
      <c r="M69" s="66">
        <f>ROUND(data!BR67,0)</f>
        <v>3686</v>
      </c>
      <c r="N69" s="222">
        <f>ROUND(data!BR68,0)</f>
        <v>0</v>
      </c>
      <c r="O69" s="222">
        <f>ROUND(data!BR69,0)</f>
        <v>35949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35949</v>
      </c>
      <c r="AD69" s="222">
        <f>ROUND(data!BR84,0)</f>
        <v>0</v>
      </c>
      <c r="AE69" s="222"/>
      <c r="AF69" s="222"/>
      <c r="AG69" s="222">
        <f>IF(data!BR90&gt;0,ROUND(data!BR90,0),0)</f>
        <v>408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199</v>
      </c>
      <c r="B70" s="224" t="str">
        <f>RIGHT(data!$C$96,4)</f>
        <v>2022</v>
      </c>
      <c r="C70" s="16" t="str">
        <f>data!BS$55</f>
        <v>8660</v>
      </c>
      <c r="D70" s="16" t="s">
        <v>1121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199</v>
      </c>
      <c r="B71" s="224" t="str">
        <f>RIGHT(data!$C$96,4)</f>
        <v>2022</v>
      </c>
      <c r="C71" s="16" t="str">
        <f>data!BT$55</f>
        <v>8670</v>
      </c>
      <c r="D71" s="16" t="s">
        <v>1121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4282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474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199</v>
      </c>
      <c r="B72" s="224" t="str">
        <f>RIGHT(data!$C$96,4)</f>
        <v>2022</v>
      </c>
      <c r="C72" s="16" t="str">
        <f>data!BU$55</f>
        <v>8680</v>
      </c>
      <c r="D72" s="16" t="s">
        <v>1121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199</v>
      </c>
      <c r="B73" s="224" t="str">
        <f>RIGHT(data!$C$96,4)</f>
        <v>2022</v>
      </c>
      <c r="C73" s="16" t="str">
        <f>data!BV$55</f>
        <v>8690</v>
      </c>
      <c r="D73" s="16" t="s">
        <v>1121</v>
      </c>
      <c r="E73" s="222"/>
      <c r="F73" s="212">
        <f>ROUND(data!BV60,2)</f>
        <v>4.1900000000000004</v>
      </c>
      <c r="G73" s="222">
        <f>ROUND(data!BV61,0)</f>
        <v>229836</v>
      </c>
      <c r="H73" s="222">
        <f>ROUND(data!BV62,0)</f>
        <v>53359</v>
      </c>
      <c r="I73" s="222">
        <f>ROUND(data!BV63,0)</f>
        <v>0</v>
      </c>
      <c r="J73" s="222">
        <f>ROUND(data!BV64,0)</f>
        <v>5166</v>
      </c>
      <c r="K73" s="222">
        <f>ROUND(data!BV65,0)</f>
        <v>0</v>
      </c>
      <c r="L73" s="222">
        <f>ROUND(data!BV66,0)</f>
        <v>16934</v>
      </c>
      <c r="M73" s="66">
        <f>ROUND(data!BV67,0)</f>
        <v>0</v>
      </c>
      <c r="N73" s="222">
        <f>ROUND(data!BV68,0)</f>
        <v>79991</v>
      </c>
      <c r="O73" s="222">
        <f>ROUND(data!BV69,0)</f>
        <v>93884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745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93139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199</v>
      </c>
      <c r="B74" s="224" t="str">
        <f>RIGHT(data!$C$96,4)</f>
        <v>2022</v>
      </c>
      <c r="C74" s="16" t="str">
        <f>data!BW$55</f>
        <v>8700</v>
      </c>
      <c r="D74" s="16" t="s">
        <v>1121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199</v>
      </c>
      <c r="B75" s="224" t="str">
        <f>RIGHT(data!$C$96,4)</f>
        <v>2022</v>
      </c>
      <c r="C75" s="16" t="str">
        <f>data!BX$55</f>
        <v>8710</v>
      </c>
      <c r="D75" s="16" t="s">
        <v>1121</v>
      </c>
      <c r="E75" s="222"/>
      <c r="F75" s="212">
        <f>ROUND(data!BX60,2)</f>
        <v>3.02</v>
      </c>
      <c r="G75" s="222">
        <f>ROUND(data!BX61,0)</f>
        <v>317357</v>
      </c>
      <c r="H75" s="222">
        <f>ROUND(data!BX62,0)</f>
        <v>75826</v>
      </c>
      <c r="I75" s="222">
        <f>ROUND(data!BX63,0)</f>
        <v>0</v>
      </c>
      <c r="J75" s="222">
        <f>ROUND(data!BX64,0)</f>
        <v>467</v>
      </c>
      <c r="K75" s="222">
        <f>ROUND(data!BX65,0)</f>
        <v>0</v>
      </c>
      <c r="L75" s="222">
        <f>ROUND(data!BX66,0)</f>
        <v>49192</v>
      </c>
      <c r="M75" s="66">
        <f>ROUND(data!BX67,0)</f>
        <v>2927</v>
      </c>
      <c r="N75" s="222">
        <f>ROUND(data!BX68,0)</f>
        <v>0</v>
      </c>
      <c r="O75" s="222">
        <f>ROUND(data!BX69,0)</f>
        <v>16961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16961</v>
      </c>
      <c r="AD75" s="222">
        <f>ROUND(data!BX84,0)</f>
        <v>0</v>
      </c>
      <c r="AE75" s="222"/>
      <c r="AF75" s="222"/>
      <c r="AG75" s="222">
        <f>IF(data!BX90&gt;0,ROUND(data!BX90,0),0)</f>
        <v>324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199</v>
      </c>
      <c r="B76" s="224" t="str">
        <f>RIGHT(data!$C$96,4)</f>
        <v>2022</v>
      </c>
      <c r="C76" s="16" t="str">
        <f>data!BY$55</f>
        <v>8720</v>
      </c>
      <c r="D76" s="16" t="s">
        <v>1121</v>
      </c>
      <c r="E76" s="222"/>
      <c r="F76" s="212">
        <f>ROUND(data!BY60,2)</f>
        <v>3.78</v>
      </c>
      <c r="G76" s="222">
        <f>ROUND(data!BY61,0)</f>
        <v>536423</v>
      </c>
      <c r="H76" s="222">
        <f>ROUND(data!BY62,0)</f>
        <v>121302</v>
      </c>
      <c r="I76" s="222">
        <f>ROUND(data!BY63,0)</f>
        <v>0</v>
      </c>
      <c r="J76" s="222">
        <f>ROUND(data!BY64,0)</f>
        <v>1182</v>
      </c>
      <c r="K76" s="222">
        <f>ROUND(data!BY65,0)</f>
        <v>0</v>
      </c>
      <c r="L76" s="222">
        <f>ROUND(data!BY66,0)</f>
        <v>18775</v>
      </c>
      <c r="M76" s="66">
        <f>ROUND(data!BY67,0)</f>
        <v>0</v>
      </c>
      <c r="N76" s="222">
        <f>ROUND(data!BY68,0)</f>
        <v>717</v>
      </c>
      <c r="O76" s="222">
        <f>ROUND(data!BY69,0)</f>
        <v>666845</v>
      </c>
      <c r="P76" s="222">
        <f>ROUND(data!BY70,0)</f>
        <v>0</v>
      </c>
      <c r="Q76" s="222">
        <f>ROUND(data!BY71,0)</f>
        <v>594928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1482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70435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199</v>
      </c>
      <c r="B77" s="224" t="str">
        <f>RIGHT(data!$C$96,4)</f>
        <v>2022</v>
      </c>
      <c r="C77" s="16" t="str">
        <f>data!BZ$55</f>
        <v>8730</v>
      </c>
      <c r="D77" s="16" t="s">
        <v>1121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199</v>
      </c>
      <c r="B78" s="224" t="str">
        <f>RIGHT(data!$C$96,4)</f>
        <v>2022</v>
      </c>
      <c r="C78" s="16" t="str">
        <f>data!CA$55</f>
        <v>8740</v>
      </c>
      <c r="D78" s="16" t="s">
        <v>1121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199</v>
      </c>
      <c r="B79" s="224" t="str">
        <f>RIGHT(data!$C$96,4)</f>
        <v>2022</v>
      </c>
      <c r="C79" s="16" t="str">
        <f>data!CB$55</f>
        <v>8770</v>
      </c>
      <c r="D79" s="16" t="s">
        <v>1121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199</v>
      </c>
      <c r="B80" s="224" t="str">
        <f>RIGHT(data!$C$96,4)</f>
        <v>2022</v>
      </c>
      <c r="C80" s="16" t="str">
        <f>data!CC$55</f>
        <v>8790</v>
      </c>
      <c r="D80" s="16" t="s">
        <v>1121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152334</v>
      </c>
      <c r="M80" s="66">
        <f>ROUND(data!CC67,0)</f>
        <v>287020</v>
      </c>
      <c r="N80" s="222">
        <f>ROUND(data!CC68,0)</f>
        <v>0</v>
      </c>
      <c r="O80" s="222">
        <f>ROUND(data!CC69,0)</f>
        <v>3292043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628912</v>
      </c>
      <c r="AB80" s="222">
        <f>ROUND(data!CC82,0)</f>
        <v>0</v>
      </c>
      <c r="AC80" s="222">
        <f>ROUND(data!CC83,0)</f>
        <v>2663131</v>
      </c>
      <c r="AD80" s="222">
        <f>ROUND(data!CC84,0)</f>
        <v>0</v>
      </c>
      <c r="AE80" s="222"/>
      <c r="AF80" s="222"/>
      <c r="AG80" s="222">
        <f>IF(data!CC90&gt;0,ROUND(data!CC90,0),0)</f>
        <v>31773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2023-07-03T20:25:05Z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