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C15ACFC6-5311-4606-A056-853BB52FF16E}" xr6:coauthVersionLast="47" xr6:coauthVersionMax="47" xr10:uidLastSave="{00000000-0000-0000-0000-000000000000}"/>
  <workbookProtection workbookAlgorithmName="SHA-512" workbookHashValue="dio1CzO99G/bdO84vX+tKhgezADBAoOxCJ/SSLKr4Ijp37FMnl90Tqq0hJB/zIC7pjDgG3Kyhj5U9207mJOYDQ==" workbookSaltValue="7xAXt/3v59nxpWOBsj0ZCg==" workbookSpinCount="100000" lockStructure="1"/>
  <bookViews>
    <workbookView xWindow="-110" yWindow="-110" windowWidth="19420" windowHeight="10420" tabRatio="777" activeTab="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7" i="6"/>
  <c r="D8" i="6"/>
  <c r="D9" i="6"/>
  <c r="D10" i="6"/>
  <c r="D11" i="6"/>
  <c r="D12" i="6"/>
  <c r="D13" i="6"/>
  <c r="D14" i="6"/>
  <c r="D15" i="6"/>
  <c r="D16" i="6"/>
  <c r="D7" i="6"/>
  <c r="C358" i="24" l="1"/>
  <c r="C363" i="24"/>
  <c r="D158" i="24" l="1"/>
  <c r="D157" i="24"/>
  <c r="H71" i="24" l="1"/>
  <c r="H66" i="24"/>
  <c r="H94" i="24" l="1"/>
  <c r="H93" i="24"/>
  <c r="H92" i="24"/>
  <c r="BH60" i="24" l="1"/>
  <c r="BD60" i="24"/>
  <c r="AY59" i="24"/>
  <c r="H91" i="24" s="1"/>
  <c r="CE85" i="25" l="1"/>
  <c r="CE83" i="24"/>
  <c r="C414" i="24" s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CO2" i="30"/>
  <c r="CN2" i="30"/>
  <c r="CM2" i="30"/>
  <c r="CL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2" i="8"/>
  <c r="C151" i="8"/>
  <c r="C150" i="8"/>
  <c r="C149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413" i="24" s="1"/>
  <c r="C165" i="8" s="1"/>
  <c r="CE81" i="24"/>
  <c r="C412" i="24" s="1"/>
  <c r="DB2" i="30" s="1"/>
  <c r="CE80" i="24"/>
  <c r="C411" i="24" s="1"/>
  <c r="DA2" i="30" s="1"/>
  <c r="CE79" i="24"/>
  <c r="C410" i="24" s="1"/>
  <c r="CZ2" i="30" s="1"/>
  <c r="CE78" i="24"/>
  <c r="C409" i="24" s="1"/>
  <c r="CY2" i="30" s="1"/>
  <c r="CE77" i="24"/>
  <c r="C408" i="24" s="1"/>
  <c r="C160" i="8" s="1"/>
  <c r="CE76" i="24"/>
  <c r="C407" i="24" s="1"/>
  <c r="C159" i="8" s="1"/>
  <c r="CE75" i="24"/>
  <c r="C406" i="24" s="1"/>
  <c r="C158" i="8" s="1"/>
  <c r="CE74" i="24"/>
  <c r="C405" i="24" s="1"/>
  <c r="C157" i="8" s="1"/>
  <c r="CE73" i="24"/>
  <c r="C404" i="24" s="1"/>
  <c r="CT2" i="30" s="1"/>
  <c r="CE72" i="24"/>
  <c r="C403" i="24" s="1"/>
  <c r="C155" i="8" s="1"/>
  <c r="CE71" i="24"/>
  <c r="C402" i="24" s="1"/>
  <c r="CR2" i="30" s="1"/>
  <c r="CE70" i="24"/>
  <c r="C401" i="24" s="1"/>
  <c r="CQ2" i="30" s="1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CE66" i="24"/>
  <c r="CE65" i="24"/>
  <c r="C393" i="24" s="1"/>
  <c r="CH2" i="30" s="1"/>
  <c r="CE64" i="24"/>
  <c r="C392" i="24" s="1"/>
  <c r="CG2" i="30" s="1"/>
  <c r="CE63" i="24"/>
  <c r="CE61" i="24"/>
  <c r="CE60" i="24"/>
  <c r="B53" i="24"/>
  <c r="CE51" i="24"/>
  <c r="B49" i="24"/>
  <c r="CE47" i="24"/>
  <c r="CS2" i="30" l="1"/>
  <c r="DC2" i="30"/>
  <c r="C153" i="8"/>
  <c r="C163" i="8"/>
  <c r="CU2" i="30"/>
  <c r="C144" i="8"/>
  <c r="C154" i="8"/>
  <c r="C164" i="8"/>
  <c r="CV2" i="30"/>
  <c r="I370" i="32"/>
  <c r="C396" i="24"/>
  <c r="C145" i="8"/>
  <c r="CW2" i="30"/>
  <c r="CX2" i="30"/>
  <c r="I368" i="32"/>
  <c r="C394" i="24"/>
  <c r="I363" i="32"/>
  <c r="C389" i="24"/>
  <c r="I365" i="32"/>
  <c r="C391" i="24"/>
  <c r="C161" i="8"/>
  <c r="C156" i="8"/>
  <c r="D415" i="24"/>
  <c r="CP2" i="30" s="1"/>
  <c r="I367" i="32"/>
  <c r="AU48" i="24"/>
  <c r="AU62" i="24" s="1"/>
  <c r="H46" i="31" s="1"/>
  <c r="G48" i="24"/>
  <c r="G62" i="24" s="1"/>
  <c r="G12" i="32" s="1"/>
  <c r="W48" i="24"/>
  <c r="W62" i="24" s="1"/>
  <c r="I76" i="32" s="1"/>
  <c r="BK48" i="24"/>
  <c r="BK62" i="24" s="1"/>
  <c r="G268" i="32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C44" i="32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I172" i="32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C146" i="8" l="1"/>
  <c r="CI2" i="30"/>
  <c r="CF2" i="30"/>
  <c r="C143" i="8"/>
  <c r="F94" i="15"/>
  <c r="C148" i="8"/>
  <c r="CK2" i="30"/>
  <c r="C141" i="8"/>
  <c r="CD2" i="30"/>
  <c r="I371" i="32"/>
  <c r="BX52" i="24"/>
  <c r="BX67" i="24" s="1"/>
  <c r="M75" i="31" s="1"/>
  <c r="L52" i="24"/>
  <c r="L67" i="24" s="1"/>
  <c r="E49" i="32" s="1"/>
  <c r="D76" i="32"/>
  <c r="X52" i="24"/>
  <c r="X67" i="24" s="1"/>
  <c r="X85" i="24" s="1"/>
  <c r="C689" i="24" s="1"/>
  <c r="AV52" i="24"/>
  <c r="AV67" i="24" s="1"/>
  <c r="M47" i="31" s="1"/>
  <c r="H8" i="31"/>
  <c r="H39" i="31"/>
  <c r="H22" i="31"/>
  <c r="G236" i="32"/>
  <c r="C300" i="32"/>
  <c r="H12" i="31"/>
  <c r="H140" i="32"/>
  <c r="E12" i="32"/>
  <c r="H66" i="31"/>
  <c r="H74" i="31"/>
  <c r="H2" i="31"/>
  <c r="H48" i="31"/>
  <c r="G332" i="32"/>
  <c r="D332" i="32"/>
  <c r="H62" i="31"/>
  <c r="H9" i="31"/>
  <c r="H43" i="31"/>
  <c r="H45" i="31"/>
  <c r="F300" i="32"/>
  <c r="H10" i="31"/>
  <c r="H268" i="32"/>
  <c r="H23" i="31"/>
  <c r="H37" i="31"/>
  <c r="H51" i="31"/>
  <c r="H18" i="31"/>
  <c r="E236" i="32"/>
  <c r="H71" i="31"/>
  <c r="G76" i="32"/>
  <c r="AD86" i="25"/>
  <c r="C696" i="2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V53" i="25"/>
  <c r="V68" i="25" s="1"/>
  <c r="V86" i="25" s="1"/>
  <c r="N53" i="25"/>
  <c r="N68" i="25" s="1"/>
  <c r="N86" i="25" s="1"/>
  <c r="F53" i="25"/>
  <c r="F68" i="25" s="1"/>
  <c r="F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C635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C671" i="25" s="1"/>
  <c r="BW53" i="25"/>
  <c r="BW68" i="25" s="1"/>
  <c r="BW86" i="25" s="1"/>
  <c r="C644" i="25" s="1"/>
  <c r="BG53" i="25"/>
  <c r="BG68" i="25" s="1"/>
  <c r="BG86" i="25" s="1"/>
  <c r="AQ53" i="25"/>
  <c r="AQ68" i="25" s="1"/>
  <c r="AQ86" i="25" s="1"/>
  <c r="AA53" i="25"/>
  <c r="AA68" i="25" s="1"/>
  <c r="AA86" i="25" s="1"/>
  <c r="K53" i="25"/>
  <c r="K68" i="25" s="1"/>
  <c r="K86" i="25" s="1"/>
  <c r="CB53" i="25"/>
  <c r="CB68" i="25" s="1"/>
  <c r="CB86" i="25" s="1"/>
  <c r="BL53" i="25"/>
  <c r="BL68" i="25" s="1"/>
  <c r="BL86" i="25" s="1"/>
  <c r="AV53" i="25"/>
  <c r="AV68" i="25" s="1"/>
  <c r="AV86" i="25" s="1"/>
  <c r="AF53" i="25"/>
  <c r="AF68" i="25" s="1"/>
  <c r="AF86" i="25" s="1"/>
  <c r="P53" i="25"/>
  <c r="P68" i="25" s="1"/>
  <c r="P86" i="25" s="1"/>
  <c r="BX53" i="25"/>
  <c r="BX68" i="25" s="1"/>
  <c r="BX86" i="25" s="1"/>
  <c r="C645" i="25" s="1"/>
  <c r="BP53" i="25"/>
  <c r="BP68" i="25" s="1"/>
  <c r="BP86" i="25" s="1"/>
  <c r="BH53" i="25"/>
  <c r="BH68" i="25" s="1"/>
  <c r="BH86" i="25" s="1"/>
  <c r="C637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C694" i="25" s="1"/>
  <c r="T53" i="25"/>
  <c r="T68" i="25" s="1"/>
  <c r="T86" i="25" s="1"/>
  <c r="L53" i="25"/>
  <c r="L68" i="25" s="1"/>
  <c r="L86" i="25" s="1"/>
  <c r="C678" i="25" s="1"/>
  <c r="D53" i="25"/>
  <c r="D68" i="25" s="1"/>
  <c r="D86" i="25" s="1"/>
  <c r="BO53" i="25"/>
  <c r="BO68" i="25" s="1"/>
  <c r="BO86" i="25" s="1"/>
  <c r="C628" i="25" s="1"/>
  <c r="AY53" i="25"/>
  <c r="AY68" i="25" s="1"/>
  <c r="AY86" i="25" s="1"/>
  <c r="AI53" i="25"/>
  <c r="AI68" i="25" s="1"/>
  <c r="AI86" i="25" s="1"/>
  <c r="S53" i="25"/>
  <c r="S68" i="25" s="1"/>
  <c r="S86" i="25" s="1"/>
  <c r="C53" i="25"/>
  <c r="BT53" i="25"/>
  <c r="BT68" i="25" s="1"/>
  <c r="BT86" i="25" s="1"/>
  <c r="BD53" i="25"/>
  <c r="BD68" i="25" s="1"/>
  <c r="BD86" i="25" s="1"/>
  <c r="C625" i="25" s="1"/>
  <c r="AN53" i="25"/>
  <c r="AN68" i="25" s="1"/>
  <c r="AN86" i="25" s="1"/>
  <c r="X53" i="25"/>
  <c r="X68" i="25" s="1"/>
  <c r="X86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C63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D53" i="25"/>
  <c r="BV53" i="25"/>
  <c r="BV68" i="25" s="1"/>
  <c r="BV86" i="25" s="1"/>
  <c r="C643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BU53" i="25"/>
  <c r="BU68" i="25" s="1"/>
  <c r="BU86" i="25" s="1"/>
  <c r="C642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C699" i="25" s="1"/>
  <c r="Y53" i="25"/>
  <c r="Y68" i="25" s="1"/>
  <c r="Y86" i="25" s="1"/>
  <c r="Q53" i="25"/>
  <c r="Q68" i="25" s="1"/>
  <c r="Q86" i="25" s="1"/>
  <c r="C683" i="25" s="1"/>
  <c r="I53" i="25"/>
  <c r="I68" i="25" s="1"/>
  <c r="I86" i="25" s="1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K612" i="24"/>
  <c r="D350" i="24"/>
  <c r="M79" i="31"/>
  <c r="C369" i="32"/>
  <c r="CB85" i="24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H94" i="15" s="1"/>
  <c r="I94" i="15" s="1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E17" i="32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I364" i="32" l="1"/>
  <c r="C390" i="24"/>
  <c r="L85" i="24"/>
  <c r="M11" i="31"/>
  <c r="S85" i="24"/>
  <c r="AV85" i="24"/>
  <c r="C60" i="15" s="1"/>
  <c r="B36" i="15"/>
  <c r="C690" i="25"/>
  <c r="C705" i="25"/>
  <c r="B51" i="15"/>
  <c r="B86" i="15"/>
  <c r="F86" i="15" s="1"/>
  <c r="C700" i="25"/>
  <c r="B46" i="15"/>
  <c r="C710" i="25"/>
  <c r="B56" i="15"/>
  <c r="B89" i="15"/>
  <c r="C646" i="25"/>
  <c r="C615" i="25"/>
  <c r="D616" i="25" s="1"/>
  <c r="B69" i="15"/>
  <c r="B92" i="15"/>
  <c r="H92" i="15" s="1"/>
  <c r="I92" i="15" s="1"/>
  <c r="C623" i="25"/>
  <c r="C639" i="25"/>
  <c r="B77" i="15"/>
  <c r="H77" i="15" s="1"/>
  <c r="I77" i="15" s="1"/>
  <c r="B62" i="15"/>
  <c r="H62" i="15" s="1"/>
  <c r="I62" i="15" s="1"/>
  <c r="C617" i="25"/>
  <c r="C697" i="25"/>
  <c r="B43" i="15"/>
  <c r="C677" i="25"/>
  <c r="B23" i="15"/>
  <c r="H23" i="15" s="1"/>
  <c r="I23" i="15" s="1"/>
  <c r="C695" i="25"/>
  <c r="B41" i="15"/>
  <c r="B26" i="15"/>
  <c r="H26" i="15" s="1"/>
  <c r="I26" i="15" s="1"/>
  <c r="C680" i="25"/>
  <c r="C647" i="25"/>
  <c r="B90" i="15"/>
  <c r="B27" i="15"/>
  <c r="H27" i="15" s="1"/>
  <c r="I27" i="15" s="1"/>
  <c r="C681" i="25"/>
  <c r="C638" i="25"/>
  <c r="B76" i="15"/>
  <c r="C674" i="25"/>
  <c r="B20" i="15"/>
  <c r="C627" i="25"/>
  <c r="B82" i="15"/>
  <c r="B21" i="15"/>
  <c r="H21" i="15" s="1"/>
  <c r="I21" i="15" s="1"/>
  <c r="C675" i="25"/>
  <c r="B70" i="15"/>
  <c r="C630" i="25"/>
  <c r="B52" i="15"/>
  <c r="C706" i="25"/>
  <c r="C670" i="25"/>
  <c r="B16" i="15"/>
  <c r="C622" i="25"/>
  <c r="B80" i="15"/>
  <c r="C693" i="25"/>
  <c r="B39" i="15"/>
  <c r="B49" i="15"/>
  <c r="H49" i="15" s="1"/>
  <c r="I49" i="15" s="1"/>
  <c r="C703" i="25"/>
  <c r="B34" i="15"/>
  <c r="C688" i="25"/>
  <c r="C701" i="25"/>
  <c r="B47" i="15"/>
  <c r="C679" i="25"/>
  <c r="B25" i="15"/>
  <c r="C626" i="25"/>
  <c r="B63" i="15"/>
  <c r="C713" i="25"/>
  <c r="B59" i="15"/>
  <c r="B37" i="15"/>
  <c r="H37" i="15" s="1"/>
  <c r="I37" i="15" s="1"/>
  <c r="C691" i="25"/>
  <c r="C676" i="25"/>
  <c r="B22" i="15"/>
  <c r="C634" i="25"/>
  <c r="B67" i="15"/>
  <c r="B84" i="15"/>
  <c r="C641" i="25"/>
  <c r="B32" i="15"/>
  <c r="H32" i="15" s="1"/>
  <c r="I32" i="15" s="1"/>
  <c r="C686" i="25"/>
  <c r="C682" i="25"/>
  <c r="B28" i="15"/>
  <c r="B71" i="15"/>
  <c r="C619" i="25"/>
  <c r="C631" i="25"/>
  <c r="B65" i="15"/>
  <c r="C704" i="25"/>
  <c r="B50" i="15"/>
  <c r="B91" i="15"/>
  <c r="C648" i="25"/>
  <c r="C618" i="25"/>
  <c r="B74" i="15"/>
  <c r="C689" i="25"/>
  <c r="B35" i="15"/>
  <c r="C621" i="25"/>
  <c r="B93" i="15"/>
  <c r="C709" i="25"/>
  <c r="B55" i="15"/>
  <c r="B30" i="15"/>
  <c r="H30" i="15" s="1"/>
  <c r="I30" i="15" s="1"/>
  <c r="C684" i="25"/>
  <c r="C698" i="25"/>
  <c r="B44" i="15"/>
  <c r="B58" i="15"/>
  <c r="H58" i="15" s="1"/>
  <c r="I58" i="15" s="1"/>
  <c r="C712" i="25"/>
  <c r="C632" i="25"/>
  <c r="B61" i="15"/>
  <c r="H61" i="15" s="1"/>
  <c r="I61" i="15" s="1"/>
  <c r="C672" i="25"/>
  <c r="B18" i="15"/>
  <c r="H18" i="15" s="1"/>
  <c r="I18" i="15" s="1"/>
  <c r="B78" i="15"/>
  <c r="C620" i="25"/>
  <c r="B53" i="15"/>
  <c r="H53" i="15" s="1"/>
  <c r="I53" i="15" s="1"/>
  <c r="C707" i="25"/>
  <c r="C692" i="25"/>
  <c r="B38" i="15"/>
  <c r="C673" i="25"/>
  <c r="B19" i="15"/>
  <c r="H19" i="15" s="1"/>
  <c r="I19" i="15" s="1"/>
  <c r="C640" i="25"/>
  <c r="B83" i="15"/>
  <c r="C685" i="25"/>
  <c r="B31" i="15"/>
  <c r="H31" i="15" s="1"/>
  <c r="I31" i="15" s="1"/>
  <c r="C702" i="25"/>
  <c r="B48" i="15"/>
  <c r="C714" i="25"/>
  <c r="B60" i="15"/>
  <c r="H60" i="15" s="1"/>
  <c r="I60" i="15" s="1"/>
  <c r="C633" i="25"/>
  <c r="B66" i="15"/>
  <c r="B73" i="15"/>
  <c r="B40" i="15"/>
  <c r="B29" i="15"/>
  <c r="B87" i="15"/>
  <c r="B45" i="15"/>
  <c r="B68" i="15"/>
  <c r="B24" i="15"/>
  <c r="H24" i="15" s="1"/>
  <c r="I24" i="15" s="1"/>
  <c r="B42" i="15"/>
  <c r="B75" i="15"/>
  <c r="B85" i="15"/>
  <c r="B88" i="15"/>
  <c r="B17" i="15"/>
  <c r="B79" i="15"/>
  <c r="B72" i="15"/>
  <c r="B33" i="15"/>
  <c r="B57" i="15"/>
  <c r="B64" i="15"/>
  <c r="B81" i="15"/>
  <c r="C68" i="25"/>
  <c r="CE68" i="25" s="1"/>
  <c r="CE53" i="25"/>
  <c r="B54" i="15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M28" i="31"/>
  <c r="H113" i="32"/>
  <c r="AC85" i="24"/>
  <c r="F93" i="15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F26" i="15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C138" i="8"/>
  <c r="F71" i="15"/>
  <c r="M38" i="31"/>
  <c r="D177" i="32"/>
  <c r="AM85" i="24"/>
  <c r="M43" i="31"/>
  <c r="I177" i="32"/>
  <c r="AR85" i="24"/>
  <c r="M65" i="31"/>
  <c r="C305" i="32"/>
  <c r="BN85" i="24"/>
  <c r="F27" i="15"/>
  <c r="M30" i="31"/>
  <c r="C145" i="32"/>
  <c r="AE85" i="24"/>
  <c r="M3" i="31"/>
  <c r="D17" i="32"/>
  <c r="D85" i="24"/>
  <c r="M66" i="31"/>
  <c r="D305" i="32"/>
  <c r="BO85" i="24"/>
  <c r="F19" i="15"/>
  <c r="M53" i="31"/>
  <c r="E241" i="32"/>
  <c r="BB85" i="24"/>
  <c r="F31" i="15"/>
  <c r="F37" i="15"/>
  <c r="F53" i="15"/>
  <c r="C67" i="24"/>
  <c r="CE52" i="24"/>
  <c r="E85" i="32"/>
  <c r="C31" i="15"/>
  <c r="G31" i="15" s="1"/>
  <c r="C684" i="24"/>
  <c r="M62" i="31"/>
  <c r="G273" i="32"/>
  <c r="BK85" i="24"/>
  <c r="F75" i="15"/>
  <c r="M50" i="31"/>
  <c r="I209" i="32"/>
  <c r="AY85" i="24"/>
  <c r="G94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4" i="15"/>
  <c r="M72" i="31"/>
  <c r="C337" i="32"/>
  <c r="BU85" i="24"/>
  <c r="F92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F63" i="15" l="1"/>
  <c r="F21" i="15"/>
  <c r="F54" i="15"/>
  <c r="H54" i="15"/>
  <c r="I54" i="15" s="1"/>
  <c r="F79" i="15"/>
  <c r="F45" i="15"/>
  <c r="H45" i="15"/>
  <c r="I45" i="15" s="1"/>
  <c r="H71" i="15"/>
  <c r="I71" i="15" s="1"/>
  <c r="F52" i="15"/>
  <c r="H52" i="15"/>
  <c r="I52" i="15" s="1"/>
  <c r="F89" i="15"/>
  <c r="H89" i="15"/>
  <c r="I89" i="15" s="1"/>
  <c r="F17" i="15"/>
  <c r="H17" i="15"/>
  <c r="I17" i="15" s="1"/>
  <c r="F87" i="15"/>
  <c r="H87" i="15"/>
  <c r="I87" i="15" s="1"/>
  <c r="F48" i="15"/>
  <c r="H48" i="15"/>
  <c r="I48" i="15" s="1"/>
  <c r="F38" i="15"/>
  <c r="H38" i="15"/>
  <c r="I38" i="15" s="1"/>
  <c r="F55" i="15"/>
  <c r="H55" i="15"/>
  <c r="I55" i="15" s="1"/>
  <c r="F28" i="15"/>
  <c r="H28" i="15"/>
  <c r="I28" i="15" s="1"/>
  <c r="F22" i="15"/>
  <c r="H22" i="15"/>
  <c r="I22" i="15" s="1"/>
  <c r="F25" i="15"/>
  <c r="H25" i="15"/>
  <c r="I25" i="15" s="1"/>
  <c r="F39" i="15"/>
  <c r="H39" i="15"/>
  <c r="I39" i="15" s="1"/>
  <c r="F76" i="15"/>
  <c r="H76" i="15"/>
  <c r="I76" i="15" s="1"/>
  <c r="F41" i="15"/>
  <c r="H41" i="15"/>
  <c r="I41" i="15" s="1"/>
  <c r="F56" i="15"/>
  <c r="H56" i="15"/>
  <c r="I56" i="15" s="1"/>
  <c r="F36" i="15"/>
  <c r="H36" i="15"/>
  <c r="I36" i="15" s="1"/>
  <c r="F32" i="15"/>
  <c r="F88" i="15"/>
  <c r="H88" i="15"/>
  <c r="I88" i="15" s="1"/>
  <c r="F29" i="15"/>
  <c r="H29" i="15"/>
  <c r="I29" i="15" s="1"/>
  <c r="F91" i="15"/>
  <c r="F70" i="15"/>
  <c r="H70" i="15"/>
  <c r="I70" i="15" s="1"/>
  <c r="F81" i="15"/>
  <c r="H81" i="15"/>
  <c r="I81" i="15" s="1"/>
  <c r="F85" i="15"/>
  <c r="H85" i="15"/>
  <c r="I85" i="15" s="1"/>
  <c r="F40" i="15"/>
  <c r="F50" i="15"/>
  <c r="H50" i="15"/>
  <c r="I50" i="15" s="1"/>
  <c r="F47" i="15"/>
  <c r="H47" i="15"/>
  <c r="I47" i="15" s="1"/>
  <c r="H80" i="15"/>
  <c r="I80" i="15" s="1"/>
  <c r="F46" i="15"/>
  <c r="H46" i="15"/>
  <c r="I46" i="15" s="1"/>
  <c r="H75" i="15"/>
  <c r="I75" i="15" s="1"/>
  <c r="F57" i="15"/>
  <c r="H57" i="15"/>
  <c r="I57" i="15" s="1"/>
  <c r="F42" i="15"/>
  <c r="H42" i="15"/>
  <c r="I42" i="15" s="1"/>
  <c r="F83" i="15"/>
  <c r="H83" i="15"/>
  <c r="I83" i="15" s="1"/>
  <c r="F44" i="15"/>
  <c r="H44" i="15"/>
  <c r="I44" i="15" s="1"/>
  <c r="F35" i="15"/>
  <c r="H35" i="15"/>
  <c r="I35" i="15" s="1"/>
  <c r="F65" i="15"/>
  <c r="F59" i="15"/>
  <c r="H59" i="15"/>
  <c r="I59" i="15" s="1"/>
  <c r="F16" i="15"/>
  <c r="H16" i="15"/>
  <c r="I16" i="15" s="1"/>
  <c r="F82" i="15"/>
  <c r="F90" i="15"/>
  <c r="H90" i="15"/>
  <c r="I90" i="15" s="1"/>
  <c r="F43" i="15"/>
  <c r="H43" i="15"/>
  <c r="I43" i="15" s="1"/>
  <c r="F69" i="15"/>
  <c r="F33" i="15"/>
  <c r="F78" i="15"/>
  <c r="F84" i="15"/>
  <c r="H84" i="15"/>
  <c r="I84" i="15" s="1"/>
  <c r="F34" i="15"/>
  <c r="H34" i="15"/>
  <c r="I34" i="15" s="1"/>
  <c r="H51" i="15"/>
  <c r="I51" i="15" s="1"/>
  <c r="CE2" i="30"/>
  <c r="C142" i="8"/>
  <c r="C713" i="24"/>
  <c r="F18" i="15"/>
  <c r="F77" i="15"/>
  <c r="H277" i="32"/>
  <c r="I117" i="32"/>
  <c r="C695" i="24"/>
  <c r="C74" i="15"/>
  <c r="G74" i="15" s="1"/>
  <c r="F23" i="15"/>
  <c r="F80" i="15"/>
  <c r="C86" i="25"/>
  <c r="C669" i="25" s="1"/>
  <c r="C716" i="25" s="1"/>
  <c r="F30" i="15"/>
  <c r="C649" i="25"/>
  <c r="M717" i="25" s="1"/>
  <c r="F20" i="15"/>
  <c r="F72" i="15"/>
  <c r="F24" i="15"/>
  <c r="F74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H65" i="15" s="1"/>
  <c r="I65" i="15" s="1"/>
  <c r="C630" i="24"/>
  <c r="C56" i="15"/>
  <c r="C709" i="24"/>
  <c r="I181" i="32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G85" i="32"/>
  <c r="C686" i="24"/>
  <c r="C33" i="15"/>
  <c r="H33" i="15" s="1"/>
  <c r="I33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C17" i="32"/>
  <c r="C85" i="24"/>
  <c r="B15" i="15"/>
  <c r="H15" i="15" s="1"/>
  <c r="I15" i="15" s="1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H78" i="15" s="1"/>
  <c r="I78" i="15" s="1"/>
  <c r="C619" i="24"/>
  <c r="D181" i="32"/>
  <c r="C51" i="15"/>
  <c r="C704" i="24"/>
  <c r="F21" i="32"/>
  <c r="C18" i="15"/>
  <c r="G18" i="15" s="1"/>
  <c r="C671" i="24"/>
  <c r="C45" i="15"/>
  <c r="E149" i="32"/>
  <c r="C698" i="24"/>
  <c r="G309" i="32"/>
  <c r="C82" i="15"/>
  <c r="H82" i="15" s="1"/>
  <c r="I82" i="15" s="1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H73" i="15" s="1"/>
  <c r="I73" i="15" s="1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H93" i="15" s="1"/>
  <c r="I93" i="15" s="1"/>
  <c r="C620" i="24"/>
  <c r="G53" i="32"/>
  <c r="C26" i="15"/>
  <c r="G26" i="15" s="1"/>
  <c r="C679" i="24"/>
  <c r="D341" i="32"/>
  <c r="C86" i="15"/>
  <c r="H86" i="15" s="1"/>
  <c r="I86" i="15" s="1"/>
  <c r="C642" i="24"/>
  <c r="D21" i="32"/>
  <c r="C669" i="24"/>
  <c r="C16" i="15"/>
  <c r="G16" i="15" s="1"/>
  <c r="C245" i="32"/>
  <c r="C64" i="15"/>
  <c r="H64" i="15" s="1"/>
  <c r="I64" i="15" s="1"/>
  <c r="C628" i="24"/>
  <c r="D309" i="32"/>
  <c r="C627" i="24"/>
  <c r="C79" i="15"/>
  <c r="G79" i="15" s="1"/>
  <c r="G245" i="32"/>
  <c r="C68" i="15"/>
  <c r="G68" i="15" s="1"/>
  <c r="C624" i="24"/>
  <c r="H68" i="15" l="1"/>
  <c r="I68" i="15" s="1"/>
  <c r="H69" i="15"/>
  <c r="I69" i="15" s="1"/>
  <c r="H20" i="15"/>
  <c r="I20" i="15" s="1"/>
  <c r="H66" i="15"/>
  <c r="I66" i="15" s="1"/>
  <c r="H40" i="15"/>
  <c r="I40" i="15" s="1"/>
  <c r="H91" i="15"/>
  <c r="I91" i="15" s="1"/>
  <c r="H79" i="15"/>
  <c r="I79" i="15" s="1"/>
  <c r="H67" i="15"/>
  <c r="I67" i="15" s="1"/>
  <c r="H74" i="15"/>
  <c r="I74" i="15" s="1"/>
  <c r="H72" i="15"/>
  <c r="I72" i="15" s="1"/>
  <c r="I369" i="32"/>
  <c r="C395" i="24"/>
  <c r="G51" i="15"/>
  <c r="C648" i="24"/>
  <c r="M716" i="24" s="1"/>
  <c r="G32" i="15"/>
  <c r="G38" i="15"/>
  <c r="G28" i="15"/>
  <c r="G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G73" i="15"/>
  <c r="G63" i="15"/>
  <c r="H63" i="15" s="1"/>
  <c r="I63" i="15" s="1"/>
  <c r="G65" i="15"/>
  <c r="C21" i="32"/>
  <c r="C15" i="15"/>
  <c r="G15" i="15" s="1"/>
  <c r="C668" i="24"/>
  <c r="C715" i="24" s="1"/>
  <c r="CE85" i="24"/>
  <c r="G45" i="15"/>
  <c r="G93" i="15"/>
  <c r="G70" i="15"/>
  <c r="G29" i="15"/>
  <c r="G82" i="15"/>
  <c r="F15" i="15"/>
  <c r="G90" i="15"/>
  <c r="G37" i="15"/>
  <c r="G41" i="15"/>
  <c r="G89" i="15"/>
  <c r="G75" i="15"/>
  <c r="G33" i="15"/>
  <c r="G39" i="15"/>
  <c r="G48" i="15"/>
  <c r="G78" i="15"/>
  <c r="G49" i="15"/>
  <c r="D716" i="25"/>
  <c r="E624" i="25"/>
  <c r="G56" i="15"/>
  <c r="G64" i="15"/>
  <c r="E613" i="25"/>
  <c r="G43" i="15"/>
  <c r="CJ2" i="30" l="1"/>
  <c r="C147" i="8"/>
  <c r="D416" i="24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414" i="24" l="1"/>
  <c r="D26" i="17"/>
  <c r="C167" i="8"/>
  <c r="D417" i="24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D421" i="24" l="1"/>
  <c r="C168" i="8"/>
  <c r="E715" i="24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C172" i="8" l="1"/>
  <c r="D424" i="24"/>
  <c r="C177" i="8" s="1"/>
  <c r="F716" i="25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0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693" i="24"/>
  <c r="L682" i="24"/>
  <c r="L681" i="24"/>
  <c r="L698" i="24"/>
  <c r="L697" i="24"/>
  <c r="L684" i="24"/>
  <c r="L695" i="24"/>
  <c r="J715" i="24"/>
  <c r="K710" i="25"/>
  <c r="K702" i="25"/>
  <c r="K694" i="25"/>
  <c r="M694" i="25" s="1"/>
  <c r="K686" i="25"/>
  <c r="K707" i="25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K709" i="25"/>
  <c r="K701" i="25"/>
  <c r="M701" i="25" s="1"/>
  <c r="K693" i="25"/>
  <c r="M693" i="25" s="1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M670" i="25" s="1"/>
  <c r="K706" i="25"/>
  <c r="K681" i="25"/>
  <c r="K675" i="25"/>
  <c r="K698" i="25"/>
  <c r="M698" i="25" s="1"/>
  <c r="K672" i="25"/>
  <c r="K690" i="25"/>
  <c r="K677" i="25"/>
  <c r="M677" i="25" s="1"/>
  <c r="K669" i="25"/>
  <c r="K682" i="25"/>
  <c r="K674" i="25"/>
  <c r="M674" i="25" s="1"/>
  <c r="K679" i="25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1" i="25" l="1"/>
  <c r="L702" i="24"/>
  <c r="M710" i="25"/>
  <c r="L706" i="24"/>
  <c r="M672" i="25"/>
  <c r="L680" i="24"/>
  <c r="L704" i="24"/>
  <c r="L687" i="24"/>
  <c r="L689" i="24"/>
  <c r="L701" i="24"/>
  <c r="L686" i="24"/>
  <c r="L678" i="24"/>
  <c r="L708" i="24"/>
  <c r="L668" i="24"/>
  <c r="L670" i="24"/>
  <c r="L699" i="24"/>
  <c r="L707" i="24"/>
  <c r="L683" i="24"/>
  <c r="L710" i="24"/>
  <c r="L672" i="24"/>
  <c r="L679" i="24"/>
  <c r="L685" i="24"/>
  <c r="L703" i="24"/>
  <c r="L673" i="24"/>
  <c r="L691" i="24"/>
  <c r="L671" i="24"/>
  <c r="L692" i="24"/>
  <c r="L711" i="24"/>
  <c r="L688" i="24"/>
  <c r="L716" i="24"/>
  <c r="L675" i="24"/>
  <c r="L694" i="24"/>
  <c r="L712" i="24"/>
  <c r="L690" i="24"/>
  <c r="L709" i="24"/>
  <c r="L676" i="24"/>
  <c r="L705" i="24"/>
  <c r="L677" i="24"/>
  <c r="L674" i="24"/>
  <c r="L669" i="24"/>
  <c r="L696" i="24"/>
  <c r="M687" i="25"/>
  <c r="M675" i="25"/>
  <c r="M680" i="25"/>
  <c r="M690" i="25"/>
  <c r="M700" i="25"/>
  <c r="M714" i="25"/>
  <c r="M679" i="25"/>
  <c r="M684" i="25"/>
  <c r="M707" i="25"/>
  <c r="M706" i="25"/>
  <c r="M686" i="25"/>
  <c r="M689" i="25"/>
  <c r="M697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K699" i="24"/>
  <c r="K691" i="24"/>
  <c r="K683" i="24"/>
  <c r="K694" i="24"/>
  <c r="K689" i="24"/>
  <c r="K684" i="24"/>
  <c r="M684" i="24" s="1"/>
  <c r="E87" i="32" s="1"/>
  <c r="K679" i="24"/>
  <c r="K672" i="24"/>
  <c r="K693" i="24"/>
  <c r="M693" i="24" s="1"/>
  <c r="G119" i="32" s="1"/>
  <c r="K688" i="24"/>
  <c r="M688" i="24" s="1"/>
  <c r="I87" i="32" s="1"/>
  <c r="K669" i="24"/>
  <c r="K716" i="24"/>
  <c r="K678" i="24"/>
  <c r="M678" i="24" s="1"/>
  <c r="F55" i="32" s="1"/>
  <c r="K674" i="24"/>
  <c r="K708" i="24"/>
  <c r="K668" i="24"/>
  <c r="M668" i="24" s="1"/>
  <c r="K701" i="24"/>
  <c r="K706" i="24"/>
  <c r="M706" i="24" s="1"/>
  <c r="F183" i="32" s="1"/>
  <c r="K705" i="24"/>
  <c r="K704" i="24"/>
  <c r="M704" i="24" s="1"/>
  <c r="D183" i="32" s="1"/>
  <c r="K686" i="24"/>
  <c r="K681" i="24"/>
  <c r="M681" i="24" s="1"/>
  <c r="I55" i="32" s="1"/>
  <c r="K676" i="24"/>
  <c r="K673" i="24"/>
  <c r="K709" i="24"/>
  <c r="K702" i="24"/>
  <c r="K700" i="24"/>
  <c r="M700" i="24" s="1"/>
  <c r="G151" i="32" s="1"/>
  <c r="K696" i="24"/>
  <c r="K677" i="24"/>
  <c r="M677" i="24" s="1"/>
  <c r="E55" i="32" s="1"/>
  <c r="K675" i="24"/>
  <c r="K671" i="24"/>
  <c r="M671" i="24" s="1"/>
  <c r="F23" i="32" s="1"/>
  <c r="K690" i="24"/>
  <c r="K692" i="24"/>
  <c r="K685" i="24"/>
  <c r="M685" i="24" s="1"/>
  <c r="F87" i="32" s="1"/>
  <c r="K710" i="24"/>
  <c r="K698" i="24"/>
  <c r="M698" i="24" s="1"/>
  <c r="E151" i="32" s="1"/>
  <c r="K687" i="24"/>
  <c r="M687" i="24" s="1"/>
  <c r="H87" i="32" s="1"/>
  <c r="K670" i="24"/>
  <c r="K680" i="24"/>
  <c r="M680" i="24" s="1"/>
  <c r="H55" i="32" s="1"/>
  <c r="K697" i="24"/>
  <c r="M697" i="24" s="1"/>
  <c r="D151" i="32" s="1"/>
  <c r="K682" i="24"/>
  <c r="M682" i="24" s="1"/>
  <c r="C87" i="32" s="1"/>
  <c r="K716" i="25"/>
  <c r="M669" i="25"/>
  <c r="M683" i="24" l="1"/>
  <c r="D87" i="32" s="1"/>
  <c r="M691" i="24"/>
  <c r="E119" i="32" s="1"/>
  <c r="M701" i="24"/>
  <c r="H151" i="32" s="1"/>
  <c r="M699" i="24"/>
  <c r="F151" i="32" s="1"/>
  <c r="M702" i="24"/>
  <c r="I151" i="32" s="1"/>
  <c r="M690" i="24"/>
  <c r="D119" i="32" s="1"/>
  <c r="M689" i="24"/>
  <c r="C119" i="32" s="1"/>
  <c r="M708" i="24"/>
  <c r="H183" i="32" s="1"/>
  <c r="M670" i="24"/>
  <c r="E23" i="32" s="1"/>
  <c r="M710" i="24"/>
  <c r="C215" i="32" s="1"/>
  <c r="M686" i="24"/>
  <c r="G87" i="32" s="1"/>
  <c r="M672" i="24"/>
  <c r="G23" i="32" s="1"/>
  <c r="M707" i="24"/>
  <c r="G183" i="32" s="1"/>
  <c r="M675" i="24"/>
  <c r="C55" i="32" s="1"/>
  <c r="M674" i="24"/>
  <c r="I23" i="32" s="1"/>
  <c r="M705" i="24"/>
  <c r="E183" i="32" s="1"/>
  <c r="L715" i="24"/>
  <c r="M692" i="24"/>
  <c r="F119" i="32" s="1"/>
  <c r="M709" i="24"/>
  <c r="I183" i="32" s="1"/>
  <c r="M711" i="24"/>
  <c r="D215" i="32" s="1"/>
  <c r="M696" i="24"/>
  <c r="C151" i="32" s="1"/>
  <c r="M673" i="24"/>
  <c r="H23" i="32" s="1"/>
  <c r="M694" i="24"/>
  <c r="H119" i="32" s="1"/>
  <c r="M676" i="24"/>
  <c r="D55" i="32" s="1"/>
  <c r="M669" i="24"/>
  <c r="D23" i="32" s="1"/>
  <c r="M679" i="24"/>
  <c r="G55" i="32" s="1"/>
  <c r="M716" i="25"/>
  <c r="K715" i="24"/>
  <c r="C23" i="32"/>
  <c r="M715" i="24" l="1"/>
</calcChain>
</file>

<file path=xl/sharedStrings.xml><?xml version="1.0" encoding="utf-8"?>
<sst xmlns="http://schemas.openxmlformats.org/spreadsheetml/2006/main" count="5709" uniqueCount="1376">
  <si>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</si>
  <si>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</si>
  <si>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</si>
  <si>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</si>
  <si>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</si>
  <si>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</si>
  <si>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</si>
  <si>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</si>
  <si>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</si>
  <si>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</si>
  <si>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</si>
  <si>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</si>
  <si>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</si>
  <si>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</si>
  <si>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</si>
  <si>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</si>
  <si>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</si>
  <si>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</si>
  <si>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</si>
  <si>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</si>
  <si>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</si>
  <si>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</si>
  <si>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</si>
  <si>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</si>
  <si>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</si>
  <si>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</si>
  <si>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</si>
  <si>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</si>
  <si>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</si>
  <si>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</si>
  <si>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</si>
  <si>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</si>
  <si>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</si>
  <si>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</si>
  <si>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</si>
  <si>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</si>
  <si>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</si>
  <si>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</si>
  <si>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</si>
  <si>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</si>
  <si>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</si>
  <si>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</si>
  <si>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</si>
  <si>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</si>
  <si>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</si>
  <si>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</si>
  <si>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</si>
  <si>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</si>
  <si>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</si>
  <si>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</si>
  <si>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</si>
  <si>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</si>
  <si>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</si>
  <si>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</si>
  <si>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</si>
  <si>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</si>
  <si>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</si>
  <si>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</si>
  <si>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</si>
  <si>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</si>
  <si>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</si>
  <si>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</si>
  <si>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</si>
  <si>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</si>
  <si>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</si>
  <si>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</si>
  <si>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</si>
  <si>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</si>
  <si>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</si>
  <si>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</si>
  <si>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</si>
  <si>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</si>
  <si>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</si>
  <si>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</si>
  <si>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</si>
  <si>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</si>
  <si>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</si>
  <si>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</si>
  <si>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</si>
  <si>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</si>
  <si>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</si>
  <si>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</si>
  <si>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</si>
  <si>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</si>
  <si>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</si>
  <si>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</si>
  <si>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</si>
  <si>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</si>
  <si>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</si>
  <si>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</si>
  <si>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</si>
  <si>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</si>
  <si>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</si>
  <si>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</si>
  <si>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</si>
  <si>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</si>
  <si>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</si>
  <si>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</si>
  <si>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</si>
  <si>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</si>
  <si>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</si>
  <si>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</si>
  <si>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</si>
  <si>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</si>
  <si>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</si>
  <si>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</si>
  <si>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</si>
  <si>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</si>
  <si>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</si>
  <si>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</si>
  <si>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</si>
  <si>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</si>
  <si>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</si>
  <si>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</si>
  <si>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</si>
  <si>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</si>
  <si>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</si>
  <si>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</si>
  <si>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</si>
  <si>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</si>
  <si>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</si>
  <si>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</si>
  <si>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</si>
  <si>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</si>
  <si>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</si>
  <si>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</si>
  <si>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</si>
  <si>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</si>
  <si>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</si>
  <si>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</si>
  <si>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</si>
  <si>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</si>
  <si>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</si>
  <si>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</si>
  <si>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</si>
  <si>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</si>
  <si>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</si>
  <si>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</si>
  <si>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</si>
  <si>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</si>
  <si>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</si>
  <si>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</si>
  <si>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</si>
  <si>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</si>
  <si>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</si>
  <si>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</si>
  <si>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</si>
  <si>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</si>
  <si>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</si>
  <si>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</si>
  <si>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</si>
  <si>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</si>
  <si>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</si>
  <si>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</si>
  <si>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</si>
  <si>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</si>
  <si>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</si>
  <si>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</si>
  <si>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</si>
  <si>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</si>
  <si>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</si>
  <si>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</si>
  <si>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</si>
  <si>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</si>
  <si>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</si>
  <si>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</si>
  <si>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</si>
  <si>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</si>
  <si>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</si>
  <si>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</si>
  <si>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</si>
  <si>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</si>
  <si>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</si>
  <si>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</si>
  <si>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</si>
  <si>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</si>
  <si>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</si>
  <si>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</si>
  <si>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</si>
  <si>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</si>
  <si>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</si>
  <si>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</si>
  <si>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</si>
  <si>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</si>
  <si>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</si>
  <si>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</si>
  <si>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</si>
  <si>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</si>
  <si>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</si>
  <si>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</si>
  <si>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</si>
  <si>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</si>
  <si>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</si>
  <si>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</si>
  <si>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</si>
  <si>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</si>
  <si>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</si>
  <si>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</si>
  <si>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</si>
  <si>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</si>
  <si>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</si>
  <si>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</si>
  <si>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</si>
  <si>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</si>
  <si>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</si>
  <si>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</si>
  <si>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</si>
  <si>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</si>
  <si>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</si>
  <si>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</si>
  <si>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</si>
  <si>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</si>
  <si>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</si>
  <si>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</si>
  <si>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</si>
  <si>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</si>
  <si>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</si>
  <si>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</si>
  <si>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</si>
  <si>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</si>
  <si>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</si>
  <si>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</si>
  <si>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</si>
  <si>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</si>
  <si>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</si>
  <si>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</si>
  <si>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</si>
  <si>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</si>
  <si>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</si>
  <si>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</si>
  <si>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</si>
  <si>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</si>
  <si>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</si>
  <si>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</si>
  <si>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</si>
  <si>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</si>
  <si>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</si>
  <si>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</si>
  <si>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</si>
  <si>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</si>
  <si>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</si>
  <si>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</si>
  <si>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</si>
  <si>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</si>
  <si>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</si>
  <si>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</si>
  <si>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</si>
  <si>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</si>
  <si>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</si>
  <si>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</si>
  <si>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</si>
  <si>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</si>
  <si>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</si>
  <si>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</si>
  <si>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</si>
  <si>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</si>
  <si>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</si>
  <si>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</si>
  <si>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</si>
  <si>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</si>
  <si>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</si>
  <si>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</si>
  <si>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</si>
  <si>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</si>
  <si>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</si>
  <si>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</si>
  <si>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</si>
  <si>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</si>
  <si>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</si>
  <si>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</si>
  <si>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</si>
  <si>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</si>
  <si>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</si>
  <si>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</si>
  <si>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</si>
  <si>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</si>
  <si>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</si>
  <si>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</si>
  <si>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</si>
  <si>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</si>
  <si>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</si>
  <si>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</si>
  <si>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</si>
  <si>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</si>
  <si>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</si>
  <si>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</si>
  <si>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</si>
  <si>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</si>
  <si>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</si>
  <si>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</si>
  <si>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</si>
  <si>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</si>
  <si>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</si>
  <si>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</si>
  <si>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</si>
  <si>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</si>
  <si>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</si>
  <si>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</si>
  <si>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</si>
  <si>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</si>
  <si>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</si>
  <si>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</si>
  <si>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</si>
  <si>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</si>
  <si>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</si>
  <si>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</si>
  <si>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</si>
  <si>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</si>
  <si>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</si>
  <si>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</si>
  <si>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</si>
  <si>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</si>
  <si>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</si>
  <si>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</si>
  <si>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</si>
  <si>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</si>
  <si>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</si>
  <si>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</si>
  <si>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</si>
  <si>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</si>
  <si>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</si>
  <si>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</si>
  <si>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</si>
  <si>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</si>
  <si>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</si>
  <si>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</si>
  <si>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</si>
  <si>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</si>
  <si>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</si>
  <si>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</si>
  <si>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</si>
  <si>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</si>
  <si>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</si>
  <si>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</si>
  <si>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</si>
  <si>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</si>
  <si>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</si>
  <si>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</si>
  <si>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</si>
  <si>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</si>
  <si>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</si>
  <si>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</si>
  <si>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</si>
  <si>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</si>
  <si>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</si>
  <si>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</si>
  <si>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</si>
  <si>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</si>
  <si>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</si>
  <si>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</si>
  <si>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</si>
  <si>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</si>
  <si>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</si>
  <si>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</si>
  <si>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</si>
  <si>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</si>
  <si>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</si>
  <si>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</si>
  <si>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</si>
  <si>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</si>
  <si>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</si>
  <si>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</si>
  <si>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</si>
  <si>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</si>
  <si>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</si>
  <si>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</si>
  <si>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</si>
  <si>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</si>
  <si>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</si>
  <si>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</si>
  <si>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</si>
  <si>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</si>
  <si>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</si>
  <si>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</si>
  <si>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</si>
  <si>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</si>
  <si>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</si>
  <si>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</si>
  <si>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</si>
  <si>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</si>
  <si>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</si>
  <si>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</si>
  <si>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</si>
  <si>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</si>
  <si>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</si>
  <si>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</si>
  <si>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</si>
  <si>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</si>
  <si>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</si>
  <si>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</si>
  <si>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</si>
  <si>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</si>
  <si>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</si>
  <si>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</si>
  <si>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</si>
  <si>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</si>
  <si>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</si>
  <si>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</si>
  <si>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</si>
  <si>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</si>
  <si>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</si>
  <si>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</si>
  <si>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</si>
  <si>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</si>
  <si>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</si>
  <si>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</si>
  <si>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</si>
  <si>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</si>
  <si>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</si>
  <si>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</si>
  <si>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</si>
  <si>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</si>
  <si>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</si>
  <si>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</si>
  <si>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</si>
  <si>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</si>
  <si>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</si>
  <si>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</si>
  <si>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</si>
  <si>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</si>
  <si>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</si>
  <si>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</si>
  <si>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</si>
  <si>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</si>
  <si>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</si>
  <si>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</si>
  <si>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</si>
  <si>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</si>
  <si>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</si>
  <si>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</si>
  <si>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</si>
  <si>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</si>
  <si>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</si>
  <si>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</si>
  <si>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</si>
  <si>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</si>
  <si>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</si>
  <si>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</si>
  <si>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</si>
  <si>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</si>
  <si>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</si>
  <si>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</si>
  <si>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</si>
  <si>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</si>
  <si>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</si>
  <si>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</si>
  <si>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</si>
  <si>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</si>
  <si>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</si>
  <si>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</si>
  <si>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</si>
  <si>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</si>
  <si>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</si>
  <si>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</si>
  <si>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</si>
  <si>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</si>
  <si>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</si>
  <si>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</si>
  <si>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</si>
  <si>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</si>
  <si>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</si>
  <si>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</si>
  <si>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</si>
  <si>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</si>
  <si>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</si>
  <si>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</si>
  <si>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</si>
  <si>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</si>
  <si>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</si>
  <si>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</si>
  <si>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</si>
  <si>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</si>
  <si>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</si>
  <si>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</si>
  <si>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</si>
  <si>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</si>
  <si>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</si>
  <si>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</si>
  <si>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</si>
  <si>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</si>
  <si>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</si>
  <si>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</si>
  <si>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</si>
  <si>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</si>
  <si>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</si>
  <si>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</si>
  <si>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</si>
  <si>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</si>
  <si>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</si>
  <si>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</si>
  <si>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</si>
  <si>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</si>
  <si>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</si>
  <si>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</si>
  <si>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</si>
  <si>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</si>
  <si>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</si>
  <si>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</si>
  <si>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</si>
  <si>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</si>
  <si>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</si>
  <si>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</si>
  <si>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</si>
  <si>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</si>
  <si>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</si>
  <si>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</si>
  <si>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</si>
  <si>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</si>
  <si>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</si>
  <si>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</si>
  <si>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</si>
  <si>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</si>
  <si>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</si>
  <si>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</si>
  <si>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</si>
  <si>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</si>
  <si>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</si>
  <si>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</si>
  <si>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</si>
  <si>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</si>
  <si>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</si>
  <si>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</si>
  <si>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</si>
  <si>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</si>
  <si>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</si>
  <si>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</si>
  <si>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</si>
  <si>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</si>
  <si>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</si>
  <si>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</si>
  <si>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</si>
  <si>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</si>
  <si>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</si>
  <si>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</si>
  <si>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</si>
  <si>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</si>
  <si>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</si>
  <si>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</si>
  <si>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</si>
  <si>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</si>
  <si>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</si>
  <si>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</si>
  <si>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</si>
  <si>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</si>
  <si>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</si>
  <si>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</si>
  <si>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</si>
  <si>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</si>
  <si>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</si>
  <si>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</si>
  <si>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</si>
  <si>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</si>
  <si>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</si>
  <si>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</si>
  <si>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</si>
  <si>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</si>
  <si>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</si>
  <si>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</si>
  <si>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</si>
  <si>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</si>
  <si>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</si>
  <si>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</si>
  <si>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</si>
  <si>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</si>
  <si>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</si>
  <si>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</si>
  <si>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</si>
  <si>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</si>
  <si>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</si>
  <si>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</si>
  <si>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</si>
  <si>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</si>
  <si>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</si>
  <si>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</si>
  <si>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</si>
  <si>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</si>
  <si>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</si>
  <si>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</si>
  <si>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</si>
  <si>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</si>
  <si>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</si>
  <si>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</si>
  <si>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</si>
  <si>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</si>
  <si>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</si>
  <si>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</si>
  <si>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</si>
  <si>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</si>
  <si>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</si>
  <si>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</si>
  <si>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</si>
  <si>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</si>
  <si>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</si>
  <si>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</si>
  <si>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</si>
  <si>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</si>
  <si>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</si>
  <si>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</si>
  <si>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</si>
  <si>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</si>
  <si>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</si>
  <si>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</si>
  <si>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</si>
  <si>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</si>
  <si>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</si>
  <si>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</si>
  <si>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</si>
  <si>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</si>
  <si>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</si>
  <si>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</si>
  <si>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</si>
  <si>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</si>
  <si>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</si>
  <si>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</si>
  <si>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</si>
  <si>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</si>
  <si>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</si>
  <si>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</si>
  <si>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</si>
  <si>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</si>
  <si>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</si>
  <si>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</si>
  <si>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</si>
  <si>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</si>
  <si>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</si>
  <si>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</si>
  <si>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</si>
  <si>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</si>
  <si>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</si>
  <si>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</si>
  <si>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</si>
  <si>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</si>
  <si>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</si>
  <si>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</si>
  <si>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</si>
  <si>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</si>
  <si>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</si>
  <si>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</si>
  <si>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</si>
  <si>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</si>
  <si>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</si>
  <si>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</si>
  <si>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</si>
  <si>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</si>
  <si>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</si>
  <si>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</si>
  <si>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</si>
  <si>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</si>
  <si>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</si>
  <si>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</si>
  <si>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</si>
  <si>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</si>
  <si>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</si>
  <si>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</si>
  <si>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</si>
  <si>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</si>
  <si>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</si>
  <si>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</si>
  <si>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</si>
  <si>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</si>
  <si>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</si>
  <si>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</si>
  <si>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</si>
  <si>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</si>
  <si>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</si>
  <si>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</si>
  <si>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</si>
  <si>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</si>
  <si>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</si>
  <si>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</si>
  <si>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</si>
  <si>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</si>
  <si>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</si>
  <si>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</si>
  <si>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</si>
  <si>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</si>
  <si>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</si>
  <si>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</si>
  <si>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</si>
  <si>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</si>
  <si>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</si>
  <si>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</si>
  <si>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</si>
  <si>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</si>
  <si>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</si>
  <si>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</si>
  <si>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</si>
  <si>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</si>
  <si>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</si>
  <si>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</si>
  <si>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</si>
  <si>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</si>
  <si>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</si>
  <si>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</si>
  <si>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</si>
  <si>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</si>
  <si>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</si>
  <si>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</si>
  <si>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</si>
  <si>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</si>
  <si>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</si>
  <si>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</si>
  <si>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</si>
  <si>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</si>
  <si>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</si>
  <si>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</si>
  <si>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</si>
  <si>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</si>
  <si>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</si>
  <si>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</si>
  <si>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</si>
  <si>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</si>
  <si>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</si>
  <si>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</si>
  <si>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</si>
  <si>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</si>
  <si>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</si>
  <si>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</si>
  <si>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</si>
  <si>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</si>
  <si>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</si>
  <si>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</si>
  <si>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</si>
  <si>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</si>
  <si>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</si>
  <si>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</si>
  <si>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</si>
  <si>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</si>
  <si>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</si>
  <si>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</si>
  <si>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</si>
  <si>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</si>
  <si>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</si>
  <si>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</si>
  <si>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</si>
  <si>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</si>
  <si>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</si>
  <si>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</si>
  <si>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</si>
  <si>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</si>
  <si>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</si>
  <si>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</si>
  <si>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</si>
  <si>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</si>
  <si>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</si>
  <si>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</si>
  <si>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</si>
  <si>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</si>
  <si>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</si>
  <si>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</si>
  <si>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</si>
  <si>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</si>
  <si>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</si>
  <si>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</si>
  <si>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</si>
  <si>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</si>
  <si>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</si>
  <si>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</si>
  <si>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</si>
  <si>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</si>
  <si>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</si>
  <si>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</si>
  <si>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</si>
  <si>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</si>
  <si>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</si>
  <si>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</si>
  <si>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</si>
  <si>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</si>
  <si>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</si>
  <si>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</si>
  <si>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</si>
  <si>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</si>
  <si>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</si>
  <si>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</si>
  <si>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</si>
  <si>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</si>
  <si>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</si>
  <si>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</si>
  <si>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</si>
  <si>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</si>
  <si>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</si>
  <si>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</si>
  <si>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</si>
  <si>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</si>
  <si>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</si>
  <si>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</si>
  <si>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</si>
  <si>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</si>
  <si>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</si>
  <si>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</si>
  <si>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</si>
  <si>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</si>
  <si>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</si>
  <si>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</si>
  <si>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</si>
  <si>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</si>
  <si>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</si>
  <si>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</si>
  <si>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</si>
  <si>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</si>
  <si>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</si>
  <si>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</si>
  <si>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</si>
  <si>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</si>
  <si>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</si>
  <si>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</si>
  <si>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</si>
  <si>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</si>
  <si>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</si>
  <si>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</si>
  <si>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</si>
  <si>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</si>
  <si>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</si>
  <si>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</si>
  <si>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</si>
  <si>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</si>
  <si>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</si>
  <si>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</si>
  <si>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</si>
  <si>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</si>
  <si>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</si>
  <si>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</si>
  <si>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</si>
  <si>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</si>
  <si>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</si>
  <si>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</si>
  <si>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</si>
  <si>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</si>
  <si>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</si>
  <si>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</si>
  <si>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</si>
  <si>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</si>
  <si>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</si>
  <si>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</si>
  <si>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</si>
  <si>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</si>
  <si>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</si>
  <si>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</si>
  <si>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</si>
  <si>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</si>
  <si>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</si>
  <si>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</si>
  <si>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</si>
  <si>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</si>
  <si>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</si>
  <si>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</si>
  <si>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</si>
  <si>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</si>
  <si>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</si>
  <si>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</si>
  <si>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</si>
  <si>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</si>
  <si>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</si>
  <si>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</si>
  <si>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</si>
  <si>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</si>
  <si>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</si>
  <si>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</si>
  <si>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</si>
  <si>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</si>
  <si>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</si>
  <si>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</si>
  <si>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</si>
  <si>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</si>
  <si>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</si>
  <si>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</si>
  <si>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</si>
  <si>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</si>
  <si>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</si>
  <si>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</si>
  <si>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</si>
  <si>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</si>
  <si>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</si>
  <si>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</si>
  <si>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</si>
  <si>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</si>
  <si>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</si>
  <si>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</si>
  <si>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</si>
  <si>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</si>
  <si>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</si>
  <si>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</si>
  <si>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</si>
  <si>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</si>
  <si>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</si>
  <si>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</si>
  <si>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</si>
  <si>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</si>
  <si>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</si>
  <si>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</si>
  <si>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</si>
  <si>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</si>
  <si>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</si>
  <si>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</si>
  <si>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</si>
  <si>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</si>
  <si>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</si>
  <si>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</si>
  <si>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</si>
  <si>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</si>
  <si>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</si>
  <si>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</si>
  <si>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</si>
  <si>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</si>
  <si>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</si>
  <si>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</si>
  <si>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</si>
  <si>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</si>
  <si>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</si>
  <si>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</si>
  <si>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</si>
  <si>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</si>
  <si>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</si>
  <si>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</si>
  <si>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</si>
  <si>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</si>
  <si>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</si>
  <si>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</si>
  <si>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</si>
  <si>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</si>
  <si>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</si>
  <si>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</si>
  <si>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</si>
  <si>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</si>
  <si>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</si>
  <si>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</si>
  <si>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</si>
  <si>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</si>
  <si>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</si>
  <si>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</si>
  <si>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</si>
  <si>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</si>
  <si>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</si>
  <si>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</si>
  <si>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</si>
  <si>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</si>
  <si>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</si>
  <si>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</si>
  <si>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</si>
  <si>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</si>
  <si>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</si>
  <si>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</si>
  <si>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</si>
  <si>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</si>
  <si>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</si>
  <si>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</si>
  <si>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</si>
  <si>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</si>
  <si>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</si>
  <si>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</si>
  <si>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</si>
  <si>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</si>
  <si>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</si>
  <si>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</si>
  <si>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</si>
  <si>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</si>
  <si>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</si>
  <si>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</si>
  <si>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</si>
  <si>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</si>
  <si>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</si>
  <si>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</si>
  <si>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</si>
  <si>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</si>
  <si>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</si>
  <si>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</si>
  <si>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</si>
  <si>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</si>
  <si>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</si>
  <si>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</si>
  <si>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</si>
  <si>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</si>
  <si>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</si>
  <si>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</si>
  <si>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</si>
  <si>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</si>
  <si>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</si>
  <si>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</si>
  <si>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</si>
  <si>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</si>
  <si>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</si>
  <si>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</si>
  <si>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</si>
  <si>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</si>
  <si>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</si>
  <si>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</si>
  <si>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</si>
  <si>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</si>
  <si>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</si>
  <si>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</si>
  <si>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</si>
  <si>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</si>
  <si>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</si>
  <si>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</si>
  <si>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</si>
  <si>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</si>
  <si>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</si>
  <si>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</si>
  <si>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</si>
  <si>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</si>
  <si>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</si>
  <si>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</si>
  <si>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</si>
  <si>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</si>
  <si>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</si>
  <si>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</si>
  <si>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</si>
  <si>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</si>
  <si>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</si>
  <si>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</si>
  <si>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</si>
  <si>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</si>
  <si>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</si>
  <si>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</si>
  <si>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</si>
  <si>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</si>
  <si>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</si>
  <si>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</si>
  <si>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</si>
  <si>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</si>
  <si>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</si>
  <si>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</si>
  <si>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</si>
  <si>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</si>
  <si>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</si>
  <si>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</si>
  <si>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</si>
  <si>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</si>
  <si>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</si>
  <si>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</si>
  <si>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</si>
  <si>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</si>
  <si>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</si>
  <si>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</si>
  <si>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</si>
  <si>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</si>
  <si>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</si>
  <si>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</si>
  <si>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</si>
  <si>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</si>
  <si>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</si>
  <si>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</si>
  <si>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</si>
  <si>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</si>
  <si>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</si>
  <si>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</si>
  <si>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</si>
  <si>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</si>
  <si>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</si>
  <si>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</si>
  <si>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</si>
  <si>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</si>
  <si>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</si>
  <si>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</si>
  <si>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</si>
  <si>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</si>
  <si>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</si>
  <si>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</si>
  <si>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</si>
  <si>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</si>
  <si>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</si>
  <si>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</si>
  <si>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</si>
  <si>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</si>
  <si>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</si>
  <si>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</si>
  <si>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</si>
  <si>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</si>
  <si>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</si>
  <si>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</si>
  <si>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</si>
  <si>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</si>
  <si>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</si>
  <si>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</si>
  <si>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</si>
  <si>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</si>
  <si>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</si>
  <si>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</si>
  <si>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</si>
  <si>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</si>
  <si>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</si>
  <si>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</si>
  <si>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</si>
  <si>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</si>
  <si>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</si>
  <si>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</si>
  <si>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</si>
  <si>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</si>
  <si>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</si>
  <si>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</si>
  <si>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</si>
  <si>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</si>
  <si>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</si>
  <si>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</si>
  <si>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</si>
  <si>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</si>
  <si>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</si>
  <si>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</si>
  <si>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</si>
  <si>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</si>
  <si>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</si>
  <si>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</si>
  <si>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</si>
  <si>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</si>
  <si>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</si>
  <si>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</si>
  <si>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</si>
  <si>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</si>
  <si>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</si>
  <si>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</si>
  <si>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</si>
  <si>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</si>
  <si>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</si>
  <si>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</si>
  <si>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</si>
  <si>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</si>
  <si>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</si>
  <si>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</si>
  <si>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</si>
  <si>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</si>
  <si>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</si>
  <si>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</si>
  <si>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</si>
  <si>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</si>
  <si>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</si>
  <si>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</si>
  <si>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</si>
  <si>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</si>
  <si>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</si>
  <si>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</si>
  <si>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</si>
  <si>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</si>
  <si>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</si>
  <si>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</si>
  <si>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</si>
  <si>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</si>
  <si>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</si>
  <si>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</si>
  <si>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</si>
  <si>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</si>
  <si>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</si>
  <si>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</si>
  <si>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</si>
  <si>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</si>
  <si>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</si>
  <si>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</si>
  <si>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</si>
  <si>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</si>
  <si>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</si>
  <si>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</si>
  <si>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</si>
  <si>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</si>
  <si>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</si>
  <si>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</si>
  <si>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</si>
  <si>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</si>
  <si>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</si>
  <si>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</si>
  <si>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</si>
  <si>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</si>
  <si>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</si>
  <si>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</si>
  <si>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</si>
  <si>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</si>
  <si>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</si>
  <si>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</si>
  <si>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</si>
  <si>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</si>
  <si>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</si>
  <si>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</si>
  <si>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</si>
  <si>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</si>
  <si>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</si>
  <si>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</si>
  <si>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</si>
  <si>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</si>
  <si>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</si>
  <si>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</si>
  <si>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</si>
  <si>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</si>
  <si>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</si>
  <si>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</si>
  <si>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</si>
  <si>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</si>
  <si>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</si>
  <si>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</si>
  <si>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</si>
  <si>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</si>
  <si>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</si>
  <si>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</si>
  <si>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</si>
  <si>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</si>
  <si>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</si>
  <si>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</si>
  <si>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</si>
  <si>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</si>
  <si>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</si>
  <si>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</si>
  <si>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</si>
  <si>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</si>
  <si>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</si>
  <si>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</si>
  <si>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</si>
  <si>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</si>
  <si>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</si>
  <si>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</si>
  <si>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</si>
  <si>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</si>
  <si>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</si>
  <si>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</si>
  <si>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</si>
  <si>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</si>
  <si>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</si>
  <si>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</si>
  <si>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</si>
  <si>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</si>
  <si>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</si>
  <si>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</si>
  <si>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</si>
  <si>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</si>
  <si>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</si>
  <si>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</si>
  <si>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</si>
  <si>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</si>
  <si>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</si>
  <si>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</si>
  <si>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</si>
  <si>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</si>
  <si>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</si>
  <si>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</si>
  <si>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</si>
  <si>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</si>
  <si>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</si>
  <si>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</si>
  <si>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</si>
  <si>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</si>
  <si>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</si>
  <si>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</si>
  <si>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</si>
  <si>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</si>
  <si>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</si>
  <si>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</si>
  <si>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</si>
  <si>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</si>
  <si>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</si>
  <si>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</si>
  <si>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</si>
  <si>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</si>
  <si>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</si>
  <si>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</si>
  <si>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</si>
  <si>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</si>
  <si>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</si>
  <si>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</si>
  <si>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</si>
  <si>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</si>
  <si>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</si>
  <si>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</si>
  <si>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</si>
  <si>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</si>
  <si>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</si>
  <si>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</si>
  <si>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</si>
  <si>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</si>
  <si>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</si>
  <si>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</si>
  <si>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</si>
  <si>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</si>
  <si>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</si>
  <si>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</si>
  <si>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</si>
  <si>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</si>
  <si>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</si>
  <si>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</si>
  <si>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</si>
  <si>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</si>
  <si>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</si>
  <si>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</si>
  <si>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</si>
  <si>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</si>
  <si>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</si>
  <si>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</si>
  <si>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</si>
  <si>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</si>
  <si>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</si>
  <si>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</si>
  <si>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</si>
  <si>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</si>
  <si>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</si>
  <si>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</si>
  <si>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</si>
  <si>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</si>
  <si>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</si>
  <si>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</si>
  <si>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</si>
  <si>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</si>
  <si>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</si>
  <si>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</si>
  <si>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</si>
  <si>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</si>
  <si>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</si>
  <si>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</si>
  <si>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</si>
  <si>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</si>
  <si>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</si>
  <si>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</si>
  <si>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</si>
  <si>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</si>
  <si>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</si>
  <si>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</si>
  <si>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</si>
  <si>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</si>
  <si>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</si>
  <si>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</si>
  <si>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</si>
  <si>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</si>
  <si>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</si>
  <si>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</si>
  <si>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</si>
  <si>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</si>
  <si>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</si>
  <si>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</si>
  <si>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</si>
  <si>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</si>
  <si>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</si>
  <si>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</si>
  <si>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</si>
  <si>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</si>
  <si>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</si>
  <si>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</si>
  <si>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</si>
  <si>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</si>
  <si>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</si>
  <si>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</si>
  <si>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</si>
  <si>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</si>
  <si>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</si>
  <si>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</si>
  <si>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</si>
  <si>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</si>
  <si>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</si>
  <si>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</si>
  <si>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</si>
  <si>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</si>
  <si>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</si>
  <si>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</si>
  <si>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</si>
  <si>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</si>
  <si>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</si>
  <si>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</si>
  <si>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</si>
  <si>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</si>
  <si>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</si>
  <si>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</si>
  <si>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</si>
  <si>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</si>
  <si>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</si>
  <si>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</si>
  <si>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</si>
  <si>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</si>
  <si>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</si>
  <si>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</si>
  <si>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</si>
  <si>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926</t>
  </si>
  <si>
    <t>Inland Northwest Behavioral Health</t>
  </si>
  <si>
    <t>104 W 5th Ave</t>
  </si>
  <si>
    <t>Spokane</t>
  </si>
  <si>
    <t>WA</t>
  </si>
  <si>
    <t>Rlynn Wickel</t>
  </si>
  <si>
    <t>Troy Cherry</t>
  </si>
  <si>
    <t>Diane Henneman</t>
  </si>
  <si>
    <t>509-992-1888</t>
  </si>
  <si>
    <t>509-293-6517</t>
  </si>
  <si>
    <t>12/31/2022</t>
  </si>
  <si>
    <t>Kerry Knott</t>
  </si>
  <si>
    <t>troy.cherry@uhsinc.com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</si>
</sst>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43" fontId="15" fillId="0" borderId="1" xfId="0" quotePrefix="1" applyNumberFormat="1" applyFont="1" applyBorder="1" applyProtection="1">
      <protection locked="0"/>
    </xf>
    <xf numFmtId="43" fontId="15" fillId="0" borderId="1" xfId="1" quotePrefix="1" applyFont="1" applyBorder="1" applyProtection="1">
      <protection locked="0"/>
    </xf>
    <xf numFmtId="43" fontId="15" fillId="0" borderId="1" xfId="4" quotePrefix="1" applyNumberFormat="1" applyFont="1" applyBorder="1" applyProtection="1">
      <protection locked="0"/>
    </xf>
    <xf numFmtId="43" fontId="15" fillId="0" borderId="1" xfId="1" applyFont="1" applyBorder="1" applyProtection="1">
      <protection locked="0"/>
    </xf>
    <xf numFmtId="43" fontId="11" fillId="3" borderId="0" xfId="0" quotePrefix="1" applyNumberFormat="1" applyFont="1" applyFill="1" applyAlignment="1">
      <alignment horizontal="fill"/>
    </xf>
    <xf numFmtId="43" fontId="11" fillId="7" borderId="0" xfId="0" applyNumberFormat="1" applyFont="1" applyFill="1"/>
    <xf numFmtId="43" fontId="11" fillId="0" borderId="0" xfId="0" applyNumberFormat="1" applyFont="1"/>
    <xf numFmtId="41" fontId="15" fillId="0" borderId="1" xfId="0" quotePrefix="1" applyNumberFormat="1" applyFont="1" applyBorder="1" applyProtection="1">
      <protection locked="0"/>
    </xf>
    <xf numFmtId="41" fontId="15" fillId="0" borderId="1" xfId="1" quotePrefix="1" applyNumberFormat="1" applyFont="1" applyBorder="1" applyProtection="1">
      <protection locked="0"/>
    </xf>
    <xf numFmtId="41" fontId="15" fillId="0" borderId="1" xfId="4" quotePrefix="1" applyNumberFormat="1" applyFont="1" applyBorder="1" applyProtection="1">
      <protection locked="0"/>
    </xf>
    <xf numFmtId="41" fontId="15" fillId="0" borderId="1" xfId="1" applyNumberFormat="1" applyFont="1" applyBorder="1" applyProtection="1">
      <protection locked="0"/>
    </xf>
    <xf numFmtId="41" fontId="11" fillId="3" borderId="0" xfId="0" quotePrefix="1" applyNumberFormat="1" applyFont="1" applyFill="1" applyAlignment="1">
      <alignment horizontal="fill"/>
    </xf>
    <xf numFmtId="41" fontId="11" fillId="7" borderId="0" xfId="0" applyNumberFormat="1" applyFont="1" applyFill="1"/>
    <xf numFmtId="41" fontId="11" fillId="0" borderId="0" xfId="0" applyNumberFormat="1" applyFont="1"/>
    <xf numFmtId="43" fontId="11" fillId="3" borderId="0" xfId="0" applyNumberFormat="1" applyFont="1" applyFill="1"/>
    <xf numFmtId="41" fontId="11" fillId="7" borderId="0" xfId="0" quotePrefix="1" applyNumberFormat="1" applyFont="1" applyFill="1" applyAlignment="1">
      <alignment horizontal="left"/>
    </xf>
    <xf numFmtId="41" fontId="11" fillId="3" borderId="0" xfId="0" applyNumberFormat="1" applyFont="1" applyFill="1"/>
    <xf numFmtId="38" fontId="15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41" fontId="11" fillId="0" borderId="0" xfId="4" applyNumberFormat="1" applyFont="1"/>
    <xf numFmtId="37" fontId="7" fillId="0" borderId="0" xfId="0" applyFont="1" applyAlignment="1">
      <alignment horizontal="right"/>
    </xf>
    <xf numFmtId="9" fontId="7" fillId="0" borderId="0" xfId="0" applyNumberFormat="1" applyFont="1"/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oy.cherry@uhsinc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O716"/>
  <sheetViews>
    <sheetView zoomScaleNormal="100" workbookViewId="0"/>
  </sheetViews>
  <sheetFormatPr defaultColWidth="11.75" defaultRowHeight="14.5" x14ac:dyDescent="0.35"/>
  <cols>
    <col min="1" max="1" width="21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65" customHeight="1" x14ac:dyDescent="0.35">
      <c r="A18" s="18" t="s">
        <v>1354</v>
      </c>
    </row>
    <row r="19" spans="1:10" ht="14.65" customHeight="1" x14ac:dyDescent="0.35">
      <c r="A19" s="18" t="s">
        <v>1355</v>
      </c>
    </row>
    <row r="20" spans="1:10" ht="14.65" customHeight="1" x14ac:dyDescent="0.35">
      <c r="A20" s="16"/>
      <c r="E20" s="72"/>
      <c r="F20" s="72"/>
      <c r="G20" s="72"/>
    </row>
    <row r="21" spans="1:10" ht="14.6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2" t="s">
        <v>1349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1341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1360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1342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1361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2966697.02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1273160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0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0</v>
      </c>
      <c r="Z48" s="32">
        <f t="shared" si="0"/>
        <v>0</v>
      </c>
      <c r="AA48" s="32">
        <f t="shared" si="0"/>
        <v>0</v>
      </c>
      <c r="AB48" s="32">
        <f t="shared" si="0"/>
        <v>75327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0</v>
      </c>
      <c r="AM48" s="32">
        <f t="shared" si="0"/>
        <v>42840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134701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78877</v>
      </c>
      <c r="AZ48" s="32">
        <f t="shared" si="0"/>
        <v>0</v>
      </c>
      <c r="BA48" s="32">
        <f t="shared" si="0"/>
        <v>0</v>
      </c>
      <c r="BB48" s="32">
        <f t="shared" si="0"/>
        <v>180220</v>
      </c>
      <c r="BC48" s="32">
        <f t="shared" si="0"/>
        <v>0</v>
      </c>
      <c r="BD48" s="32">
        <f t="shared" si="0"/>
        <v>9496</v>
      </c>
      <c r="BE48" s="32">
        <f t="shared" si="0"/>
        <v>45005</v>
      </c>
      <c r="BF48" s="32">
        <f t="shared" si="0"/>
        <v>44824</v>
      </c>
      <c r="BG48" s="32">
        <f t="shared" si="0"/>
        <v>21533</v>
      </c>
      <c r="BH48" s="32">
        <f t="shared" si="0"/>
        <v>9496</v>
      </c>
      <c r="BI48" s="32">
        <f t="shared" si="0"/>
        <v>0</v>
      </c>
      <c r="BJ48" s="32">
        <f t="shared" si="0"/>
        <v>65698</v>
      </c>
      <c r="BK48" s="32">
        <f t="shared" si="0"/>
        <v>63497</v>
      </c>
      <c r="BL48" s="32">
        <f t="shared" si="0"/>
        <v>224125</v>
      </c>
      <c r="BM48" s="32">
        <f t="shared" si="0"/>
        <v>0</v>
      </c>
      <c r="BN48" s="32">
        <f t="shared" si="0"/>
        <v>68677</v>
      </c>
      <c r="BO48" s="32">
        <f t="shared" si="0"/>
        <v>3614</v>
      </c>
      <c r="BP48" s="32">
        <f t="shared" ref="BP48:CD48" si="1">IF($B$48,(ROUND((($B$48/$CE$61)*BP61),0)))</f>
        <v>54017</v>
      </c>
      <c r="BQ48" s="32">
        <f t="shared" si="1"/>
        <v>0</v>
      </c>
      <c r="BR48" s="32">
        <f t="shared" si="1"/>
        <v>50773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29455</v>
      </c>
      <c r="BW48" s="32">
        <f t="shared" si="1"/>
        <v>0</v>
      </c>
      <c r="BX48" s="32">
        <f t="shared" si="1"/>
        <v>44609</v>
      </c>
      <c r="BY48" s="32">
        <f t="shared" si="1"/>
        <v>243490</v>
      </c>
      <c r="BZ48" s="32">
        <f t="shared" si="1"/>
        <v>0</v>
      </c>
      <c r="CA48" s="32">
        <f t="shared" si="1"/>
        <v>132651</v>
      </c>
      <c r="CB48" s="32">
        <f t="shared" si="1"/>
        <v>0</v>
      </c>
      <c r="CC48" s="32">
        <f t="shared" si="1"/>
        <v>70612</v>
      </c>
      <c r="CD48" s="32">
        <f t="shared" si="1"/>
        <v>0</v>
      </c>
      <c r="CE48" s="32">
        <f>SUM(C48:CD48)</f>
        <v>2966697</v>
      </c>
    </row>
    <row r="49" spans="1:93" x14ac:dyDescent="0.35">
      <c r="A49" s="20" t="s">
        <v>218</v>
      </c>
      <c r="B49" s="32">
        <f>B47+B48</f>
        <v>2966697.02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9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9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93" x14ac:dyDescent="0.35">
      <c r="A52" s="39" t="s">
        <v>220</v>
      </c>
      <c r="B52" s="312">
        <v>2215726.04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880316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2111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24484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844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86992</v>
      </c>
      <c r="AZ52" s="32">
        <f t="shared" si="2"/>
        <v>62996</v>
      </c>
      <c r="BA52" s="32">
        <f t="shared" si="2"/>
        <v>0</v>
      </c>
      <c r="BB52" s="32">
        <f t="shared" si="2"/>
        <v>42506</v>
      </c>
      <c r="BC52" s="32">
        <f t="shared" si="2"/>
        <v>0</v>
      </c>
      <c r="BD52" s="32">
        <f t="shared" si="2"/>
        <v>9384</v>
      </c>
      <c r="BE52" s="32">
        <f t="shared" si="2"/>
        <v>690095</v>
      </c>
      <c r="BF52" s="32">
        <f t="shared" si="2"/>
        <v>41467</v>
      </c>
      <c r="BG52" s="32">
        <f t="shared" si="2"/>
        <v>7436</v>
      </c>
      <c r="BH52" s="32">
        <f t="shared" si="2"/>
        <v>9319</v>
      </c>
      <c r="BI52" s="32">
        <f t="shared" si="2"/>
        <v>0</v>
      </c>
      <c r="BJ52" s="32">
        <f t="shared" si="2"/>
        <v>7793</v>
      </c>
      <c r="BK52" s="32">
        <f t="shared" si="2"/>
        <v>8086</v>
      </c>
      <c r="BL52" s="32">
        <f t="shared" si="2"/>
        <v>44324</v>
      </c>
      <c r="BM52" s="32">
        <f t="shared" si="2"/>
        <v>0</v>
      </c>
      <c r="BN52" s="32">
        <f t="shared" si="2"/>
        <v>205743</v>
      </c>
      <c r="BO52" s="32">
        <f t="shared" si="2"/>
        <v>0</v>
      </c>
      <c r="BP52" s="32">
        <f t="shared" ref="BP52:CD52" si="3">IF($B$52,ROUND(($B$52/($CE$90+$CF$90)*BP90),0))</f>
        <v>3702</v>
      </c>
      <c r="BQ52" s="32">
        <f t="shared" si="3"/>
        <v>0</v>
      </c>
      <c r="BR52" s="32">
        <f t="shared" si="3"/>
        <v>6300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14028</v>
      </c>
      <c r="BW52" s="32">
        <f t="shared" si="3"/>
        <v>38284</v>
      </c>
      <c r="BX52" s="32">
        <f t="shared" si="3"/>
        <v>10781</v>
      </c>
      <c r="BY52" s="32">
        <f t="shared" si="3"/>
        <v>15554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3182</v>
      </c>
      <c r="CD52" s="32">
        <f t="shared" si="3"/>
        <v>0</v>
      </c>
      <c r="CE52" s="32">
        <f>SUM(C52:CD52)</f>
        <v>2215727</v>
      </c>
    </row>
    <row r="53" spans="1:93" x14ac:dyDescent="0.35">
      <c r="A53" s="20" t="s">
        <v>218</v>
      </c>
      <c r="B53" s="32">
        <f>B51+B52</f>
        <v>2215726.04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9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9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9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9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9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93" x14ac:dyDescent="0.35">
      <c r="A59" s="39" t="s">
        <v>246</v>
      </c>
      <c r="B59" s="32"/>
      <c r="C59" s="24"/>
      <c r="D59" s="24"/>
      <c r="E59" s="24"/>
      <c r="F59" s="24"/>
      <c r="G59" s="24"/>
      <c r="H59" s="24">
        <v>22283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f>H59*3</f>
        <v>66849</v>
      </c>
      <c r="AZ59" s="30"/>
      <c r="BA59" s="313"/>
      <c r="BB59" s="313"/>
      <c r="BC59" s="313"/>
      <c r="BD59" s="313"/>
      <c r="BE59" s="30">
        <v>68235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93" s="349" customFormat="1" x14ac:dyDescent="0.35">
      <c r="A60" s="240" t="s">
        <v>247</v>
      </c>
      <c r="B60" s="357"/>
      <c r="C60" s="343"/>
      <c r="D60" s="343"/>
      <c r="E60" s="343"/>
      <c r="F60" s="343"/>
      <c r="G60" s="343"/>
      <c r="H60" s="343">
        <v>61.09</v>
      </c>
      <c r="I60" s="343"/>
      <c r="J60" s="343"/>
      <c r="K60" s="343"/>
      <c r="L60" s="343"/>
      <c r="M60" s="343"/>
      <c r="N60" s="343"/>
      <c r="O60" s="343"/>
      <c r="P60" s="344"/>
      <c r="Q60" s="344"/>
      <c r="R60" s="344"/>
      <c r="S60" s="345"/>
      <c r="T60" s="345"/>
      <c r="U60" s="346"/>
      <c r="V60" s="344"/>
      <c r="W60" s="344"/>
      <c r="X60" s="344"/>
      <c r="Y60" s="344"/>
      <c r="Z60" s="344"/>
      <c r="AA60" s="344"/>
      <c r="AB60" s="345">
        <v>2.3019230769230767</v>
      </c>
      <c r="AC60" s="344"/>
      <c r="AD60" s="344"/>
      <c r="AE60" s="344"/>
      <c r="AF60" s="344"/>
      <c r="AG60" s="344"/>
      <c r="AH60" s="344"/>
      <c r="AI60" s="344"/>
      <c r="AJ60" s="344"/>
      <c r="AK60" s="344"/>
      <c r="AL60" s="344"/>
      <c r="AM60" s="344">
        <v>3.0105769230769233</v>
      </c>
      <c r="AN60" s="344"/>
      <c r="AO60" s="344"/>
      <c r="AP60" s="344"/>
      <c r="AQ60" s="344"/>
      <c r="AR60" s="344"/>
      <c r="AS60" s="344"/>
      <c r="AT60" s="344"/>
      <c r="AU60" s="344">
        <v>7.508173076923077</v>
      </c>
      <c r="AV60" s="345"/>
      <c r="AW60" s="345"/>
      <c r="AX60" s="345"/>
      <c r="AY60" s="344">
        <v>6.3855769230769228</v>
      </c>
      <c r="AZ60" s="344"/>
      <c r="BA60" s="345"/>
      <c r="BB60" s="345">
        <v>9.1653846153846157</v>
      </c>
      <c r="BC60" s="345"/>
      <c r="BD60" s="345">
        <f>1.00288461538462/2</f>
        <v>0.50144230769231002</v>
      </c>
      <c r="BE60" s="344">
        <v>1.9245192307692307</v>
      </c>
      <c r="BF60" s="345">
        <v>4.4259615384615385</v>
      </c>
      <c r="BG60" s="345">
        <v>2.3413461538461537</v>
      </c>
      <c r="BH60" s="345">
        <f>1.00288461538462/2</f>
        <v>0.50144230769231002</v>
      </c>
      <c r="BI60" s="345"/>
      <c r="BJ60" s="345">
        <v>2.9562499999999998</v>
      </c>
      <c r="BK60" s="345">
        <v>4.4274038461538465</v>
      </c>
      <c r="BL60" s="345">
        <v>11.504807692307692</v>
      </c>
      <c r="BM60" s="345"/>
      <c r="BN60" s="345">
        <v>2.0677884615384619</v>
      </c>
      <c r="BO60" s="345">
        <v>0.20913461538461539</v>
      </c>
      <c r="BP60" s="345">
        <v>2.960576923076923</v>
      </c>
      <c r="BQ60" s="345"/>
      <c r="BR60" s="345">
        <v>3.1312500000000001</v>
      </c>
      <c r="BS60" s="345"/>
      <c r="BT60" s="345"/>
      <c r="BU60" s="345"/>
      <c r="BV60" s="345">
        <v>2.1538461538461537</v>
      </c>
      <c r="BW60" s="345">
        <v>10.419466346153847</v>
      </c>
      <c r="BX60" s="345">
        <v>2.991826923076923</v>
      </c>
      <c r="BY60" s="345">
        <v>10.761538461538462</v>
      </c>
      <c r="BZ60" s="345"/>
      <c r="CA60" s="345">
        <v>6.069230769230769</v>
      </c>
      <c r="CB60" s="345"/>
      <c r="CC60" s="345">
        <v>3.9125000000000001</v>
      </c>
      <c r="CD60" s="347" t="s">
        <v>233</v>
      </c>
      <c r="CE60" s="348">
        <f t="shared" ref="CE60:CE68" si="4">SUM(C60:CD60)</f>
        <v>162.72196634615386</v>
      </c>
    </row>
    <row r="61" spans="1:93" x14ac:dyDescent="0.35">
      <c r="A61" s="39" t="s">
        <v>248</v>
      </c>
      <c r="B61" s="20"/>
      <c r="C61" s="350"/>
      <c r="D61" s="350"/>
      <c r="E61" s="350"/>
      <c r="F61" s="350"/>
      <c r="G61" s="350"/>
      <c r="H61" s="350">
        <v>5696055.0999999996</v>
      </c>
      <c r="I61" s="350"/>
      <c r="J61" s="350"/>
      <c r="K61" s="350"/>
      <c r="L61" s="350"/>
      <c r="M61" s="350"/>
      <c r="N61" s="350"/>
      <c r="O61" s="350"/>
      <c r="P61" s="351"/>
      <c r="Q61" s="351"/>
      <c r="R61" s="351"/>
      <c r="S61" s="352"/>
      <c r="T61" s="352"/>
      <c r="U61" s="353"/>
      <c r="V61" s="351"/>
      <c r="W61" s="351"/>
      <c r="X61" s="351"/>
      <c r="Y61" s="351"/>
      <c r="Z61" s="351"/>
      <c r="AA61" s="351"/>
      <c r="AB61" s="350">
        <v>337010.05</v>
      </c>
      <c r="AC61" s="351"/>
      <c r="AD61" s="351"/>
      <c r="AE61" s="351"/>
      <c r="AF61" s="351"/>
      <c r="AG61" s="351"/>
      <c r="AH61" s="351"/>
      <c r="AI61" s="351"/>
      <c r="AJ61" s="351"/>
      <c r="AK61" s="351"/>
      <c r="AL61" s="351"/>
      <c r="AM61" s="351">
        <v>191663.26</v>
      </c>
      <c r="AN61" s="351"/>
      <c r="AO61" s="351"/>
      <c r="AP61" s="351"/>
      <c r="AQ61" s="351"/>
      <c r="AR61" s="351"/>
      <c r="AS61" s="351"/>
      <c r="AT61" s="351"/>
      <c r="AU61" s="351">
        <v>602647.51</v>
      </c>
      <c r="AV61" s="352"/>
      <c r="AW61" s="352"/>
      <c r="AX61" s="352"/>
      <c r="AY61" s="351">
        <v>352892.02</v>
      </c>
      <c r="AZ61" s="351"/>
      <c r="BA61" s="352"/>
      <c r="BB61" s="352">
        <v>806294.20000000007</v>
      </c>
      <c r="BC61" s="352"/>
      <c r="BD61" s="352">
        <v>42483.05</v>
      </c>
      <c r="BE61" s="351">
        <v>201349.83</v>
      </c>
      <c r="BF61" s="352">
        <v>200542.03</v>
      </c>
      <c r="BG61" s="352">
        <v>96337.04</v>
      </c>
      <c r="BH61" s="352">
        <v>42483.05</v>
      </c>
      <c r="BI61" s="352"/>
      <c r="BJ61" s="352">
        <v>293928.05</v>
      </c>
      <c r="BK61" s="352">
        <v>284084</v>
      </c>
      <c r="BL61" s="352">
        <v>1002723.29</v>
      </c>
      <c r="BM61" s="352"/>
      <c r="BN61" s="352">
        <v>307258.51</v>
      </c>
      <c r="BO61" s="352">
        <v>16170.81</v>
      </c>
      <c r="BP61" s="352">
        <v>241670.26</v>
      </c>
      <c r="BQ61" s="352"/>
      <c r="BR61" s="352">
        <v>227156.78</v>
      </c>
      <c r="BS61" s="352"/>
      <c r="BT61" s="352"/>
      <c r="BU61" s="352"/>
      <c r="BV61" s="352">
        <v>131778.37</v>
      </c>
      <c r="BW61" s="352"/>
      <c r="BX61" s="352">
        <v>199578.63999999998</v>
      </c>
      <c r="BY61" s="352">
        <v>1089364.02</v>
      </c>
      <c r="BZ61" s="352"/>
      <c r="CA61" s="352">
        <v>593472.89</v>
      </c>
      <c r="CB61" s="352"/>
      <c r="CC61" s="352">
        <v>315913.48</v>
      </c>
      <c r="CD61" s="354" t="s">
        <v>233</v>
      </c>
      <c r="CE61" s="355">
        <f t="shared" si="4"/>
        <v>13272856.24</v>
      </c>
      <c r="CF61" s="356"/>
      <c r="CG61" s="356"/>
      <c r="CH61" s="356"/>
      <c r="CI61" s="356"/>
      <c r="CJ61" s="356"/>
      <c r="CK61" s="356"/>
      <c r="CL61" s="356"/>
      <c r="CM61" s="356"/>
      <c r="CN61" s="356"/>
      <c r="CO61" s="356"/>
    </row>
    <row r="62" spans="1:9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1273160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75327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42840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134701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78877</v>
      </c>
      <c r="AZ62" s="32">
        <f t="shared" si="5"/>
        <v>0</v>
      </c>
      <c r="BA62" s="32">
        <f t="shared" si="5"/>
        <v>0</v>
      </c>
      <c r="BB62" s="32">
        <f t="shared" si="5"/>
        <v>180220</v>
      </c>
      <c r="BC62" s="32">
        <f t="shared" si="5"/>
        <v>0</v>
      </c>
      <c r="BD62" s="32">
        <f t="shared" si="5"/>
        <v>9496</v>
      </c>
      <c r="BE62" s="32">
        <f t="shared" si="5"/>
        <v>45005</v>
      </c>
      <c r="BF62" s="32">
        <f t="shared" si="5"/>
        <v>44824</v>
      </c>
      <c r="BG62" s="32">
        <f t="shared" si="5"/>
        <v>21533</v>
      </c>
      <c r="BH62" s="32">
        <f t="shared" si="5"/>
        <v>9496</v>
      </c>
      <c r="BI62" s="32">
        <f t="shared" si="5"/>
        <v>0</v>
      </c>
      <c r="BJ62" s="32">
        <f t="shared" si="5"/>
        <v>65698</v>
      </c>
      <c r="BK62" s="32">
        <f t="shared" si="5"/>
        <v>63497</v>
      </c>
      <c r="BL62" s="32">
        <f t="shared" si="5"/>
        <v>224125</v>
      </c>
      <c r="BM62" s="32">
        <f t="shared" si="5"/>
        <v>0</v>
      </c>
      <c r="BN62" s="32">
        <f t="shared" si="5"/>
        <v>68677</v>
      </c>
      <c r="BO62" s="32">
        <f t="shared" si="5"/>
        <v>3614</v>
      </c>
      <c r="BP62" s="32">
        <f t="shared" ref="BP62:CC62" si="6">ROUND(BP47+BP48,0)</f>
        <v>54017</v>
      </c>
      <c r="BQ62" s="32">
        <f t="shared" si="6"/>
        <v>0</v>
      </c>
      <c r="BR62" s="32">
        <f t="shared" si="6"/>
        <v>50773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29455</v>
      </c>
      <c r="BW62" s="32">
        <f t="shared" si="6"/>
        <v>0</v>
      </c>
      <c r="BX62" s="32">
        <f t="shared" si="6"/>
        <v>44609</v>
      </c>
      <c r="BY62" s="32">
        <f t="shared" si="6"/>
        <v>243490</v>
      </c>
      <c r="BZ62" s="32">
        <f t="shared" si="6"/>
        <v>0</v>
      </c>
      <c r="CA62" s="32">
        <f t="shared" si="6"/>
        <v>132651</v>
      </c>
      <c r="CB62" s="32">
        <f t="shared" si="6"/>
        <v>0</v>
      </c>
      <c r="CC62" s="32">
        <f t="shared" si="6"/>
        <v>70612</v>
      </c>
      <c r="CD62" s="29" t="s">
        <v>233</v>
      </c>
      <c r="CE62" s="32">
        <f t="shared" si="4"/>
        <v>2966697</v>
      </c>
      <c r="CG62" s="356"/>
    </row>
    <row r="63" spans="1:9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8"/>
      <c r="T63" s="318"/>
      <c r="U63" s="31"/>
      <c r="V63" s="30"/>
      <c r="W63" s="30"/>
      <c r="X63" s="30"/>
      <c r="Y63" s="30"/>
      <c r="Z63" s="30"/>
      <c r="AA63" s="30"/>
      <c r="AB63" s="319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>
        <v>3036569.44</v>
      </c>
      <c r="BX63" s="318"/>
      <c r="BY63" s="318"/>
      <c r="BZ63" s="318"/>
      <c r="CA63" s="318"/>
      <c r="CB63" s="318"/>
      <c r="CC63" s="318"/>
      <c r="CD63" s="29" t="s">
        <v>233</v>
      </c>
      <c r="CE63" s="32">
        <f t="shared" si="4"/>
        <v>3036569.44</v>
      </c>
      <c r="CG63" s="356"/>
    </row>
    <row r="64" spans="1:93" x14ac:dyDescent="0.35">
      <c r="A64" s="39" t="s">
        <v>250</v>
      </c>
      <c r="B64" s="20"/>
      <c r="C64" s="24"/>
      <c r="D64" s="24"/>
      <c r="E64" s="24"/>
      <c r="F64" s="24"/>
      <c r="G64" s="24"/>
      <c r="H64" s="24">
        <v>91340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8"/>
      <c r="T64" s="318"/>
      <c r="U64" s="31"/>
      <c r="V64" s="30"/>
      <c r="W64" s="30"/>
      <c r="X64" s="30"/>
      <c r="Y64" s="30"/>
      <c r="Z64" s="30"/>
      <c r="AA64" s="30"/>
      <c r="AB64" s="350">
        <v>269975</v>
      </c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>
        <v>7290</v>
      </c>
      <c r="AN64" s="30"/>
      <c r="AO64" s="30"/>
      <c r="AP64" s="30"/>
      <c r="AQ64" s="30"/>
      <c r="AR64" s="30"/>
      <c r="AS64" s="30"/>
      <c r="AT64" s="30"/>
      <c r="AU64" s="30">
        <v>5684</v>
      </c>
      <c r="AV64" s="318"/>
      <c r="AW64" s="318"/>
      <c r="AX64" s="318"/>
      <c r="AY64" s="30">
        <v>377088</v>
      </c>
      <c r="AZ64" s="30"/>
      <c r="BA64" s="318"/>
      <c r="BB64" s="318">
        <v>4560</v>
      </c>
      <c r="BC64" s="318"/>
      <c r="BD64" s="318">
        <v>16717</v>
      </c>
      <c r="BE64" s="30">
        <v>7893</v>
      </c>
      <c r="BF64" s="318">
        <v>42388</v>
      </c>
      <c r="BG64" s="318"/>
      <c r="BH64" s="318">
        <v>16525</v>
      </c>
      <c r="BI64" s="318"/>
      <c r="BJ64" s="318"/>
      <c r="BK64" s="318"/>
      <c r="BL64" s="318"/>
      <c r="BM64" s="318"/>
      <c r="BN64" s="318">
        <v>598</v>
      </c>
      <c r="BO64" s="318">
        <v>28484</v>
      </c>
      <c r="BP64" s="318">
        <v>124</v>
      </c>
      <c r="BQ64" s="318"/>
      <c r="BR64" s="318">
        <v>289</v>
      </c>
      <c r="BS64" s="318"/>
      <c r="BT64" s="318"/>
      <c r="BU64" s="318"/>
      <c r="BV64" s="318">
        <v>18700</v>
      </c>
      <c r="BW64" s="318"/>
      <c r="BX64" s="318"/>
      <c r="BY64" s="318"/>
      <c r="BZ64" s="318"/>
      <c r="CA64" s="318"/>
      <c r="CB64" s="318"/>
      <c r="CC64" s="318"/>
      <c r="CD64" s="29" t="s">
        <v>233</v>
      </c>
      <c r="CE64" s="32">
        <f t="shared" si="4"/>
        <v>887655</v>
      </c>
      <c r="CG64" s="356"/>
    </row>
    <row r="65" spans="1:85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/>
      <c r="BE65" s="30">
        <v>10572</v>
      </c>
      <c r="BF65" s="318"/>
      <c r="BG65" s="318"/>
      <c r="BH65" s="318">
        <v>85493</v>
      </c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9" t="s">
        <v>233</v>
      </c>
      <c r="CE65" s="32">
        <f t="shared" si="4"/>
        <v>96065</v>
      </c>
      <c r="CG65" s="356"/>
    </row>
    <row r="66" spans="1:85" s="356" customFormat="1" x14ac:dyDescent="0.35">
      <c r="A66" s="358" t="s">
        <v>252</v>
      </c>
      <c r="B66" s="359"/>
      <c r="C66" s="350"/>
      <c r="D66" s="350"/>
      <c r="E66" s="350"/>
      <c r="F66" s="350"/>
      <c r="G66" s="350"/>
      <c r="H66" s="350">
        <f>13540.41-1</f>
        <v>13539.41</v>
      </c>
      <c r="I66" s="350"/>
      <c r="J66" s="350"/>
      <c r="K66" s="350"/>
      <c r="L66" s="350"/>
      <c r="M66" s="350"/>
      <c r="N66" s="350"/>
      <c r="O66" s="350"/>
      <c r="P66" s="351"/>
      <c r="Q66" s="351"/>
      <c r="R66" s="351"/>
      <c r="S66" s="352"/>
      <c r="T66" s="352"/>
      <c r="U66" s="353"/>
      <c r="V66" s="351"/>
      <c r="W66" s="351"/>
      <c r="X66" s="351"/>
      <c r="Y66" s="351"/>
      <c r="Z66" s="351"/>
      <c r="AA66" s="351"/>
      <c r="AB66" s="350">
        <v>113441.18</v>
      </c>
      <c r="AC66" s="351"/>
      <c r="AD66" s="351"/>
      <c r="AE66" s="351"/>
      <c r="AF66" s="351"/>
      <c r="AG66" s="351"/>
      <c r="AH66" s="351"/>
      <c r="AI66" s="351"/>
      <c r="AJ66" s="351"/>
      <c r="AK66" s="351"/>
      <c r="AL66" s="351"/>
      <c r="AM66" s="351">
        <v>4560</v>
      </c>
      <c r="AN66" s="351"/>
      <c r="AO66" s="351"/>
      <c r="AP66" s="351"/>
      <c r="AQ66" s="351"/>
      <c r="AR66" s="351"/>
      <c r="AS66" s="351"/>
      <c r="AT66" s="351"/>
      <c r="AU66" s="351"/>
      <c r="AV66" s="352"/>
      <c r="AW66" s="352"/>
      <c r="AX66" s="352"/>
      <c r="AY66" s="351">
        <v>1619.15</v>
      </c>
      <c r="AZ66" s="351"/>
      <c r="BA66" s="352"/>
      <c r="BB66" s="352"/>
      <c r="BC66" s="352">
        <v>53553.99</v>
      </c>
      <c r="BD66" s="352">
        <v>-246.24</v>
      </c>
      <c r="BE66" s="351">
        <v>40071.480000000003</v>
      </c>
      <c r="BF66" s="352">
        <v>14949</v>
      </c>
      <c r="BG66" s="352"/>
      <c r="BH66" s="352">
        <v>76388.489999999991</v>
      </c>
      <c r="BI66" s="352">
        <v>183534.39</v>
      </c>
      <c r="BJ66" s="352"/>
      <c r="BK66" s="352">
        <v>32542.81</v>
      </c>
      <c r="BL66" s="352"/>
      <c r="BM66" s="352"/>
      <c r="BN66" s="352">
        <v>12744.47</v>
      </c>
      <c r="BO66" s="352">
        <v>974.89</v>
      </c>
      <c r="BP66" s="352">
        <v>2299.9</v>
      </c>
      <c r="BQ66" s="352"/>
      <c r="BR66" s="352">
        <v>4125.25</v>
      </c>
      <c r="BS66" s="352"/>
      <c r="BT66" s="352"/>
      <c r="BU66" s="352"/>
      <c r="BV66" s="352">
        <v>1527.95</v>
      </c>
      <c r="BW66" s="352">
        <v>15344.45</v>
      </c>
      <c r="BX66" s="352"/>
      <c r="BY66" s="352"/>
      <c r="BZ66" s="352"/>
      <c r="CA66" s="352"/>
      <c r="CB66" s="352"/>
      <c r="CC66" s="352">
        <v>18187.29</v>
      </c>
      <c r="CD66" s="354" t="s">
        <v>233</v>
      </c>
      <c r="CE66" s="355">
        <f t="shared" si="4"/>
        <v>589157.86</v>
      </c>
    </row>
    <row r="67" spans="1:85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880316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2111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24484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844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86992</v>
      </c>
      <c r="AZ67" s="32">
        <f t="shared" si="7"/>
        <v>62996</v>
      </c>
      <c r="BA67" s="32">
        <f t="shared" si="7"/>
        <v>0</v>
      </c>
      <c r="BB67" s="32">
        <f t="shared" si="7"/>
        <v>42506</v>
      </c>
      <c r="BC67" s="32">
        <f t="shared" si="7"/>
        <v>0</v>
      </c>
      <c r="BD67" s="32">
        <f t="shared" si="7"/>
        <v>9384</v>
      </c>
      <c r="BE67" s="32">
        <f t="shared" si="7"/>
        <v>690095</v>
      </c>
      <c r="BF67" s="32">
        <f t="shared" si="7"/>
        <v>41467</v>
      </c>
      <c r="BG67" s="32">
        <f t="shared" si="7"/>
        <v>7436</v>
      </c>
      <c r="BH67" s="32">
        <f t="shared" si="7"/>
        <v>9319</v>
      </c>
      <c r="BI67" s="32">
        <f t="shared" si="7"/>
        <v>0</v>
      </c>
      <c r="BJ67" s="32">
        <f t="shared" si="7"/>
        <v>7793</v>
      </c>
      <c r="BK67" s="32">
        <f t="shared" si="7"/>
        <v>8086</v>
      </c>
      <c r="BL67" s="32">
        <f t="shared" si="7"/>
        <v>44324</v>
      </c>
      <c r="BM67" s="32">
        <f t="shared" si="7"/>
        <v>0</v>
      </c>
      <c r="BN67" s="32">
        <f t="shared" si="7"/>
        <v>205743</v>
      </c>
      <c r="BO67" s="32">
        <f t="shared" ref="BO67:CC67" si="8">ROUND(BO51+BO52,0)</f>
        <v>0</v>
      </c>
      <c r="BP67" s="32">
        <f t="shared" si="8"/>
        <v>3702</v>
      </c>
      <c r="BQ67" s="32">
        <f t="shared" si="8"/>
        <v>0</v>
      </c>
      <c r="BR67" s="32">
        <f t="shared" si="8"/>
        <v>6300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14028</v>
      </c>
      <c r="BW67" s="32">
        <f t="shared" si="8"/>
        <v>38284</v>
      </c>
      <c r="BX67" s="32">
        <f t="shared" si="8"/>
        <v>10781</v>
      </c>
      <c r="BY67" s="32">
        <f t="shared" si="8"/>
        <v>15554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3182</v>
      </c>
      <c r="CD67" s="29" t="s">
        <v>233</v>
      </c>
      <c r="CE67" s="32">
        <f t="shared" si="4"/>
        <v>2215727</v>
      </c>
      <c r="CG67" s="356"/>
    </row>
    <row r="68" spans="1:85" x14ac:dyDescent="0.35">
      <c r="A68" s="39" t="s">
        <v>253</v>
      </c>
      <c r="B68" s="32"/>
      <c r="C68" s="24"/>
      <c r="D68" s="24"/>
      <c r="E68" s="24"/>
      <c r="F68" s="24"/>
      <c r="G68" s="24"/>
      <c r="H68" s="24">
        <v>2157.9699999999998</v>
      </c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8"/>
      <c r="T68" s="318"/>
      <c r="U68" s="31"/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>
        <v>12000</v>
      </c>
      <c r="BF68" s="318"/>
      <c r="BG68" s="318"/>
      <c r="BH68" s="318"/>
      <c r="BI68" s="318"/>
      <c r="BJ68" s="318"/>
      <c r="BK68" s="318"/>
      <c r="BL68" s="318"/>
      <c r="BM68" s="318"/>
      <c r="BN68" s="318">
        <v>1403</v>
      </c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15560.97</v>
      </c>
      <c r="CG68" s="356"/>
    </row>
    <row r="69" spans="1:85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382019.24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57172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143619.35999999999</v>
      </c>
      <c r="BB69" s="32">
        <f t="shared" si="9"/>
        <v>720</v>
      </c>
      <c r="BC69" s="32">
        <f t="shared" si="9"/>
        <v>0</v>
      </c>
      <c r="BD69" s="32">
        <f t="shared" si="9"/>
        <v>0</v>
      </c>
      <c r="BE69" s="32">
        <f t="shared" si="9"/>
        <v>169824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168699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1993914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2915967.6</v>
      </c>
      <c r="CG69" s="356"/>
    </row>
    <row r="70" spans="1:85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  <c r="CG70" s="356"/>
    </row>
    <row r="71" spans="1:85" x14ac:dyDescent="0.35">
      <c r="A71" s="33" t="s">
        <v>256</v>
      </c>
      <c r="B71" s="34"/>
      <c r="C71" s="273"/>
      <c r="D71" s="273"/>
      <c r="E71" s="273"/>
      <c r="F71" s="273"/>
      <c r="G71" s="273"/>
      <c r="H71" s="273">
        <f>379621.24</f>
        <v>379621.24</v>
      </c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379621.24</v>
      </c>
      <c r="CG71" s="356"/>
    </row>
    <row r="72" spans="1:85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  <c r="CG72" s="356"/>
    </row>
    <row r="73" spans="1:85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>
        <v>264178</v>
      </c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264178</v>
      </c>
      <c r="CG73" s="356"/>
    </row>
    <row r="74" spans="1:85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>
        <v>143619.35999999999</v>
      </c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143619.35999999999</v>
      </c>
      <c r="CG74" s="356"/>
    </row>
    <row r="75" spans="1:85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>
        <v>2244</v>
      </c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2244</v>
      </c>
      <c r="CG75" s="356"/>
    </row>
    <row r="76" spans="1:85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>
        <v>57172</v>
      </c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57172</v>
      </c>
      <c r="CG76" s="356"/>
    </row>
    <row r="77" spans="1:85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>
        <v>168699</v>
      </c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168699</v>
      </c>
      <c r="CG77" s="356"/>
    </row>
    <row r="78" spans="1:85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>
        <v>748348</v>
      </c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748348</v>
      </c>
      <c r="CG78" s="356"/>
    </row>
    <row r="79" spans="1:85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>
        <v>211307</v>
      </c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211307</v>
      </c>
      <c r="CG79" s="356"/>
    </row>
    <row r="80" spans="1:85" x14ac:dyDescent="0.35">
      <c r="A80" s="33" t="s">
        <v>265</v>
      </c>
      <c r="B80" s="20"/>
      <c r="C80" s="273"/>
      <c r="D80" s="273"/>
      <c r="E80" s="273"/>
      <c r="F80" s="273"/>
      <c r="G80" s="273"/>
      <c r="H80" s="273">
        <v>2398</v>
      </c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>
        <v>720</v>
      </c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>
        <v>1790</v>
      </c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4908</v>
      </c>
      <c r="CG80" s="356"/>
    </row>
    <row r="81" spans="1:85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>
        <v>670305</v>
      </c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670305</v>
      </c>
      <c r="CG81" s="356"/>
    </row>
    <row r="82" spans="1:85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>
        <v>169824</v>
      </c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169824</v>
      </c>
      <c r="CG82" s="356"/>
    </row>
    <row r="83" spans="1:85" x14ac:dyDescent="0.35">
      <c r="A83" s="33" t="s">
        <v>268</v>
      </c>
      <c r="B83" s="20"/>
      <c r="C83" s="24"/>
      <c r="D83" s="24"/>
      <c r="E83" s="30"/>
      <c r="F83" s="30"/>
      <c r="G83" s="24"/>
      <c r="H83" s="24"/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0"/>
      <c r="BJ83" s="30"/>
      <c r="BK83" s="30"/>
      <c r="BL83" s="30"/>
      <c r="BM83" s="30"/>
      <c r="BN83" s="30">
        <v>95742</v>
      </c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95742</v>
      </c>
      <c r="CG83" s="356"/>
    </row>
    <row r="84" spans="1:85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  <c r="CG84" s="356"/>
    </row>
    <row r="85" spans="1:85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8338587.7199999997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59283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0</v>
      </c>
      <c r="Z85" s="32">
        <f t="shared" si="12"/>
        <v>0</v>
      </c>
      <c r="AA85" s="32">
        <f t="shared" si="12"/>
        <v>0</v>
      </c>
      <c r="AB85" s="32">
        <f t="shared" si="12"/>
        <v>820237.23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0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247197.26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743032.51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897468.17</v>
      </c>
      <c r="AZ85" s="32">
        <f t="shared" si="12"/>
        <v>62996</v>
      </c>
      <c r="BA85" s="32">
        <f t="shared" si="12"/>
        <v>143619.35999999999</v>
      </c>
      <c r="BB85" s="32">
        <f t="shared" si="12"/>
        <v>1034300.2000000001</v>
      </c>
      <c r="BC85" s="32">
        <f t="shared" si="12"/>
        <v>53553.99</v>
      </c>
      <c r="BD85" s="32">
        <f t="shared" si="12"/>
        <v>77833.81</v>
      </c>
      <c r="BE85" s="32">
        <f t="shared" si="12"/>
        <v>1176810.31</v>
      </c>
      <c r="BF85" s="32">
        <f t="shared" si="12"/>
        <v>344170.03</v>
      </c>
      <c r="BG85" s="32">
        <f t="shared" si="12"/>
        <v>125306.04</v>
      </c>
      <c r="BH85" s="32">
        <f t="shared" si="12"/>
        <v>239704.53999999998</v>
      </c>
      <c r="BI85" s="32">
        <f t="shared" si="12"/>
        <v>352233.39</v>
      </c>
      <c r="BJ85" s="32">
        <f t="shared" si="12"/>
        <v>367419.05</v>
      </c>
      <c r="BK85" s="32">
        <f t="shared" si="12"/>
        <v>388209.81</v>
      </c>
      <c r="BL85" s="32">
        <f t="shared" si="12"/>
        <v>1271172.29</v>
      </c>
      <c r="BM85" s="32">
        <f t="shared" si="12"/>
        <v>0</v>
      </c>
      <c r="BN85" s="32">
        <f t="shared" si="12"/>
        <v>2590337.98</v>
      </c>
      <c r="BO85" s="32">
        <f t="shared" si="12"/>
        <v>49243.7</v>
      </c>
      <c r="BP85" s="32">
        <f t="shared" ref="BP85:CD85" si="13">SUM(BP61:BP69)-BP84</f>
        <v>301813.16000000003</v>
      </c>
      <c r="BQ85" s="32">
        <f t="shared" si="13"/>
        <v>0</v>
      </c>
      <c r="BR85" s="32">
        <f t="shared" si="13"/>
        <v>288644.03000000003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195489.32</v>
      </c>
      <c r="BW85" s="32">
        <f t="shared" si="13"/>
        <v>3090197.89</v>
      </c>
      <c r="BX85" s="32">
        <f t="shared" si="13"/>
        <v>254968.63999999998</v>
      </c>
      <c r="BY85" s="32">
        <f t="shared" si="13"/>
        <v>1348408.02</v>
      </c>
      <c r="BZ85" s="32">
        <f t="shared" si="13"/>
        <v>0</v>
      </c>
      <c r="CA85" s="32">
        <f t="shared" si="13"/>
        <v>726123.89</v>
      </c>
      <c r="CB85" s="32">
        <f t="shared" si="13"/>
        <v>0</v>
      </c>
      <c r="CC85" s="32">
        <f t="shared" si="13"/>
        <v>407894.76999999996</v>
      </c>
      <c r="CD85" s="32">
        <f t="shared" si="13"/>
        <v>0</v>
      </c>
      <c r="CE85" s="32">
        <f t="shared" si="11"/>
        <v>25996256.109999999</v>
      </c>
      <c r="CG85" s="356"/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  <c r="CG86" s="356"/>
    </row>
    <row r="87" spans="1:85" x14ac:dyDescent="0.35">
      <c r="A87" s="26" t="s">
        <v>272</v>
      </c>
      <c r="B87" s="20"/>
      <c r="C87" s="24"/>
      <c r="D87" s="24"/>
      <c r="E87" s="24"/>
      <c r="F87" s="24"/>
      <c r="G87" s="24"/>
      <c r="H87" s="24">
        <v>23416491.149999999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23416491.149999999</v>
      </c>
      <c r="CG87" s="356"/>
    </row>
    <row r="88" spans="1:85" x14ac:dyDescent="0.35">
      <c r="A88" s="26" t="s">
        <v>273</v>
      </c>
      <c r="B88" s="20"/>
      <c r="C88" s="24"/>
      <c r="D88" s="24"/>
      <c r="E88" s="24"/>
      <c r="F88" s="24"/>
      <c r="G88" s="24"/>
      <c r="H88" s="24">
        <v>1626721.75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1626721.75</v>
      </c>
      <c r="CG88" s="356"/>
    </row>
    <row r="89" spans="1:85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25043212.899999999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25043212.899999999</v>
      </c>
      <c r="CG89" s="356"/>
    </row>
    <row r="90" spans="1:85" hidden="1" x14ac:dyDescent="0.35">
      <c r="A90" s="39" t="s">
        <v>275</v>
      </c>
      <c r="B90" s="32"/>
      <c r="C90" s="24"/>
      <c r="D90" s="24"/>
      <c r="E90" s="24"/>
      <c r="F90" s="24"/>
      <c r="G90" s="24"/>
      <c r="H90" s="24">
        <v>27110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>
        <v>65</v>
      </c>
      <c r="V90" s="24"/>
      <c r="W90" s="24"/>
      <c r="X90" s="24"/>
      <c r="Y90" s="24"/>
      <c r="Z90" s="24"/>
      <c r="AA90" s="24"/>
      <c r="AB90" s="24">
        <v>754</v>
      </c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>
        <v>26</v>
      </c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2679</v>
      </c>
      <c r="AZ90" s="24">
        <v>1940</v>
      </c>
      <c r="BA90" s="24"/>
      <c r="BB90" s="24">
        <v>1309</v>
      </c>
      <c r="BC90" s="24"/>
      <c r="BD90" s="24">
        <v>289</v>
      </c>
      <c r="BE90" s="24">
        <v>21252</v>
      </c>
      <c r="BF90" s="24">
        <v>1277</v>
      </c>
      <c r="BG90" s="24">
        <v>229</v>
      </c>
      <c r="BH90" s="24">
        <v>287</v>
      </c>
      <c r="BI90" s="24"/>
      <c r="BJ90" s="24">
        <v>240</v>
      </c>
      <c r="BK90" s="24">
        <v>249</v>
      </c>
      <c r="BL90" s="24">
        <v>1365</v>
      </c>
      <c r="BM90" s="24"/>
      <c r="BN90" s="24">
        <v>6336</v>
      </c>
      <c r="BO90" s="24"/>
      <c r="BP90" s="24">
        <v>114</v>
      </c>
      <c r="BQ90" s="24"/>
      <c r="BR90" s="24">
        <v>194</v>
      </c>
      <c r="BS90" s="24"/>
      <c r="BT90" s="24"/>
      <c r="BU90" s="24"/>
      <c r="BV90" s="24">
        <v>432</v>
      </c>
      <c r="BW90" s="24">
        <v>1179</v>
      </c>
      <c r="BX90" s="24">
        <v>332</v>
      </c>
      <c r="BY90" s="24">
        <v>479</v>
      </c>
      <c r="BZ90" s="24"/>
      <c r="CA90" s="24"/>
      <c r="CB90" s="24"/>
      <c r="CC90" s="24">
        <v>98</v>
      </c>
      <c r="CD90" s="263" t="s">
        <v>233</v>
      </c>
      <c r="CE90" s="32">
        <f t="shared" si="14"/>
        <v>68235</v>
      </c>
      <c r="CF90" s="32">
        <f>BE59-CE90</f>
        <v>0</v>
      </c>
    </row>
    <row r="91" spans="1:85" hidden="1" x14ac:dyDescent="0.35">
      <c r="A91" s="26" t="s">
        <v>276</v>
      </c>
      <c r="B91" s="20"/>
      <c r="C91" s="24"/>
      <c r="D91" s="24"/>
      <c r="E91" s="24"/>
      <c r="F91" s="24"/>
      <c r="G91" s="24"/>
      <c r="H91" s="24">
        <f>AY59</f>
        <v>66849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66849</v>
      </c>
      <c r="CF91" s="32">
        <f>AY59-CE91</f>
        <v>0</v>
      </c>
    </row>
    <row r="92" spans="1:85" hidden="1" x14ac:dyDescent="0.35">
      <c r="A92" s="26" t="s">
        <v>277</v>
      </c>
      <c r="B92" s="20"/>
      <c r="C92" s="24"/>
      <c r="D92" s="24"/>
      <c r="E92" s="24"/>
      <c r="F92" s="24"/>
      <c r="G92" s="24"/>
      <c r="H92" s="24">
        <f>BF60/1.1*2080</f>
        <v>8369.0909090909081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8369.0909090909081</v>
      </c>
      <c r="CF92" s="20"/>
    </row>
    <row r="93" spans="1:85" hidden="1" x14ac:dyDescent="0.35">
      <c r="A93" s="26" t="s">
        <v>278</v>
      </c>
      <c r="B93" s="20"/>
      <c r="C93" s="24"/>
      <c r="D93" s="24"/>
      <c r="E93" s="24"/>
      <c r="F93" s="24"/>
      <c r="G93" s="24"/>
      <c r="H93" s="24">
        <f>3.34*H59</f>
        <v>74425.22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74425.22</v>
      </c>
      <c r="CF93" s="32">
        <f>BA59</f>
        <v>0</v>
      </c>
    </row>
    <row r="94" spans="1:85" hidden="1" x14ac:dyDescent="0.35">
      <c r="A94" s="26" t="s">
        <v>279</v>
      </c>
      <c r="B94" s="20"/>
      <c r="C94" s="314"/>
      <c r="D94" s="314"/>
      <c r="E94" s="314"/>
      <c r="F94" s="314"/>
      <c r="G94" s="314"/>
      <c r="H94" s="343">
        <f>H60</f>
        <v>61.09</v>
      </c>
      <c r="I94" s="314"/>
      <c r="J94" s="314"/>
      <c r="K94" s="314"/>
      <c r="L94" s="314"/>
      <c r="M94" s="314"/>
      <c r="N94" s="314"/>
      <c r="O94" s="314"/>
      <c r="P94" s="315"/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61.09</v>
      </c>
      <c r="CF94" s="37"/>
    </row>
    <row r="95" spans="1:85" hidden="1" x14ac:dyDescent="0.35">
      <c r="A95" s="38" t="s">
        <v>280</v>
      </c>
      <c r="B95" s="38"/>
      <c r="C95" s="38"/>
      <c r="D95" s="38"/>
      <c r="E95" s="38"/>
    </row>
    <row r="96" spans="1:85" hidden="1" x14ac:dyDescent="0.35">
      <c r="A96" s="39" t="s">
        <v>281</v>
      </c>
      <c r="B96" s="40"/>
      <c r="C96" s="322" t="s">
        <v>1373</v>
      </c>
      <c r="D96" s="42"/>
      <c r="E96" s="43"/>
      <c r="F96" s="16"/>
    </row>
    <row r="97" spans="1:6" hidden="1" x14ac:dyDescent="0.35">
      <c r="A97" s="32" t="s">
        <v>283</v>
      </c>
      <c r="B97" s="40" t="s">
        <v>284</v>
      </c>
      <c r="C97" s="323" t="s">
        <v>1363</v>
      </c>
      <c r="D97" s="42"/>
      <c r="E97" s="43"/>
      <c r="F97" s="16"/>
    </row>
    <row r="98" spans="1:6" hidden="1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hidden="1" x14ac:dyDescent="0.35">
      <c r="A99" s="32" t="s">
        <v>286</v>
      </c>
      <c r="B99" s="40" t="s">
        <v>284</v>
      </c>
      <c r="C99" s="360" t="s">
        <v>1365</v>
      </c>
      <c r="D99" s="42"/>
      <c r="E99" s="43"/>
      <c r="F99" s="16"/>
    </row>
    <row r="100" spans="1:6" hidden="1" x14ac:dyDescent="0.35">
      <c r="A100" s="32" t="s">
        <v>287</v>
      </c>
      <c r="B100" s="40" t="s">
        <v>284</v>
      </c>
      <c r="C100" s="41" t="s">
        <v>1366</v>
      </c>
      <c r="D100" s="42"/>
      <c r="E100" s="43"/>
      <c r="F100" s="16"/>
    </row>
    <row r="101" spans="1:6" hidden="1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hidden="1" x14ac:dyDescent="0.35">
      <c r="A102" s="32" t="s">
        <v>289</v>
      </c>
      <c r="B102" s="40" t="s">
        <v>284</v>
      </c>
      <c r="C102" s="324">
        <v>99204</v>
      </c>
      <c r="D102" s="42"/>
      <c r="E102" s="43"/>
      <c r="F102" s="16"/>
    </row>
    <row r="103" spans="1:6" hidden="1" x14ac:dyDescent="0.35">
      <c r="A103" s="32" t="s">
        <v>290</v>
      </c>
      <c r="B103" s="40" t="s">
        <v>284</v>
      </c>
      <c r="C103" s="41" t="s">
        <v>1366</v>
      </c>
      <c r="D103" s="42"/>
      <c r="E103" s="43"/>
      <c r="F103" s="16"/>
    </row>
    <row r="104" spans="1:6" hidden="1" x14ac:dyDescent="0.35">
      <c r="A104" s="32" t="s">
        <v>291</v>
      </c>
      <c r="B104" s="40" t="s">
        <v>284</v>
      </c>
      <c r="C104" s="325" t="s">
        <v>1368</v>
      </c>
      <c r="D104" s="42"/>
      <c r="E104" s="43"/>
      <c r="F104" s="16"/>
    </row>
    <row r="105" spans="1:6" hidden="1" x14ac:dyDescent="0.35">
      <c r="A105" s="32" t="s">
        <v>292</v>
      </c>
      <c r="B105" s="40" t="s">
        <v>284</v>
      </c>
      <c r="C105" s="325" t="s">
        <v>1369</v>
      </c>
      <c r="D105" s="42"/>
      <c r="E105" s="43"/>
      <c r="F105" s="16"/>
    </row>
    <row r="106" spans="1:6" hidden="1" x14ac:dyDescent="0.35">
      <c r="A106" s="32" t="s">
        <v>293</v>
      </c>
      <c r="B106" s="40" t="s">
        <v>284</v>
      </c>
      <c r="C106" s="41" t="s">
        <v>1374</v>
      </c>
      <c r="D106" s="42"/>
      <c r="E106" s="43"/>
      <c r="F106" s="16"/>
    </row>
    <row r="107" spans="1:6" hidden="1" x14ac:dyDescent="0.35">
      <c r="A107" s="32" t="s">
        <v>294</v>
      </c>
      <c r="B107" s="40" t="s">
        <v>284</v>
      </c>
      <c r="C107" s="342" t="s">
        <v>1371</v>
      </c>
      <c r="D107" s="42"/>
      <c r="E107" s="43"/>
      <c r="F107" s="16"/>
    </row>
    <row r="108" spans="1:6" hidden="1" x14ac:dyDescent="0.35">
      <c r="A108" s="32" t="s">
        <v>295</v>
      </c>
      <c r="B108" s="40" t="s">
        <v>284</v>
      </c>
      <c r="C108" s="342"/>
      <c r="D108" s="42"/>
      <c r="E108" s="43"/>
      <c r="F108" s="16"/>
    </row>
    <row r="109" spans="1:6" hidden="1" x14ac:dyDescent="0.35">
      <c r="A109" s="44" t="s">
        <v>296</v>
      </c>
      <c r="B109" s="40" t="s">
        <v>284</v>
      </c>
      <c r="C109" s="41" t="s">
        <v>1369</v>
      </c>
      <c r="D109" s="42"/>
      <c r="E109" s="43"/>
      <c r="F109" s="16"/>
    </row>
    <row r="110" spans="1:6" hidden="1" x14ac:dyDescent="0.35">
      <c r="A110" s="44" t="s">
        <v>297</v>
      </c>
      <c r="B110" s="40" t="s">
        <v>284</v>
      </c>
      <c r="C110" s="361" t="s">
        <v>1375</v>
      </c>
      <c r="D110" s="42"/>
      <c r="E110" s="43"/>
      <c r="F110" s="16"/>
    </row>
    <row r="111" spans="1:6" hidden="1" x14ac:dyDescent="0.35">
      <c r="A111" s="38" t="s">
        <v>298</v>
      </c>
      <c r="B111" s="38"/>
      <c r="C111" s="38"/>
      <c r="D111" s="38"/>
      <c r="E111" s="38"/>
    </row>
    <row r="112" spans="1:6" hidden="1" x14ac:dyDescent="0.35">
      <c r="A112" s="45" t="s">
        <v>299</v>
      </c>
      <c r="B112" s="45"/>
      <c r="C112" s="45"/>
      <c r="D112" s="45"/>
      <c r="E112" s="45"/>
    </row>
    <row r="113" spans="1:5" hidden="1" x14ac:dyDescent="0.35">
      <c r="A113" s="20" t="s">
        <v>288</v>
      </c>
      <c r="B113" s="46" t="s">
        <v>284</v>
      </c>
      <c r="C113" s="47"/>
      <c r="D113" s="20"/>
      <c r="E113" s="20"/>
    </row>
    <row r="114" spans="1:5" hidden="1" x14ac:dyDescent="0.35">
      <c r="A114" s="20" t="s">
        <v>290</v>
      </c>
      <c r="B114" s="46" t="s">
        <v>284</v>
      </c>
      <c r="C114" s="47"/>
      <c r="D114" s="20"/>
      <c r="E114" s="20"/>
    </row>
    <row r="115" spans="1:5" hidden="1" x14ac:dyDescent="0.35">
      <c r="A115" s="20" t="s">
        <v>300</v>
      </c>
      <c r="B115" s="46" t="s">
        <v>284</v>
      </c>
      <c r="C115" s="47"/>
      <c r="D115" s="20"/>
      <c r="E115" s="20"/>
    </row>
    <row r="116" spans="1:5" hidden="1" x14ac:dyDescent="0.35">
      <c r="A116" s="45" t="s">
        <v>301</v>
      </c>
      <c r="B116" s="45"/>
      <c r="C116" s="45"/>
      <c r="D116" s="45"/>
      <c r="E116" s="45"/>
    </row>
    <row r="117" spans="1:5" hidden="1" x14ac:dyDescent="0.35">
      <c r="A117" s="20" t="s">
        <v>302</v>
      </c>
      <c r="B117" s="46" t="s">
        <v>284</v>
      </c>
      <c r="C117" s="47"/>
      <c r="D117" s="20"/>
      <c r="E117" s="20"/>
    </row>
    <row r="118" spans="1:5" hidden="1" x14ac:dyDescent="0.35">
      <c r="A118" s="20" t="s">
        <v>144</v>
      </c>
      <c r="B118" s="46" t="s">
        <v>284</v>
      </c>
      <c r="C118" s="234"/>
      <c r="D118" s="20"/>
      <c r="E118" s="20"/>
    </row>
    <row r="119" spans="1:5" hidden="1" x14ac:dyDescent="0.35">
      <c r="A119" s="45" t="s">
        <v>303</v>
      </c>
      <c r="B119" s="45"/>
      <c r="C119" s="45"/>
      <c r="D119" s="45"/>
      <c r="E119" s="45"/>
    </row>
    <row r="120" spans="1:5" hidden="1" x14ac:dyDescent="0.35">
      <c r="A120" s="20" t="s">
        <v>304</v>
      </c>
      <c r="B120" s="46" t="s">
        <v>284</v>
      </c>
      <c r="C120" s="47"/>
      <c r="D120" s="20"/>
      <c r="E120" s="20"/>
    </row>
    <row r="121" spans="1:5" hidden="1" x14ac:dyDescent="0.35">
      <c r="A121" s="20" t="s">
        <v>305</v>
      </c>
      <c r="B121" s="46" t="s">
        <v>284</v>
      </c>
      <c r="C121" s="47">
        <v>1</v>
      </c>
      <c r="D121" s="20"/>
      <c r="E121" s="20"/>
    </row>
    <row r="122" spans="1:5" hidden="1" x14ac:dyDescent="0.35">
      <c r="A122" s="20" t="s">
        <v>306</v>
      </c>
      <c r="B122" s="46" t="s">
        <v>284</v>
      </c>
      <c r="C122" s="47"/>
      <c r="D122" s="20"/>
      <c r="E122" s="20"/>
    </row>
    <row r="123" spans="1:5" hidden="1" x14ac:dyDescent="0.35">
      <c r="A123" s="20"/>
      <c r="B123" s="46"/>
      <c r="C123" s="48"/>
      <c r="D123" s="20"/>
      <c r="E123" s="20"/>
    </row>
    <row r="124" spans="1:5" hidden="1" x14ac:dyDescent="0.35">
      <c r="A124" s="49" t="s">
        <v>307</v>
      </c>
      <c r="B124" s="38"/>
      <c r="C124" s="38"/>
      <c r="D124" s="38"/>
      <c r="E124" s="38"/>
    </row>
    <row r="125" spans="1:5" hidden="1" x14ac:dyDescent="0.35">
      <c r="A125" s="20"/>
      <c r="B125" s="46"/>
      <c r="C125" s="48"/>
      <c r="D125" s="20"/>
      <c r="E125" s="20"/>
    </row>
    <row r="126" spans="1:5" hidden="1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hidden="1" x14ac:dyDescent="0.35">
      <c r="A127" s="20" t="s">
        <v>310</v>
      </c>
      <c r="B127" s="46" t="s">
        <v>284</v>
      </c>
      <c r="C127" s="47">
        <v>2034</v>
      </c>
      <c r="D127" s="50">
        <v>22283</v>
      </c>
      <c r="E127" s="20"/>
    </row>
    <row r="128" spans="1:5" hidden="1" x14ac:dyDescent="0.35">
      <c r="A128" s="20" t="s">
        <v>311</v>
      </c>
      <c r="B128" s="46" t="s">
        <v>284</v>
      </c>
      <c r="C128" s="47"/>
      <c r="D128" s="50"/>
      <c r="E128" s="20"/>
    </row>
    <row r="129" spans="1:5" hidden="1" x14ac:dyDescent="0.35">
      <c r="A129" s="20" t="s">
        <v>312</v>
      </c>
      <c r="B129" s="46" t="s">
        <v>284</v>
      </c>
      <c r="C129" s="47"/>
      <c r="D129" s="50"/>
      <c r="E129" s="20"/>
    </row>
    <row r="130" spans="1:5" hidden="1" x14ac:dyDescent="0.35">
      <c r="A130" s="20" t="s">
        <v>313</v>
      </c>
      <c r="B130" s="46" t="s">
        <v>284</v>
      </c>
      <c r="C130" s="47"/>
      <c r="D130" s="50"/>
      <c r="E130" s="20"/>
    </row>
    <row r="131" spans="1:5" hidden="1" x14ac:dyDescent="0.35">
      <c r="A131" s="26" t="s">
        <v>314</v>
      </c>
      <c r="B131" s="20"/>
      <c r="C131" s="21" t="s">
        <v>179</v>
      </c>
      <c r="D131" s="20"/>
      <c r="E131" s="20"/>
    </row>
    <row r="132" spans="1:5" hidden="1" x14ac:dyDescent="0.35">
      <c r="A132" s="20" t="s">
        <v>315</v>
      </c>
      <c r="B132" s="46" t="s">
        <v>284</v>
      </c>
      <c r="C132" s="47"/>
      <c r="D132" s="20"/>
      <c r="E132" s="20"/>
    </row>
    <row r="133" spans="1:5" hidden="1" x14ac:dyDescent="0.35">
      <c r="A133" s="20" t="s">
        <v>316</v>
      </c>
      <c r="B133" s="46" t="s">
        <v>284</v>
      </c>
      <c r="C133" s="47"/>
      <c r="D133" s="20"/>
      <c r="E133" s="20"/>
    </row>
    <row r="134" spans="1:5" hidden="1" x14ac:dyDescent="0.35">
      <c r="A134" s="20" t="s">
        <v>317</v>
      </c>
      <c r="B134" s="46" t="s">
        <v>284</v>
      </c>
      <c r="C134" s="47"/>
      <c r="D134" s="20"/>
      <c r="E134" s="20"/>
    </row>
    <row r="135" spans="1:5" hidden="1" x14ac:dyDescent="0.35">
      <c r="A135" s="20" t="s">
        <v>318</v>
      </c>
      <c r="B135" s="46" t="s">
        <v>284</v>
      </c>
      <c r="C135" s="47"/>
      <c r="D135" s="20"/>
      <c r="E135" s="20"/>
    </row>
    <row r="136" spans="1:5" hidden="1" x14ac:dyDescent="0.35">
      <c r="A136" s="20" t="s">
        <v>319</v>
      </c>
      <c r="B136" s="46" t="s">
        <v>284</v>
      </c>
      <c r="C136" s="47"/>
      <c r="D136" s="20"/>
      <c r="E136" s="20"/>
    </row>
    <row r="137" spans="1:5" hidden="1" x14ac:dyDescent="0.35">
      <c r="A137" s="20" t="s">
        <v>320</v>
      </c>
      <c r="B137" s="46" t="s">
        <v>284</v>
      </c>
      <c r="C137" s="47"/>
      <c r="D137" s="20"/>
      <c r="E137" s="20"/>
    </row>
    <row r="138" spans="1:5" hidden="1" x14ac:dyDescent="0.35">
      <c r="A138" s="20" t="s">
        <v>108</v>
      </c>
      <c r="B138" s="46" t="s">
        <v>284</v>
      </c>
      <c r="C138" s="47">
        <v>100</v>
      </c>
      <c r="D138" s="20"/>
      <c r="E138" s="20"/>
    </row>
    <row r="139" spans="1:5" hidden="1" x14ac:dyDescent="0.35">
      <c r="A139" s="20" t="s">
        <v>321</v>
      </c>
      <c r="B139" s="46" t="s">
        <v>284</v>
      </c>
      <c r="C139" s="47"/>
      <c r="D139" s="20"/>
      <c r="E139" s="20"/>
    </row>
    <row r="140" spans="1:5" hidden="1" x14ac:dyDescent="0.35">
      <c r="A140" s="20" t="s">
        <v>322</v>
      </c>
      <c r="B140" s="46"/>
      <c r="C140" s="47"/>
      <c r="D140" s="20"/>
      <c r="E140" s="20"/>
    </row>
    <row r="141" spans="1:5" hidden="1" x14ac:dyDescent="0.35">
      <c r="A141" s="20" t="s">
        <v>312</v>
      </c>
      <c r="B141" s="46" t="s">
        <v>284</v>
      </c>
      <c r="C141" s="47"/>
      <c r="D141" s="20"/>
      <c r="E141" s="20"/>
    </row>
    <row r="142" spans="1:5" hidden="1" x14ac:dyDescent="0.35">
      <c r="A142" s="20" t="s">
        <v>323</v>
      </c>
      <c r="B142" s="46" t="s">
        <v>284</v>
      </c>
      <c r="C142" s="47"/>
      <c r="D142" s="20"/>
      <c r="E142" s="20"/>
    </row>
    <row r="143" spans="1:5" hidden="1" x14ac:dyDescent="0.35">
      <c r="A143" s="20" t="s">
        <v>324</v>
      </c>
      <c r="B143" s="20"/>
      <c r="C143" s="27"/>
      <c r="D143" s="20"/>
      <c r="E143" s="32">
        <f>SUM(C132:C142)</f>
        <v>100</v>
      </c>
    </row>
    <row r="144" spans="1:5" hidden="1" x14ac:dyDescent="0.35">
      <c r="A144" s="20" t="s">
        <v>325</v>
      </c>
      <c r="B144" s="46" t="s">
        <v>284</v>
      </c>
      <c r="C144" s="47">
        <v>100</v>
      </c>
      <c r="D144" s="20"/>
      <c r="E144" s="20"/>
    </row>
    <row r="145" spans="1:6" hidden="1" x14ac:dyDescent="0.35">
      <c r="A145" s="20" t="s">
        <v>326</v>
      </c>
      <c r="B145" s="46" t="s">
        <v>284</v>
      </c>
      <c r="C145" s="47"/>
      <c r="D145" s="20"/>
      <c r="E145" s="20"/>
    </row>
    <row r="146" spans="1:6" hidden="1" x14ac:dyDescent="0.35">
      <c r="A146" s="20"/>
      <c r="B146" s="20"/>
      <c r="C146" s="27"/>
      <c r="D146" s="20"/>
      <c r="E146" s="20"/>
    </row>
    <row r="147" spans="1:6" hidden="1" x14ac:dyDescent="0.35">
      <c r="A147" s="20" t="s">
        <v>327</v>
      </c>
      <c r="B147" s="46" t="s">
        <v>284</v>
      </c>
      <c r="C147" s="47"/>
      <c r="D147" s="20"/>
      <c r="E147" s="20"/>
    </row>
    <row r="148" spans="1:6" hidden="1" x14ac:dyDescent="0.35">
      <c r="A148" s="20"/>
      <c r="B148" s="20"/>
      <c r="C148" s="27"/>
      <c r="D148" s="20"/>
      <c r="E148" s="20"/>
    </row>
    <row r="149" spans="1:6" hidden="1" x14ac:dyDescent="0.35">
      <c r="A149" s="20"/>
      <c r="B149" s="20"/>
      <c r="C149" s="27"/>
      <c r="D149" s="20"/>
      <c r="E149" s="20"/>
    </row>
    <row r="150" spans="1:6" hidden="1" x14ac:dyDescent="0.35">
      <c r="A150" s="20"/>
      <c r="B150" s="20"/>
      <c r="C150" s="27"/>
      <c r="D150" s="20"/>
      <c r="E150" s="20"/>
    </row>
    <row r="151" spans="1:6" hidden="1" x14ac:dyDescent="0.35">
      <c r="A151" s="20"/>
      <c r="B151" s="20"/>
      <c r="C151" s="27"/>
      <c r="D151" s="20"/>
      <c r="E151" s="20"/>
    </row>
    <row r="152" spans="1:6" hidden="1" x14ac:dyDescent="0.35">
      <c r="A152" s="38" t="s">
        <v>328</v>
      </c>
      <c r="B152" s="49"/>
      <c r="C152" s="49"/>
      <c r="D152" s="49"/>
      <c r="E152" s="49"/>
    </row>
    <row r="153" spans="1:6" hidden="1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hidden="1" x14ac:dyDescent="0.35">
      <c r="A154" s="20" t="s">
        <v>309</v>
      </c>
      <c r="B154" s="50">
        <v>123</v>
      </c>
      <c r="C154" s="50">
        <v>103</v>
      </c>
      <c r="D154" s="50">
        <v>1808</v>
      </c>
      <c r="E154" s="32">
        <f>SUM(B154:D154)</f>
        <v>2034</v>
      </c>
    </row>
    <row r="155" spans="1:6" hidden="1" x14ac:dyDescent="0.35">
      <c r="A155" s="20" t="s">
        <v>227</v>
      </c>
      <c r="B155" s="50">
        <v>2106</v>
      </c>
      <c r="C155" s="50">
        <v>1390</v>
      </c>
      <c r="D155" s="50">
        <v>18787</v>
      </c>
      <c r="E155" s="32">
        <f>SUM(B155:D155)</f>
        <v>22283</v>
      </c>
    </row>
    <row r="156" spans="1:6" hidden="1" x14ac:dyDescent="0.35">
      <c r="A156" s="20" t="s">
        <v>332</v>
      </c>
      <c r="B156" s="50">
        <v>208</v>
      </c>
      <c r="C156" s="50">
        <v>13</v>
      </c>
      <c r="D156" s="50">
        <v>5404</v>
      </c>
      <c r="E156" s="32">
        <f>SUM(B156:D156)</f>
        <v>5625</v>
      </c>
    </row>
    <row r="157" spans="1:6" hidden="1" x14ac:dyDescent="0.35">
      <c r="A157" s="20" t="s">
        <v>272</v>
      </c>
      <c r="B157" s="50">
        <v>1890011</v>
      </c>
      <c r="C157" s="50">
        <v>897692</v>
      </c>
      <c r="D157" s="50">
        <f>23195849-C157-B157</f>
        <v>20408146</v>
      </c>
      <c r="E157" s="32">
        <f>SUM(B157:D157)</f>
        <v>23195849</v>
      </c>
      <c r="F157" s="18"/>
    </row>
    <row r="158" spans="1:6" hidden="1" x14ac:dyDescent="0.35">
      <c r="A158" s="20" t="s">
        <v>273</v>
      </c>
      <c r="B158" s="50">
        <v>49086</v>
      </c>
      <c r="C158" s="50">
        <v>91266</v>
      </c>
      <c r="D158" s="50">
        <f>1781837-C158-B158</f>
        <v>1641485</v>
      </c>
      <c r="E158" s="32">
        <f>SUM(B158:D158)</f>
        <v>1781837</v>
      </c>
      <c r="F158" s="18"/>
    </row>
    <row r="159" spans="1:6" hidden="1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hidden="1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hidden="1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hidden="1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hidden="1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hidden="1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hidden="1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hidden="1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hidden="1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hidden="1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hidden="1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hidden="1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hidden="1" x14ac:dyDescent="0.35">
      <c r="A171" s="25"/>
      <c r="B171" s="25"/>
      <c r="C171" s="54"/>
      <c r="D171" s="55"/>
      <c r="E171" s="20"/>
    </row>
    <row r="172" spans="1:5" hidden="1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hidden="1" x14ac:dyDescent="0.35">
      <c r="A173" s="25" t="s">
        <v>338</v>
      </c>
      <c r="B173" s="50"/>
      <c r="C173" s="50"/>
      <c r="D173" s="20"/>
      <c r="E173" s="20"/>
    </row>
    <row r="174" spans="1:5" hidden="1" x14ac:dyDescent="0.35">
      <c r="A174" s="25"/>
      <c r="B174" s="55"/>
      <c r="C174" s="54"/>
      <c r="D174" s="20"/>
      <c r="E174" s="20"/>
    </row>
    <row r="175" spans="1:5" hidden="1" x14ac:dyDescent="0.35">
      <c r="A175" s="25"/>
      <c r="B175" s="25"/>
      <c r="C175" s="54"/>
      <c r="D175" s="55"/>
      <c r="E175" s="20"/>
    </row>
    <row r="176" spans="1:5" hidden="1" x14ac:dyDescent="0.35">
      <c r="A176" s="25"/>
      <c r="B176" s="25"/>
      <c r="C176" s="54"/>
      <c r="D176" s="55"/>
      <c r="E176" s="20"/>
    </row>
    <row r="177" spans="1:5" hidden="1" x14ac:dyDescent="0.35">
      <c r="A177" s="25"/>
      <c r="B177" s="25"/>
      <c r="C177" s="54"/>
      <c r="D177" s="55"/>
      <c r="E177" s="20"/>
    </row>
    <row r="178" spans="1:5" hidden="1" x14ac:dyDescent="0.35">
      <c r="A178" s="25"/>
      <c r="B178" s="25"/>
      <c r="C178" s="54"/>
      <c r="D178" s="55"/>
      <c r="E178" s="20"/>
    </row>
    <row r="179" spans="1:5" hidden="1" x14ac:dyDescent="0.35">
      <c r="A179" s="49" t="s">
        <v>339</v>
      </c>
      <c r="B179" s="38"/>
      <c r="C179" s="38"/>
      <c r="D179" s="38"/>
      <c r="E179" s="38"/>
    </row>
    <row r="180" spans="1:5" hidden="1" x14ac:dyDescent="0.35">
      <c r="A180" s="45" t="s">
        <v>340</v>
      </c>
      <c r="B180" s="45"/>
      <c r="C180" s="45"/>
      <c r="D180" s="45"/>
      <c r="E180" s="45"/>
    </row>
    <row r="181" spans="1:5" hidden="1" x14ac:dyDescent="0.35">
      <c r="A181" s="20" t="s">
        <v>341</v>
      </c>
      <c r="B181" s="46" t="s">
        <v>284</v>
      </c>
      <c r="C181" s="47">
        <v>1148160</v>
      </c>
      <c r="D181" s="20"/>
      <c r="E181" s="20"/>
    </row>
    <row r="182" spans="1:5" hidden="1" x14ac:dyDescent="0.35">
      <c r="A182" s="20" t="s">
        <v>342</v>
      </c>
      <c r="B182" s="46" t="s">
        <v>284</v>
      </c>
      <c r="C182" s="47">
        <v>122259</v>
      </c>
      <c r="D182" s="20"/>
      <c r="E182" s="20"/>
    </row>
    <row r="183" spans="1:5" hidden="1" x14ac:dyDescent="0.35">
      <c r="A183" s="25" t="s">
        <v>343</v>
      </c>
      <c r="B183" s="46" t="s">
        <v>284</v>
      </c>
      <c r="C183" s="47">
        <v>486121</v>
      </c>
      <c r="D183" s="20"/>
      <c r="E183" s="20"/>
    </row>
    <row r="184" spans="1:5" hidden="1" x14ac:dyDescent="0.35">
      <c r="A184" s="20" t="s">
        <v>344</v>
      </c>
      <c r="B184" s="46" t="s">
        <v>284</v>
      </c>
      <c r="C184" s="47">
        <v>597624</v>
      </c>
      <c r="D184" s="20"/>
      <c r="E184" s="20"/>
    </row>
    <row r="185" spans="1:5" hidden="1" x14ac:dyDescent="0.35">
      <c r="A185" s="20" t="s">
        <v>345</v>
      </c>
      <c r="B185" s="46" t="s">
        <v>284</v>
      </c>
      <c r="C185" s="47">
        <v>97115</v>
      </c>
      <c r="D185" s="20"/>
      <c r="E185" s="20"/>
    </row>
    <row r="186" spans="1:5" hidden="1" x14ac:dyDescent="0.35">
      <c r="A186" s="20" t="s">
        <v>346</v>
      </c>
      <c r="B186" s="46" t="s">
        <v>284</v>
      </c>
      <c r="C186" s="47">
        <v>176025</v>
      </c>
      <c r="D186" s="20"/>
      <c r="E186" s="20"/>
    </row>
    <row r="187" spans="1:5" hidden="1" x14ac:dyDescent="0.35">
      <c r="A187" s="20" t="s">
        <v>347</v>
      </c>
      <c r="B187" s="46" t="s">
        <v>284</v>
      </c>
      <c r="C187" s="47">
        <v>54423</v>
      </c>
      <c r="D187" s="20"/>
      <c r="E187" s="20"/>
    </row>
    <row r="188" spans="1:5" hidden="1" x14ac:dyDescent="0.35">
      <c r="A188" s="20" t="s">
        <v>347</v>
      </c>
      <c r="B188" s="46" t="s">
        <v>284</v>
      </c>
      <c r="C188" s="47">
        <v>284970</v>
      </c>
      <c r="D188" s="20"/>
      <c r="E188" s="20"/>
    </row>
    <row r="189" spans="1:5" hidden="1" x14ac:dyDescent="0.35">
      <c r="A189" s="20" t="s">
        <v>215</v>
      </c>
      <c r="B189" s="20"/>
      <c r="C189" s="27"/>
      <c r="D189" s="32">
        <f>SUM(C181:C188)</f>
        <v>2966697</v>
      </c>
      <c r="E189" s="20"/>
    </row>
    <row r="190" spans="1:5" hidden="1" x14ac:dyDescent="0.35">
      <c r="A190" s="45" t="s">
        <v>348</v>
      </c>
      <c r="B190" s="45"/>
      <c r="C190" s="45"/>
      <c r="D190" s="45"/>
      <c r="E190" s="45"/>
    </row>
    <row r="191" spans="1:5" hidden="1" x14ac:dyDescent="0.35">
      <c r="A191" s="20" t="s">
        <v>349</v>
      </c>
      <c r="B191" s="46" t="s">
        <v>284</v>
      </c>
      <c r="C191" s="47">
        <v>12000</v>
      </c>
      <c r="D191" s="20"/>
      <c r="E191" s="20"/>
    </row>
    <row r="192" spans="1:5" hidden="1" x14ac:dyDescent="0.35">
      <c r="A192" s="20" t="s">
        <v>350</v>
      </c>
      <c r="B192" s="46" t="s">
        <v>284</v>
      </c>
      <c r="C192" s="47">
        <v>3561</v>
      </c>
      <c r="D192" s="20"/>
      <c r="E192" s="20"/>
    </row>
    <row r="193" spans="1:5" hidden="1" x14ac:dyDescent="0.35">
      <c r="A193" s="20" t="s">
        <v>215</v>
      </c>
      <c r="B193" s="20"/>
      <c r="C193" s="27"/>
      <c r="D193" s="32">
        <f>SUM(C191:C192)</f>
        <v>15561</v>
      </c>
      <c r="E193" s="20"/>
    </row>
    <row r="194" spans="1:5" hidden="1" x14ac:dyDescent="0.35">
      <c r="A194" s="45" t="s">
        <v>351</v>
      </c>
      <c r="B194" s="45"/>
      <c r="C194" s="45"/>
      <c r="D194" s="45"/>
      <c r="E194" s="45"/>
    </row>
    <row r="195" spans="1:5" hidden="1" x14ac:dyDescent="0.35">
      <c r="A195" s="20" t="s">
        <v>352</v>
      </c>
      <c r="B195" s="46" t="s">
        <v>284</v>
      </c>
      <c r="C195" s="47">
        <v>163832</v>
      </c>
      <c r="D195" s="20"/>
      <c r="E195" s="20"/>
    </row>
    <row r="196" spans="1:5" hidden="1" x14ac:dyDescent="0.35">
      <c r="A196" s="20" t="s">
        <v>353</v>
      </c>
      <c r="B196" s="46" t="s">
        <v>284</v>
      </c>
      <c r="C196" s="47">
        <v>94421</v>
      </c>
      <c r="D196" s="20"/>
      <c r="E196" s="20"/>
    </row>
    <row r="197" spans="1:5" hidden="1" x14ac:dyDescent="0.35">
      <c r="A197" s="20" t="s">
        <v>215</v>
      </c>
      <c r="B197" s="20"/>
      <c r="C197" s="27"/>
      <c r="D197" s="32">
        <f>SUM(C195:C196)</f>
        <v>258253</v>
      </c>
      <c r="E197" s="20"/>
    </row>
    <row r="198" spans="1:5" hidden="1" x14ac:dyDescent="0.35">
      <c r="A198" s="45" t="s">
        <v>354</v>
      </c>
      <c r="B198" s="45"/>
      <c r="C198" s="45"/>
      <c r="D198" s="45"/>
      <c r="E198" s="45"/>
    </row>
    <row r="199" spans="1:5" hidden="1" x14ac:dyDescent="0.35">
      <c r="A199" s="20" t="s">
        <v>355</v>
      </c>
      <c r="B199" s="46" t="s">
        <v>284</v>
      </c>
      <c r="C199" s="47">
        <v>92486</v>
      </c>
      <c r="D199" s="20"/>
      <c r="E199" s="20"/>
    </row>
    <row r="200" spans="1:5" hidden="1" x14ac:dyDescent="0.35">
      <c r="A200" s="20" t="s">
        <v>356</v>
      </c>
      <c r="B200" s="46" t="s">
        <v>284</v>
      </c>
      <c r="C200" s="47">
        <v>285343</v>
      </c>
      <c r="D200" s="20"/>
      <c r="E200" s="20"/>
    </row>
    <row r="201" spans="1:5" hidden="1" x14ac:dyDescent="0.35">
      <c r="A201" s="20" t="s">
        <v>144</v>
      </c>
      <c r="B201" s="46" t="s">
        <v>284</v>
      </c>
      <c r="C201" s="47"/>
      <c r="D201" s="20"/>
      <c r="E201" s="20"/>
    </row>
    <row r="202" spans="1:5" hidden="1" x14ac:dyDescent="0.35">
      <c r="A202" s="20" t="s">
        <v>215</v>
      </c>
      <c r="B202" s="20"/>
      <c r="C202" s="27"/>
      <c r="D202" s="32">
        <f>SUM(C199:C201)</f>
        <v>377829</v>
      </c>
      <c r="E202" s="20"/>
    </row>
    <row r="203" spans="1:5" hidden="1" x14ac:dyDescent="0.35">
      <c r="A203" s="45" t="s">
        <v>357</v>
      </c>
      <c r="B203" s="45"/>
      <c r="C203" s="45"/>
      <c r="D203" s="45"/>
      <c r="E203" s="45"/>
    </row>
    <row r="204" spans="1:5" hidden="1" x14ac:dyDescent="0.35">
      <c r="A204" s="20" t="s">
        <v>358</v>
      </c>
      <c r="B204" s="46" t="s">
        <v>284</v>
      </c>
      <c r="C204" s="47"/>
      <c r="D204" s="20"/>
      <c r="E204" s="20"/>
    </row>
    <row r="205" spans="1:5" hidden="1" x14ac:dyDescent="0.35">
      <c r="A205" s="20" t="s">
        <v>359</v>
      </c>
      <c r="B205" s="46" t="s">
        <v>284</v>
      </c>
      <c r="C205" s="47"/>
      <c r="D205" s="20"/>
      <c r="E205" s="20"/>
    </row>
    <row r="206" spans="1:5" hidden="1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hidden="1" x14ac:dyDescent="0.35">
      <c r="A207" s="20"/>
      <c r="B207" s="20"/>
      <c r="C207" s="27"/>
      <c r="D207" s="20"/>
      <c r="E207" s="20"/>
    </row>
    <row r="208" spans="1:5" hidden="1" x14ac:dyDescent="0.35">
      <c r="A208" s="38" t="s">
        <v>360</v>
      </c>
      <c r="B208" s="38"/>
      <c r="C208" s="38"/>
      <c r="D208" s="38"/>
      <c r="E208" s="38"/>
    </row>
    <row r="209" spans="1:5" hidden="1" x14ac:dyDescent="0.35">
      <c r="A209" s="49" t="s">
        <v>361</v>
      </c>
      <c r="B209" s="38"/>
      <c r="C209" s="38"/>
      <c r="D209" s="38"/>
      <c r="E209" s="38"/>
    </row>
    <row r="210" spans="1:5" hidden="1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hidden="1" x14ac:dyDescent="0.35">
      <c r="A211" s="20" t="s">
        <v>366</v>
      </c>
      <c r="B211" s="50">
        <v>4759216.5199999996</v>
      </c>
      <c r="C211" s="47"/>
      <c r="D211" s="50"/>
      <c r="E211" s="32">
        <f t="shared" ref="E211:E219" si="16">SUM(B211:C211)-D211</f>
        <v>4759216.5199999996</v>
      </c>
    </row>
    <row r="212" spans="1:5" hidden="1" x14ac:dyDescent="0.35">
      <c r="A212" s="20" t="s">
        <v>367</v>
      </c>
      <c r="B212" s="50">
        <v>1154035.92</v>
      </c>
      <c r="C212" s="47"/>
      <c r="D212" s="50"/>
      <c r="E212" s="32">
        <f t="shared" si="16"/>
        <v>1154035.92</v>
      </c>
    </row>
    <row r="213" spans="1:5" hidden="1" x14ac:dyDescent="0.35">
      <c r="A213" s="20" t="s">
        <v>368</v>
      </c>
      <c r="B213" s="50">
        <v>34587062.380000003</v>
      </c>
      <c r="C213" s="47"/>
      <c r="D213" s="50"/>
      <c r="E213" s="32">
        <f t="shared" si="16"/>
        <v>34587062.380000003</v>
      </c>
    </row>
    <row r="214" spans="1:5" hidden="1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hidden="1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hidden="1" x14ac:dyDescent="0.35">
      <c r="A216" s="20" t="s">
        <v>371</v>
      </c>
      <c r="B216" s="50">
        <v>2192653.86</v>
      </c>
      <c r="C216" s="47">
        <v>58455.409999999996</v>
      </c>
      <c r="D216" s="50"/>
      <c r="E216" s="32">
        <f t="shared" si="16"/>
        <v>2251109.27</v>
      </c>
    </row>
    <row r="217" spans="1:5" hidden="1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hidden="1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hidden="1" x14ac:dyDescent="0.35">
      <c r="A219" s="20" t="s">
        <v>374</v>
      </c>
      <c r="B219" s="50">
        <v>17867.46</v>
      </c>
      <c r="C219" s="47">
        <v>35595.490000000005</v>
      </c>
      <c r="D219" s="50">
        <v>17867</v>
      </c>
      <c r="E219" s="32">
        <f t="shared" si="16"/>
        <v>35595.950000000004</v>
      </c>
    </row>
    <row r="220" spans="1:5" hidden="1" x14ac:dyDescent="0.35">
      <c r="A220" s="20" t="s">
        <v>215</v>
      </c>
      <c r="B220" s="32">
        <f>SUM(B211:B219)</f>
        <v>42710836.140000001</v>
      </c>
      <c r="C220" s="265">
        <f>SUM(C211:C219)</f>
        <v>94050.9</v>
      </c>
      <c r="D220" s="32">
        <f>SUM(D211:D219)</f>
        <v>17867</v>
      </c>
      <c r="E220" s="32">
        <f>SUM(E211:E219)</f>
        <v>42787020.040000007</v>
      </c>
    </row>
    <row r="221" spans="1:5" hidden="1" x14ac:dyDescent="0.35">
      <c r="A221" s="20"/>
      <c r="B221" s="20"/>
      <c r="C221" s="27"/>
      <c r="D221" s="20"/>
      <c r="E221" s="20"/>
    </row>
    <row r="222" spans="1:5" hidden="1" x14ac:dyDescent="0.35">
      <c r="A222" s="49" t="s">
        <v>375</v>
      </c>
      <c r="B222" s="49"/>
      <c r="C222" s="49"/>
      <c r="D222" s="49"/>
      <c r="E222" s="49"/>
    </row>
    <row r="223" spans="1:5" hidden="1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hidden="1" x14ac:dyDescent="0.35">
      <c r="A224" s="20" t="s">
        <v>366</v>
      </c>
      <c r="B224" s="55"/>
      <c r="C224" s="54"/>
      <c r="D224" s="55"/>
      <c r="E224" s="20"/>
    </row>
    <row r="225" spans="1:5" hidden="1" x14ac:dyDescent="0.35">
      <c r="A225" s="20" t="s">
        <v>367</v>
      </c>
      <c r="B225" s="50">
        <v>250041</v>
      </c>
      <c r="C225" s="47">
        <v>76935.72</v>
      </c>
      <c r="D225" s="50"/>
      <c r="E225" s="32">
        <f t="shared" ref="E225:E232" si="17">SUM(B225:C225)-D225</f>
        <v>326976.71999999997</v>
      </c>
    </row>
    <row r="226" spans="1:5" hidden="1" x14ac:dyDescent="0.35">
      <c r="A226" s="20" t="s">
        <v>368</v>
      </c>
      <c r="B226" s="50">
        <v>5567086</v>
      </c>
      <c r="C226" s="47">
        <v>1712949</v>
      </c>
      <c r="D226" s="50"/>
      <c r="E226" s="32">
        <f t="shared" si="17"/>
        <v>7280035</v>
      </c>
    </row>
    <row r="227" spans="1:5" hidden="1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hidden="1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hidden="1" x14ac:dyDescent="0.35">
      <c r="A229" s="20" t="s">
        <v>371</v>
      </c>
      <c r="B229" s="50">
        <v>1406106</v>
      </c>
      <c r="C229" s="47">
        <v>360337</v>
      </c>
      <c r="D229" s="50"/>
      <c r="E229" s="32">
        <f t="shared" si="17"/>
        <v>1766443</v>
      </c>
    </row>
    <row r="230" spans="1:5" hidden="1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hidden="1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hidden="1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hidden="1" x14ac:dyDescent="0.35">
      <c r="A233" s="20" t="s">
        <v>215</v>
      </c>
      <c r="B233" s="32">
        <f>SUM(B224:B232)</f>
        <v>7223233</v>
      </c>
      <c r="C233" s="265">
        <f>SUM(C224:C232)</f>
        <v>2150221.7199999997</v>
      </c>
      <c r="D233" s="32">
        <f>SUM(D224:D232)</f>
        <v>0</v>
      </c>
      <c r="E233" s="32">
        <f>SUM(E224:E232)</f>
        <v>9373454.7199999988</v>
      </c>
    </row>
    <row r="234" spans="1:5" hidden="1" x14ac:dyDescent="0.35">
      <c r="A234" s="20"/>
      <c r="B234" s="20"/>
      <c r="C234" s="27"/>
      <c r="D234" s="20"/>
      <c r="E234" s="20"/>
    </row>
    <row r="235" spans="1:5" hidden="1" x14ac:dyDescent="0.35">
      <c r="A235" s="38" t="s">
        <v>376</v>
      </c>
      <c r="B235" s="38"/>
      <c r="C235" s="38"/>
      <c r="D235" s="38"/>
      <c r="E235" s="38"/>
    </row>
    <row r="236" spans="1:5" hidden="1" x14ac:dyDescent="0.35">
      <c r="A236" s="38"/>
      <c r="B236" s="365" t="s">
        <v>377</v>
      </c>
      <c r="C236" s="365"/>
      <c r="D236" s="38"/>
      <c r="E236" s="38"/>
    </row>
    <row r="237" spans="1:5" hidden="1" x14ac:dyDescent="0.35">
      <c r="A237" s="56" t="s">
        <v>377</v>
      </c>
      <c r="B237" s="38"/>
      <c r="C237" s="47">
        <v>-218816</v>
      </c>
      <c r="D237" s="40">
        <f>C237</f>
        <v>-218816</v>
      </c>
      <c r="E237" s="38"/>
    </row>
    <row r="238" spans="1:5" hidden="1" x14ac:dyDescent="0.35">
      <c r="A238" s="45" t="s">
        <v>378</v>
      </c>
      <c r="B238" s="45"/>
      <c r="C238" s="45"/>
      <c r="D238" s="45"/>
      <c r="E238" s="45"/>
    </row>
    <row r="239" spans="1:5" hidden="1" x14ac:dyDescent="0.35">
      <c r="A239" s="20" t="s">
        <v>379</v>
      </c>
      <c r="B239" s="46" t="s">
        <v>284</v>
      </c>
      <c r="C239" s="47">
        <v>2454679</v>
      </c>
      <c r="D239" s="20"/>
      <c r="E239" s="20"/>
    </row>
    <row r="240" spans="1:5" hidden="1" x14ac:dyDescent="0.35">
      <c r="A240" s="20" t="s">
        <v>380</v>
      </c>
      <c r="B240" s="46" t="s">
        <v>284</v>
      </c>
      <c r="C240" s="47">
        <v>1860356</v>
      </c>
      <c r="D240" s="20"/>
      <c r="E240" s="20"/>
    </row>
    <row r="241" spans="1:5" hidden="1" x14ac:dyDescent="0.35">
      <c r="A241" s="20" t="s">
        <v>381</v>
      </c>
      <c r="B241" s="46" t="s">
        <v>284</v>
      </c>
      <c r="C241" s="47">
        <v>0</v>
      </c>
      <c r="D241" s="20"/>
      <c r="E241" s="20"/>
    </row>
    <row r="242" spans="1:5" hidden="1" x14ac:dyDescent="0.35">
      <c r="A242" s="20" t="s">
        <v>382</v>
      </c>
      <c r="B242" s="46" t="s">
        <v>284</v>
      </c>
      <c r="C242" s="47">
        <v>16454951</v>
      </c>
      <c r="D242" s="20"/>
      <c r="E242" s="20"/>
    </row>
    <row r="243" spans="1:5" hidden="1" x14ac:dyDescent="0.35">
      <c r="A243" s="20" t="s">
        <v>383</v>
      </c>
      <c r="B243" s="46" t="s">
        <v>284</v>
      </c>
      <c r="C243" s="47">
        <v>2912599</v>
      </c>
      <c r="D243" s="20"/>
      <c r="E243" s="20"/>
    </row>
    <row r="244" spans="1:5" hidden="1" x14ac:dyDescent="0.35">
      <c r="A244" s="20" t="s">
        <v>384</v>
      </c>
      <c r="B244" s="46" t="s">
        <v>284</v>
      </c>
      <c r="C244" s="47">
        <v>3155913</v>
      </c>
      <c r="D244" s="20"/>
      <c r="E244" s="20"/>
    </row>
    <row r="245" spans="1:5" hidden="1" x14ac:dyDescent="0.35">
      <c r="A245" s="20" t="s">
        <v>385</v>
      </c>
      <c r="B245" s="20"/>
      <c r="C245" s="27"/>
      <c r="D245" s="32">
        <f>SUM(C239:C244)</f>
        <v>26838498</v>
      </c>
      <c r="E245" s="20"/>
    </row>
    <row r="246" spans="1:5" hidden="1" x14ac:dyDescent="0.35">
      <c r="A246" s="45" t="s">
        <v>386</v>
      </c>
      <c r="B246" s="45"/>
      <c r="C246" s="45"/>
      <c r="D246" s="45"/>
      <c r="E246" s="45"/>
    </row>
    <row r="247" spans="1:5" hidden="1" x14ac:dyDescent="0.35">
      <c r="A247" s="26" t="s">
        <v>387</v>
      </c>
      <c r="B247" s="46" t="s">
        <v>284</v>
      </c>
      <c r="C247" s="47"/>
      <c r="D247" s="20"/>
      <c r="E247" s="20"/>
    </row>
    <row r="248" spans="1:5" hidden="1" x14ac:dyDescent="0.35">
      <c r="A248" s="26"/>
      <c r="B248" s="46"/>
      <c r="C248" s="27"/>
      <c r="D248" s="20"/>
      <c r="E248" s="20"/>
    </row>
    <row r="249" spans="1:5" hidden="1" x14ac:dyDescent="0.35">
      <c r="A249" s="26" t="s">
        <v>388</v>
      </c>
      <c r="B249" s="46" t="s">
        <v>284</v>
      </c>
      <c r="C249" s="47">
        <v>591536</v>
      </c>
      <c r="D249" s="20"/>
      <c r="E249" s="20"/>
    </row>
    <row r="250" spans="1:5" hidden="1" x14ac:dyDescent="0.35">
      <c r="A250" s="26" t="s">
        <v>389</v>
      </c>
      <c r="B250" s="46" t="s">
        <v>284</v>
      </c>
      <c r="C250" s="47">
        <v>284868</v>
      </c>
      <c r="D250" s="20"/>
      <c r="E250" s="20"/>
    </row>
    <row r="251" spans="1:5" hidden="1" x14ac:dyDescent="0.35">
      <c r="A251" s="20"/>
      <c r="B251" s="20"/>
      <c r="C251" s="27"/>
      <c r="D251" s="20"/>
      <c r="E251" s="20"/>
    </row>
    <row r="252" spans="1:5" hidden="1" x14ac:dyDescent="0.35">
      <c r="A252" s="26" t="s">
        <v>390</v>
      </c>
      <c r="B252" s="20"/>
      <c r="C252" s="27"/>
      <c r="D252" s="32">
        <f>SUM(C249:C251)</f>
        <v>876404</v>
      </c>
      <c r="E252" s="20"/>
    </row>
    <row r="253" spans="1:5" hidden="1" x14ac:dyDescent="0.35">
      <c r="A253" s="45" t="s">
        <v>391</v>
      </c>
      <c r="B253" s="45"/>
      <c r="C253" s="45"/>
      <c r="D253" s="45"/>
      <c r="E253" s="45"/>
    </row>
    <row r="254" spans="1:5" hidden="1" x14ac:dyDescent="0.35">
      <c r="A254" s="20" t="s">
        <v>392</v>
      </c>
      <c r="B254" s="46" t="s">
        <v>284</v>
      </c>
      <c r="C254" s="47">
        <v>14382</v>
      </c>
      <c r="D254" s="20"/>
      <c r="E254" s="20"/>
    </row>
    <row r="255" spans="1:5" hidden="1" x14ac:dyDescent="0.35">
      <c r="A255" s="20" t="s">
        <v>391</v>
      </c>
      <c r="B255" s="46" t="s">
        <v>284</v>
      </c>
      <c r="C255" s="47">
        <v>356945</v>
      </c>
      <c r="D255" s="20"/>
      <c r="E255" s="20"/>
    </row>
    <row r="256" spans="1:5" hidden="1" x14ac:dyDescent="0.35">
      <c r="A256" s="20" t="s">
        <v>393</v>
      </c>
      <c r="B256" s="20"/>
      <c r="C256" s="27"/>
      <c r="D256" s="32">
        <f>SUM(C254:C255)</f>
        <v>371327</v>
      </c>
      <c r="E256" s="20"/>
    </row>
    <row r="257" spans="1:5" hidden="1" x14ac:dyDescent="0.35">
      <c r="A257" s="20"/>
      <c r="B257" s="20"/>
      <c r="C257" s="27"/>
      <c r="D257" s="20"/>
      <c r="E257" s="20"/>
    </row>
    <row r="258" spans="1:5" hidden="1" x14ac:dyDescent="0.35">
      <c r="A258" s="20" t="s">
        <v>394</v>
      </c>
      <c r="B258" s="20"/>
      <c r="C258" s="27"/>
      <c r="D258" s="32">
        <f>D237+D245+D252+D256</f>
        <v>27867413</v>
      </c>
      <c r="E258" s="20"/>
    </row>
    <row r="259" spans="1:5" hidden="1" x14ac:dyDescent="0.35">
      <c r="A259" s="20"/>
      <c r="B259" s="20"/>
      <c r="C259" s="27"/>
      <c r="D259" s="20"/>
      <c r="E259" s="20"/>
    </row>
    <row r="260" spans="1:5" hidden="1" x14ac:dyDescent="0.35">
      <c r="A260" s="20"/>
      <c r="B260" s="20"/>
      <c r="C260" s="27"/>
      <c r="D260" s="20"/>
      <c r="E260" s="20"/>
    </row>
    <row r="261" spans="1:5" hidden="1" x14ac:dyDescent="0.35">
      <c r="A261" s="20"/>
      <c r="B261" s="20"/>
      <c r="C261" s="27"/>
      <c r="D261" s="20"/>
      <c r="E261" s="20"/>
    </row>
    <row r="262" spans="1:5" hidden="1" x14ac:dyDescent="0.35">
      <c r="A262" s="20"/>
      <c r="B262" s="20"/>
      <c r="C262" s="27"/>
      <c r="D262" s="20"/>
      <c r="E262" s="20"/>
    </row>
    <row r="263" spans="1:5" hidden="1" x14ac:dyDescent="0.35">
      <c r="A263" s="20"/>
      <c r="B263" s="20"/>
      <c r="C263" s="27"/>
      <c r="D263" s="20"/>
      <c r="E263" s="20"/>
    </row>
    <row r="264" spans="1:5" hidden="1" x14ac:dyDescent="0.35">
      <c r="A264" s="38" t="s">
        <v>395</v>
      </c>
      <c r="B264" s="38"/>
      <c r="C264" s="38"/>
      <c r="D264" s="38"/>
      <c r="E264" s="38"/>
    </row>
    <row r="265" spans="1:5" hidden="1" x14ac:dyDescent="0.35">
      <c r="A265" s="45" t="s">
        <v>396</v>
      </c>
      <c r="B265" s="45"/>
      <c r="C265" s="45"/>
      <c r="D265" s="45"/>
      <c r="E265" s="45"/>
    </row>
    <row r="266" spans="1:5" hidden="1" x14ac:dyDescent="0.35">
      <c r="A266" s="20" t="s">
        <v>397</v>
      </c>
      <c r="B266" s="46" t="s">
        <v>284</v>
      </c>
      <c r="C266" s="47">
        <v>-262469.09999999998</v>
      </c>
      <c r="D266" s="20"/>
      <c r="E266" s="20"/>
    </row>
    <row r="267" spans="1:5" hidden="1" x14ac:dyDescent="0.35">
      <c r="A267" s="20" t="s">
        <v>398</v>
      </c>
      <c r="B267" s="46" t="s">
        <v>284</v>
      </c>
      <c r="C267" s="47"/>
      <c r="D267" s="20"/>
      <c r="E267" s="20"/>
    </row>
    <row r="268" spans="1:5" hidden="1" x14ac:dyDescent="0.35">
      <c r="A268" s="20" t="s">
        <v>399</v>
      </c>
      <c r="B268" s="46" t="s">
        <v>284</v>
      </c>
      <c r="C268" s="47">
        <v>7760692.1200000001</v>
      </c>
      <c r="D268" s="20"/>
      <c r="E268" s="20"/>
    </row>
    <row r="269" spans="1:5" hidden="1" x14ac:dyDescent="0.35">
      <c r="A269" s="20" t="s">
        <v>400</v>
      </c>
      <c r="B269" s="46" t="s">
        <v>284</v>
      </c>
      <c r="C269" s="47">
        <v>3411471.07</v>
      </c>
      <c r="D269" s="20"/>
      <c r="E269" s="20"/>
    </row>
    <row r="270" spans="1:5" hidden="1" x14ac:dyDescent="0.35">
      <c r="A270" s="20" t="s">
        <v>401</v>
      </c>
      <c r="B270" s="46" t="s">
        <v>284</v>
      </c>
      <c r="C270" s="47"/>
      <c r="D270" s="20"/>
      <c r="E270" s="20"/>
    </row>
    <row r="271" spans="1:5" hidden="1" x14ac:dyDescent="0.35">
      <c r="A271" s="20" t="s">
        <v>402</v>
      </c>
      <c r="B271" s="46" t="s">
        <v>284</v>
      </c>
      <c r="C271" s="47"/>
      <c r="D271" s="20"/>
      <c r="E271" s="20"/>
    </row>
    <row r="272" spans="1:5" hidden="1" x14ac:dyDescent="0.35">
      <c r="A272" s="20" t="s">
        <v>403</v>
      </c>
      <c r="B272" s="46" t="s">
        <v>284</v>
      </c>
      <c r="C272" s="47"/>
      <c r="D272" s="20"/>
      <c r="E272" s="20"/>
    </row>
    <row r="273" spans="1:5" hidden="1" x14ac:dyDescent="0.35">
      <c r="A273" s="20" t="s">
        <v>404</v>
      </c>
      <c r="B273" s="46" t="s">
        <v>284</v>
      </c>
      <c r="C273" s="47">
        <v>101317.4</v>
      </c>
      <c r="D273" s="20"/>
      <c r="E273" s="20"/>
    </row>
    <row r="274" spans="1:5" hidden="1" x14ac:dyDescent="0.35">
      <c r="A274" s="20" t="s">
        <v>405</v>
      </c>
      <c r="B274" s="46" t="s">
        <v>284</v>
      </c>
      <c r="C274" s="47">
        <v>146685.29999999999</v>
      </c>
      <c r="D274" s="20"/>
      <c r="E274" s="20"/>
    </row>
    <row r="275" spans="1:5" hidden="1" x14ac:dyDescent="0.35">
      <c r="A275" s="20" t="s">
        <v>406</v>
      </c>
      <c r="B275" s="46" t="s">
        <v>284</v>
      </c>
      <c r="C275" s="47"/>
      <c r="D275" s="20"/>
      <c r="E275" s="20"/>
    </row>
    <row r="276" spans="1:5" hidden="1" x14ac:dyDescent="0.35">
      <c r="A276" s="20" t="s">
        <v>407</v>
      </c>
      <c r="B276" s="20"/>
      <c r="C276" s="27"/>
      <c r="D276" s="32">
        <f>SUM(C266:C268)-C269+SUM(C270:C275)</f>
        <v>4334754.6500000004</v>
      </c>
      <c r="E276" s="20"/>
    </row>
    <row r="277" spans="1:5" hidden="1" x14ac:dyDescent="0.35">
      <c r="A277" s="45" t="s">
        <v>408</v>
      </c>
      <c r="B277" s="45"/>
      <c r="C277" s="45"/>
      <c r="D277" s="45"/>
      <c r="E277" s="45"/>
    </row>
    <row r="278" spans="1:5" hidden="1" x14ac:dyDescent="0.35">
      <c r="A278" s="20" t="s">
        <v>397</v>
      </c>
      <c r="B278" s="46" t="s">
        <v>284</v>
      </c>
      <c r="C278" s="47"/>
      <c r="D278" s="20"/>
      <c r="E278" s="20"/>
    </row>
    <row r="279" spans="1:5" hidden="1" x14ac:dyDescent="0.35">
      <c r="A279" s="20" t="s">
        <v>398</v>
      </c>
      <c r="B279" s="46" t="s">
        <v>284</v>
      </c>
      <c r="C279" s="47"/>
      <c r="D279" s="20"/>
      <c r="E279" s="20"/>
    </row>
    <row r="280" spans="1:5" hidden="1" x14ac:dyDescent="0.35">
      <c r="A280" s="20" t="s">
        <v>409</v>
      </c>
      <c r="B280" s="46" t="s">
        <v>284</v>
      </c>
      <c r="C280" s="47"/>
      <c r="D280" s="20"/>
      <c r="E280" s="20"/>
    </row>
    <row r="281" spans="1:5" hidden="1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hidden="1" x14ac:dyDescent="0.35">
      <c r="A282" s="45" t="s">
        <v>411</v>
      </c>
      <c r="B282" s="45"/>
      <c r="C282" s="45"/>
      <c r="D282" s="45"/>
      <c r="E282" s="45"/>
    </row>
    <row r="283" spans="1:5" hidden="1" x14ac:dyDescent="0.35">
      <c r="A283" s="20" t="s">
        <v>366</v>
      </c>
      <c r="B283" s="46" t="s">
        <v>284</v>
      </c>
      <c r="C283" s="47">
        <v>4759216.5199999996</v>
      </c>
      <c r="D283" s="20"/>
      <c r="E283" s="20"/>
    </row>
    <row r="284" spans="1:5" hidden="1" x14ac:dyDescent="0.35">
      <c r="A284" s="20" t="s">
        <v>367</v>
      </c>
      <c r="B284" s="46" t="s">
        <v>284</v>
      </c>
      <c r="C284" s="47">
        <v>1154035.92</v>
      </c>
      <c r="D284" s="20"/>
      <c r="E284" s="20"/>
    </row>
    <row r="285" spans="1:5" hidden="1" x14ac:dyDescent="0.35">
      <c r="A285" s="20" t="s">
        <v>368</v>
      </c>
      <c r="B285" s="46" t="s">
        <v>284</v>
      </c>
      <c r="C285" s="47">
        <v>34587062.380000003</v>
      </c>
      <c r="D285" s="20"/>
      <c r="E285" s="20"/>
    </row>
    <row r="286" spans="1:5" hidden="1" x14ac:dyDescent="0.35">
      <c r="A286" s="20" t="s">
        <v>412</v>
      </c>
      <c r="B286" s="46" t="s">
        <v>284</v>
      </c>
      <c r="C286" s="47"/>
      <c r="D286" s="20"/>
      <c r="E286" s="20"/>
    </row>
    <row r="287" spans="1:5" hidden="1" x14ac:dyDescent="0.35">
      <c r="A287" s="20" t="s">
        <v>413</v>
      </c>
      <c r="B287" s="46" t="s">
        <v>284</v>
      </c>
      <c r="C287" s="47"/>
      <c r="D287" s="20"/>
      <c r="E287" s="20"/>
    </row>
    <row r="288" spans="1:5" hidden="1" x14ac:dyDescent="0.35">
      <c r="A288" s="20" t="s">
        <v>414</v>
      </c>
      <c r="B288" s="46" t="s">
        <v>284</v>
      </c>
      <c r="C288" s="47">
        <v>2260479.14</v>
      </c>
      <c r="D288" s="20"/>
      <c r="E288" s="20"/>
    </row>
    <row r="289" spans="1:5" hidden="1" x14ac:dyDescent="0.35">
      <c r="A289" s="20" t="s">
        <v>373</v>
      </c>
      <c r="B289" s="46" t="s">
        <v>284</v>
      </c>
      <c r="C289" s="47"/>
      <c r="D289" s="20"/>
      <c r="E289" s="20"/>
    </row>
    <row r="290" spans="1:5" hidden="1" x14ac:dyDescent="0.35">
      <c r="A290" s="20" t="s">
        <v>374</v>
      </c>
      <c r="B290" s="46" t="s">
        <v>284</v>
      </c>
      <c r="C290" s="47">
        <v>26225.62</v>
      </c>
      <c r="D290" s="20"/>
      <c r="E290" s="20"/>
    </row>
    <row r="291" spans="1:5" hidden="1" x14ac:dyDescent="0.35">
      <c r="A291" s="20" t="s">
        <v>415</v>
      </c>
      <c r="B291" s="20"/>
      <c r="C291" s="27"/>
      <c r="D291" s="32">
        <f>SUM(C283:C290)</f>
        <v>42787019.579999998</v>
      </c>
      <c r="E291" s="20"/>
    </row>
    <row r="292" spans="1:5" hidden="1" x14ac:dyDescent="0.35">
      <c r="A292" s="20" t="s">
        <v>416</v>
      </c>
      <c r="B292" s="46" t="s">
        <v>284</v>
      </c>
      <c r="C292" s="47">
        <v>9373454.5700000003</v>
      </c>
      <c r="D292" s="20"/>
      <c r="E292" s="20"/>
    </row>
    <row r="293" spans="1:5" hidden="1" x14ac:dyDescent="0.35">
      <c r="A293" s="20" t="s">
        <v>417</v>
      </c>
      <c r="B293" s="20"/>
      <c r="C293" s="27"/>
      <c r="D293" s="32">
        <f>D291-C292</f>
        <v>33413565.009999998</v>
      </c>
      <c r="E293" s="20"/>
    </row>
    <row r="294" spans="1:5" hidden="1" x14ac:dyDescent="0.35">
      <c r="A294" s="45" t="s">
        <v>418</v>
      </c>
      <c r="B294" s="45"/>
      <c r="C294" s="45"/>
      <c r="D294" s="45"/>
      <c r="E294" s="45"/>
    </row>
    <row r="295" spans="1:5" hidden="1" x14ac:dyDescent="0.35">
      <c r="A295" s="20" t="s">
        <v>419</v>
      </c>
      <c r="B295" s="46" t="s">
        <v>284</v>
      </c>
      <c r="C295" s="47"/>
      <c r="D295" s="20"/>
      <c r="E295" s="20"/>
    </row>
    <row r="296" spans="1:5" hidden="1" x14ac:dyDescent="0.35">
      <c r="A296" s="20" t="s">
        <v>420</v>
      </c>
      <c r="B296" s="46" t="s">
        <v>284</v>
      </c>
      <c r="C296" s="47"/>
      <c r="D296" s="20"/>
      <c r="E296" s="20"/>
    </row>
    <row r="297" spans="1:5" hidden="1" x14ac:dyDescent="0.35">
      <c r="A297" s="20" t="s">
        <v>421</v>
      </c>
      <c r="B297" s="46" t="s">
        <v>284</v>
      </c>
      <c r="C297" s="47"/>
      <c r="D297" s="20"/>
      <c r="E297" s="20"/>
    </row>
    <row r="298" spans="1:5" hidden="1" x14ac:dyDescent="0.35">
      <c r="A298" s="20" t="s">
        <v>409</v>
      </c>
      <c r="B298" s="46" t="s">
        <v>284</v>
      </c>
      <c r="C298" s="47">
        <v>12109.08</v>
      </c>
      <c r="D298" s="20"/>
      <c r="E298" s="20"/>
    </row>
    <row r="299" spans="1:5" hidden="1" x14ac:dyDescent="0.35">
      <c r="A299" s="20" t="s">
        <v>422</v>
      </c>
      <c r="B299" s="20"/>
      <c r="C299" s="27"/>
      <c r="D299" s="32">
        <f>C295-C296+C297+C298</f>
        <v>12109.08</v>
      </c>
      <c r="E299" s="20"/>
    </row>
    <row r="300" spans="1:5" hidden="1" x14ac:dyDescent="0.35">
      <c r="A300" s="20"/>
      <c r="B300" s="20"/>
      <c r="C300" s="27"/>
      <c r="D300" s="20"/>
      <c r="E300" s="20"/>
    </row>
    <row r="301" spans="1:5" hidden="1" x14ac:dyDescent="0.35">
      <c r="A301" s="45" t="s">
        <v>423</v>
      </c>
      <c r="B301" s="45"/>
      <c r="C301" s="45"/>
      <c r="D301" s="45"/>
      <c r="E301" s="45"/>
    </row>
    <row r="302" spans="1:5" hidden="1" x14ac:dyDescent="0.35">
      <c r="A302" s="20" t="s">
        <v>424</v>
      </c>
      <c r="B302" s="46" t="s">
        <v>284</v>
      </c>
      <c r="C302" s="47"/>
      <c r="D302" s="20"/>
      <c r="E302" s="20"/>
    </row>
    <row r="303" spans="1:5" hidden="1" x14ac:dyDescent="0.35">
      <c r="A303" s="20" t="s">
        <v>425</v>
      </c>
      <c r="B303" s="46" t="s">
        <v>284</v>
      </c>
      <c r="C303" s="47"/>
      <c r="D303" s="20"/>
      <c r="E303" s="20"/>
    </row>
    <row r="304" spans="1:5" hidden="1" x14ac:dyDescent="0.35">
      <c r="A304" s="20" t="s">
        <v>426</v>
      </c>
      <c r="B304" s="46" t="s">
        <v>284</v>
      </c>
      <c r="C304" s="47"/>
      <c r="D304" s="20"/>
      <c r="E304" s="20"/>
    </row>
    <row r="305" spans="1:5" hidden="1" x14ac:dyDescent="0.35">
      <c r="A305" s="20" t="s">
        <v>427</v>
      </c>
      <c r="B305" s="46" t="s">
        <v>284</v>
      </c>
      <c r="C305" s="47"/>
      <c r="D305" s="20"/>
      <c r="E305" s="20"/>
    </row>
    <row r="306" spans="1:5" hidden="1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hidden="1" x14ac:dyDescent="0.35">
      <c r="A307" s="20"/>
      <c r="B307" s="20"/>
      <c r="C307" s="27"/>
      <c r="D307" s="20"/>
      <c r="E307" s="20"/>
    </row>
    <row r="308" spans="1:5" hidden="1" x14ac:dyDescent="0.35">
      <c r="A308" s="20" t="s">
        <v>429</v>
      </c>
      <c r="B308" s="20"/>
      <c r="C308" s="27"/>
      <c r="D308" s="32">
        <f>D276+D281+D293+D299+D306</f>
        <v>37760428.739999995</v>
      </c>
      <c r="E308" s="20"/>
    </row>
    <row r="309" spans="1:5" hidden="1" x14ac:dyDescent="0.35">
      <c r="A309" s="20"/>
      <c r="B309" s="20"/>
      <c r="C309" s="27"/>
      <c r="D309" s="20"/>
      <c r="E309" s="20"/>
    </row>
    <row r="310" spans="1:5" hidden="1" x14ac:dyDescent="0.35">
      <c r="A310" s="20"/>
      <c r="B310" s="20"/>
      <c r="C310" s="27"/>
      <c r="D310" s="20"/>
      <c r="E310" s="20"/>
    </row>
    <row r="311" spans="1:5" hidden="1" x14ac:dyDescent="0.35">
      <c r="A311" s="20"/>
      <c r="B311" s="20"/>
      <c r="C311" s="27"/>
      <c r="D311" s="20"/>
      <c r="E311" s="20"/>
    </row>
    <row r="312" spans="1:5" hidden="1" x14ac:dyDescent="0.35">
      <c r="A312" s="38" t="s">
        <v>430</v>
      </c>
      <c r="B312" s="38"/>
      <c r="C312" s="38"/>
      <c r="D312" s="38"/>
      <c r="E312" s="38"/>
    </row>
    <row r="313" spans="1:5" hidden="1" x14ac:dyDescent="0.35">
      <c r="A313" s="45" t="s">
        <v>431</v>
      </c>
      <c r="B313" s="45"/>
      <c r="C313" s="45"/>
      <c r="D313" s="45"/>
      <c r="E313" s="45"/>
    </row>
    <row r="314" spans="1:5" hidden="1" x14ac:dyDescent="0.35">
      <c r="A314" s="20" t="s">
        <v>432</v>
      </c>
      <c r="B314" s="46" t="s">
        <v>284</v>
      </c>
      <c r="C314" s="47"/>
      <c r="D314" s="20"/>
      <c r="E314" s="20"/>
    </row>
    <row r="315" spans="1:5" hidden="1" x14ac:dyDescent="0.35">
      <c r="A315" s="20" t="s">
        <v>433</v>
      </c>
      <c r="B315" s="46" t="s">
        <v>284</v>
      </c>
      <c r="C315" s="47">
        <v>386974.9</v>
      </c>
      <c r="D315" s="20"/>
      <c r="E315" s="20"/>
    </row>
    <row r="316" spans="1:5" hidden="1" x14ac:dyDescent="0.35">
      <c r="A316" s="20" t="s">
        <v>434</v>
      </c>
      <c r="B316" s="46" t="s">
        <v>284</v>
      </c>
      <c r="C316" s="47">
        <v>1166902.78</v>
      </c>
      <c r="D316" s="20"/>
      <c r="E316" s="20"/>
    </row>
    <row r="317" spans="1:5" hidden="1" x14ac:dyDescent="0.35">
      <c r="A317" s="20" t="s">
        <v>435</v>
      </c>
      <c r="B317" s="46" t="s">
        <v>284</v>
      </c>
      <c r="C317" s="47">
        <v>31494590.379999999</v>
      </c>
      <c r="D317" s="20"/>
      <c r="E317" s="20"/>
    </row>
    <row r="318" spans="1:5" hidden="1" x14ac:dyDescent="0.35">
      <c r="A318" s="20" t="s">
        <v>436</v>
      </c>
      <c r="B318" s="46" t="s">
        <v>284</v>
      </c>
      <c r="C318" s="47"/>
      <c r="D318" s="20"/>
      <c r="E318" s="20"/>
    </row>
    <row r="319" spans="1:5" hidden="1" x14ac:dyDescent="0.35">
      <c r="A319" s="20" t="s">
        <v>437</v>
      </c>
      <c r="B319" s="46" t="s">
        <v>284</v>
      </c>
      <c r="C319" s="47"/>
      <c r="D319" s="20"/>
      <c r="E319" s="20"/>
    </row>
    <row r="320" spans="1:5" hidden="1" x14ac:dyDescent="0.35">
      <c r="A320" s="20" t="s">
        <v>438</v>
      </c>
      <c r="B320" s="46" t="s">
        <v>284</v>
      </c>
      <c r="C320" s="47"/>
      <c r="D320" s="20"/>
      <c r="E320" s="20"/>
    </row>
    <row r="321" spans="1:5" hidden="1" x14ac:dyDescent="0.35">
      <c r="A321" s="20" t="s">
        <v>439</v>
      </c>
      <c r="B321" s="46" t="s">
        <v>284</v>
      </c>
      <c r="C321" s="47"/>
      <c r="D321" s="20"/>
      <c r="E321" s="20"/>
    </row>
    <row r="322" spans="1:5" hidden="1" x14ac:dyDescent="0.35">
      <c r="A322" s="20" t="s">
        <v>440</v>
      </c>
      <c r="B322" s="46" t="s">
        <v>284</v>
      </c>
      <c r="C322" s="47"/>
      <c r="D322" s="20"/>
      <c r="E322" s="20"/>
    </row>
    <row r="323" spans="1:5" hidden="1" x14ac:dyDescent="0.35">
      <c r="A323" s="20" t="s">
        <v>441</v>
      </c>
      <c r="B323" s="46" t="s">
        <v>284</v>
      </c>
      <c r="C323" s="47"/>
      <c r="D323" s="20"/>
      <c r="E323" s="20"/>
    </row>
    <row r="324" spans="1:5" hidden="1" x14ac:dyDescent="0.35">
      <c r="A324" s="20" t="s">
        <v>442</v>
      </c>
      <c r="B324" s="20"/>
      <c r="C324" s="27"/>
      <c r="D324" s="32">
        <f>SUM(C314:C323)</f>
        <v>33048468.059999999</v>
      </c>
      <c r="E324" s="20"/>
    </row>
    <row r="325" spans="1:5" hidden="1" x14ac:dyDescent="0.35">
      <c r="A325" s="45" t="s">
        <v>443</v>
      </c>
      <c r="B325" s="45"/>
      <c r="C325" s="45"/>
      <c r="D325" s="45"/>
      <c r="E325" s="45"/>
    </row>
    <row r="326" spans="1:5" hidden="1" x14ac:dyDescent="0.35">
      <c r="A326" s="20" t="s">
        <v>444</v>
      </c>
      <c r="B326" s="46" t="s">
        <v>284</v>
      </c>
      <c r="C326" s="47"/>
      <c r="D326" s="20"/>
      <c r="E326" s="20"/>
    </row>
    <row r="327" spans="1:5" hidden="1" x14ac:dyDescent="0.35">
      <c r="A327" s="20" t="s">
        <v>445</v>
      </c>
      <c r="B327" s="46" t="s">
        <v>284</v>
      </c>
      <c r="C327" s="47"/>
      <c r="D327" s="20"/>
      <c r="E327" s="20"/>
    </row>
    <row r="328" spans="1:5" hidden="1" x14ac:dyDescent="0.35">
      <c r="A328" s="20" t="s">
        <v>446</v>
      </c>
      <c r="B328" s="46" t="s">
        <v>284</v>
      </c>
      <c r="C328" s="47"/>
      <c r="D328" s="20"/>
      <c r="E328" s="20"/>
    </row>
    <row r="329" spans="1:5" hidden="1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hidden="1" x14ac:dyDescent="0.35">
      <c r="A330" s="45" t="s">
        <v>448</v>
      </c>
      <c r="B330" s="45"/>
      <c r="C330" s="45"/>
      <c r="D330" s="45"/>
      <c r="E330" s="45"/>
    </row>
    <row r="331" spans="1:5" hidden="1" x14ac:dyDescent="0.35">
      <c r="A331" s="20" t="s">
        <v>449</v>
      </c>
      <c r="B331" s="46" t="s">
        <v>284</v>
      </c>
      <c r="C331" s="47"/>
      <c r="D331" s="20"/>
      <c r="E331" s="20"/>
    </row>
    <row r="332" spans="1:5" hidden="1" x14ac:dyDescent="0.35">
      <c r="A332" s="20" t="s">
        <v>450</v>
      </c>
      <c r="B332" s="46" t="s">
        <v>284</v>
      </c>
      <c r="C332" s="47"/>
      <c r="D332" s="20"/>
      <c r="E332" s="20"/>
    </row>
    <row r="333" spans="1:5" hidden="1" x14ac:dyDescent="0.35">
      <c r="A333" s="20" t="s">
        <v>451</v>
      </c>
      <c r="B333" s="46" t="s">
        <v>284</v>
      </c>
      <c r="C333" s="47"/>
      <c r="D333" s="20"/>
      <c r="E333" s="20"/>
    </row>
    <row r="334" spans="1:5" hidden="1" x14ac:dyDescent="0.35">
      <c r="A334" s="26" t="s">
        <v>452</v>
      </c>
      <c r="B334" s="46" t="s">
        <v>284</v>
      </c>
      <c r="C334" s="47"/>
      <c r="D334" s="20"/>
      <c r="E334" s="20"/>
    </row>
    <row r="335" spans="1:5" hidden="1" x14ac:dyDescent="0.35">
      <c r="A335" s="20" t="s">
        <v>453</v>
      </c>
      <c r="B335" s="46" t="s">
        <v>284</v>
      </c>
      <c r="C335" s="47"/>
      <c r="D335" s="20"/>
      <c r="E335" s="20"/>
    </row>
    <row r="336" spans="1:5" hidden="1" x14ac:dyDescent="0.35">
      <c r="A336" s="26" t="s">
        <v>454</v>
      </c>
      <c r="B336" s="46" t="s">
        <v>284</v>
      </c>
      <c r="C336" s="47"/>
      <c r="D336" s="20"/>
      <c r="E336" s="20"/>
    </row>
    <row r="337" spans="1:5" hidden="1" x14ac:dyDescent="0.35">
      <c r="A337" s="26" t="s">
        <v>455</v>
      </c>
      <c r="B337" s="46" t="s">
        <v>284</v>
      </c>
      <c r="C337" s="271"/>
      <c r="D337" s="20"/>
      <c r="E337" s="20"/>
    </row>
    <row r="338" spans="1:5" hidden="1" x14ac:dyDescent="0.35">
      <c r="A338" s="20" t="s">
        <v>456</v>
      </c>
      <c r="B338" s="46" t="s">
        <v>284</v>
      </c>
      <c r="C338" s="47">
        <v>7826723.0999999996</v>
      </c>
      <c r="D338" s="20"/>
      <c r="E338" s="20"/>
    </row>
    <row r="339" spans="1:5" hidden="1" x14ac:dyDescent="0.35">
      <c r="A339" s="20" t="s">
        <v>215</v>
      </c>
      <c r="B339" s="20"/>
      <c r="C339" s="27"/>
      <c r="D339" s="32">
        <f>SUM(C331:C338)</f>
        <v>7826723.0999999996</v>
      </c>
      <c r="E339" s="20"/>
    </row>
    <row r="340" spans="1:5" hidden="1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hidden="1" x14ac:dyDescent="0.35">
      <c r="A341" s="20" t="s">
        <v>458</v>
      </c>
      <c r="B341" s="20"/>
      <c r="C341" s="27"/>
      <c r="D341" s="32">
        <f>D339-D340</f>
        <v>7826723.0999999996</v>
      </c>
      <c r="E341" s="20"/>
    </row>
    <row r="342" spans="1:5" hidden="1" x14ac:dyDescent="0.35">
      <c r="A342" s="20"/>
      <c r="B342" s="20"/>
      <c r="C342" s="27"/>
      <c r="D342" s="20"/>
      <c r="E342" s="20"/>
    </row>
    <row r="343" spans="1:5" hidden="1" x14ac:dyDescent="0.35">
      <c r="A343" s="20" t="s">
        <v>459</v>
      </c>
      <c r="B343" s="46" t="s">
        <v>284</v>
      </c>
      <c r="C343" s="326"/>
      <c r="D343" s="20"/>
      <c r="E343" s="20"/>
    </row>
    <row r="344" spans="1:5" hidden="1" x14ac:dyDescent="0.35">
      <c r="A344" s="20"/>
      <c r="B344" s="46"/>
      <c r="C344" s="57"/>
      <c r="D344" s="20"/>
      <c r="E344" s="20"/>
    </row>
    <row r="345" spans="1:5" hidden="1" x14ac:dyDescent="0.35">
      <c r="A345" s="20" t="s">
        <v>460</v>
      </c>
      <c r="B345" s="46" t="s">
        <v>284</v>
      </c>
      <c r="C345" s="234"/>
      <c r="D345" s="20"/>
      <c r="E345" s="20"/>
    </row>
    <row r="346" spans="1:5" hidden="1" x14ac:dyDescent="0.35">
      <c r="A346" s="20" t="s">
        <v>461</v>
      </c>
      <c r="B346" s="46" t="s">
        <v>284</v>
      </c>
      <c r="C346" s="234"/>
      <c r="D346" s="20"/>
      <c r="E346" s="20"/>
    </row>
    <row r="347" spans="1:5" hidden="1" x14ac:dyDescent="0.35">
      <c r="A347" s="20" t="s">
        <v>462</v>
      </c>
      <c r="B347" s="46" t="s">
        <v>284</v>
      </c>
      <c r="C347" s="234"/>
      <c r="D347" s="20"/>
      <c r="E347" s="20"/>
    </row>
    <row r="348" spans="1:5" hidden="1" x14ac:dyDescent="0.35">
      <c r="A348" s="20" t="s">
        <v>463</v>
      </c>
      <c r="B348" s="46" t="s">
        <v>284</v>
      </c>
      <c r="C348" s="234">
        <v>-3114762.42</v>
      </c>
      <c r="D348" s="20"/>
      <c r="E348" s="20"/>
    </row>
    <row r="349" spans="1:5" hidden="1" x14ac:dyDescent="0.35">
      <c r="A349" s="20" t="s">
        <v>464</v>
      </c>
      <c r="B349" s="46" t="s">
        <v>284</v>
      </c>
      <c r="C349" s="234"/>
      <c r="D349" s="20"/>
      <c r="E349" s="20"/>
    </row>
    <row r="350" spans="1:5" hidden="1" x14ac:dyDescent="0.35">
      <c r="A350" s="20" t="s">
        <v>465</v>
      </c>
      <c r="B350" s="20"/>
      <c r="C350" s="27"/>
      <c r="D350" s="32">
        <f>D324+D329+D341+C343+C347+C348</f>
        <v>37760428.739999995</v>
      </c>
      <c r="E350" s="20"/>
    </row>
    <row r="351" spans="1:5" hidden="1" x14ac:dyDescent="0.35">
      <c r="A351" s="20"/>
      <c r="B351" s="20"/>
      <c r="C351" s="27"/>
      <c r="D351" s="20"/>
      <c r="E351" s="20"/>
    </row>
    <row r="352" spans="1:5" hidden="1" x14ac:dyDescent="0.35">
      <c r="A352" s="20" t="s">
        <v>466</v>
      </c>
      <c r="B352" s="20"/>
      <c r="C352" s="27"/>
      <c r="D352" s="32">
        <f>D308</f>
        <v>37760428.739999995</v>
      </c>
      <c r="E352" s="20"/>
    </row>
    <row r="353" spans="1:5" hidden="1" x14ac:dyDescent="0.35">
      <c r="A353" s="20"/>
      <c r="B353" s="20"/>
      <c r="C353" s="27"/>
      <c r="D353" s="20"/>
      <c r="E353" s="20"/>
    </row>
    <row r="354" spans="1:5" hidden="1" x14ac:dyDescent="0.35">
      <c r="A354" s="20"/>
      <c r="B354" s="20"/>
      <c r="C354" s="27"/>
      <c r="D354" s="20"/>
      <c r="E354" s="20"/>
    </row>
    <row r="355" spans="1:5" hidden="1" x14ac:dyDescent="0.35">
      <c r="A355" s="20"/>
      <c r="B355" s="20"/>
      <c r="C355" s="27"/>
      <c r="D355" s="20"/>
      <c r="E355" s="20"/>
    </row>
    <row r="356" spans="1:5" hidden="1" x14ac:dyDescent="0.35">
      <c r="A356" s="38" t="s">
        <v>467</v>
      </c>
      <c r="B356" s="38"/>
      <c r="C356" s="38"/>
      <c r="D356" s="38"/>
      <c r="E356" s="38"/>
    </row>
    <row r="357" spans="1:5" hidden="1" x14ac:dyDescent="0.35">
      <c r="A357" s="45" t="s">
        <v>468</v>
      </c>
      <c r="B357" s="45"/>
      <c r="C357" s="45"/>
      <c r="D357" s="45"/>
      <c r="E357" s="45"/>
    </row>
    <row r="358" spans="1:5" hidden="1" x14ac:dyDescent="0.35">
      <c r="A358" s="20" t="s">
        <v>469</v>
      </c>
      <c r="B358" s="46" t="s">
        <v>284</v>
      </c>
      <c r="C358" s="234">
        <f>49108523+39728.49</f>
        <v>49148251.490000002</v>
      </c>
      <c r="D358" s="20"/>
      <c r="E358" s="20"/>
    </row>
    <row r="359" spans="1:5" hidden="1" x14ac:dyDescent="0.35">
      <c r="A359" s="20" t="s">
        <v>470</v>
      </c>
      <c r="B359" s="46" t="s">
        <v>284</v>
      </c>
      <c r="C359" s="234">
        <v>3760950</v>
      </c>
      <c r="D359" s="20"/>
      <c r="E359" s="20"/>
    </row>
    <row r="360" spans="1:5" hidden="1" x14ac:dyDescent="0.35">
      <c r="A360" s="20" t="s">
        <v>471</v>
      </c>
      <c r="B360" s="20"/>
      <c r="C360" s="27"/>
      <c r="D360" s="32">
        <f>SUM(C358:C359)</f>
        <v>52909201.490000002</v>
      </c>
      <c r="E360" s="20"/>
    </row>
    <row r="361" spans="1:5" hidden="1" x14ac:dyDescent="0.35">
      <c r="A361" s="45" t="s">
        <v>472</v>
      </c>
      <c r="B361" s="45"/>
      <c r="C361" s="45"/>
      <c r="D361" s="45"/>
      <c r="E361" s="45"/>
    </row>
    <row r="362" spans="1:5" hidden="1" x14ac:dyDescent="0.35">
      <c r="A362" s="20" t="s">
        <v>377</v>
      </c>
      <c r="B362" s="45"/>
      <c r="C362" s="47">
        <v>-218815.64</v>
      </c>
      <c r="D362" s="20"/>
      <c r="E362" s="45"/>
    </row>
    <row r="363" spans="1:5" hidden="1" x14ac:dyDescent="0.35">
      <c r="A363" s="20" t="s">
        <v>473</v>
      </c>
      <c r="B363" s="46" t="s">
        <v>284</v>
      </c>
      <c r="C363" s="47">
        <f>28084804.23-C364</f>
        <v>23681159.949999999</v>
      </c>
      <c r="D363" s="20"/>
      <c r="E363" s="20"/>
    </row>
    <row r="364" spans="1:5" hidden="1" x14ac:dyDescent="0.35">
      <c r="A364" s="20" t="s">
        <v>474</v>
      </c>
      <c r="B364" s="46" t="s">
        <v>284</v>
      </c>
      <c r="C364" s="47">
        <v>4403644.28</v>
      </c>
      <c r="D364" s="20"/>
      <c r="E364" s="20"/>
    </row>
    <row r="365" spans="1:5" hidden="1" x14ac:dyDescent="0.35">
      <c r="A365" s="20" t="s">
        <v>475</v>
      </c>
      <c r="B365" s="46" t="s">
        <v>284</v>
      </c>
      <c r="C365" s="47"/>
      <c r="D365" s="20"/>
      <c r="E365" s="20"/>
    </row>
    <row r="366" spans="1:5" hidden="1" x14ac:dyDescent="0.35">
      <c r="A366" s="20" t="s">
        <v>394</v>
      </c>
      <c r="B366" s="20"/>
      <c r="C366" s="27"/>
      <c r="D366" s="32">
        <f>SUM(C362:C365)</f>
        <v>27865988.59</v>
      </c>
      <c r="E366" s="20"/>
    </row>
    <row r="367" spans="1:5" hidden="1" x14ac:dyDescent="0.35">
      <c r="A367" s="20" t="s">
        <v>476</v>
      </c>
      <c r="B367" s="20"/>
      <c r="C367" s="27"/>
      <c r="D367" s="266">
        <f>D360-D366</f>
        <v>25043212.900000002</v>
      </c>
      <c r="E367" s="20"/>
    </row>
    <row r="368" spans="1:5" hidden="1" x14ac:dyDescent="0.35">
      <c r="A368" s="58" t="s">
        <v>477</v>
      </c>
      <c r="B368" s="45"/>
      <c r="C368" s="45"/>
      <c r="D368" s="45"/>
      <c r="E368" s="45"/>
    </row>
    <row r="369" spans="1:6" hidden="1" x14ac:dyDescent="0.35">
      <c r="A369" s="32" t="s">
        <v>478</v>
      </c>
      <c r="B369" s="20"/>
      <c r="C369" s="20"/>
      <c r="D369" s="20"/>
      <c r="E369" s="20"/>
    </row>
    <row r="370" spans="1:6" hidden="1" x14ac:dyDescent="0.35">
      <c r="A370" s="59" t="s">
        <v>479</v>
      </c>
      <c r="B370" s="40" t="s">
        <v>284</v>
      </c>
      <c r="C370" s="272"/>
      <c r="D370" s="32"/>
      <c r="E370" s="32"/>
    </row>
    <row r="371" spans="1:6" hidden="1" x14ac:dyDescent="0.35">
      <c r="A371" s="59" t="s">
        <v>480</v>
      </c>
      <c r="B371" s="40" t="s">
        <v>284</v>
      </c>
      <c r="C371" s="272"/>
      <c r="D371" s="32"/>
      <c r="E371" s="32"/>
    </row>
    <row r="372" spans="1:6" hidden="1" x14ac:dyDescent="0.35">
      <c r="A372" s="59" t="s">
        <v>481</v>
      </c>
      <c r="B372" s="40" t="s">
        <v>284</v>
      </c>
      <c r="C372" s="272"/>
      <c r="D372" s="32"/>
      <c r="E372" s="32"/>
    </row>
    <row r="373" spans="1:6" hidden="1" x14ac:dyDescent="0.35">
      <c r="A373" s="59" t="s">
        <v>482</v>
      </c>
      <c r="B373" s="40" t="s">
        <v>284</v>
      </c>
      <c r="C373" s="272"/>
      <c r="D373" s="32"/>
      <c r="E373" s="32"/>
    </row>
    <row r="374" spans="1:6" hidden="1" x14ac:dyDescent="0.35">
      <c r="A374" s="59" t="s">
        <v>483</v>
      </c>
      <c r="B374" s="40" t="s">
        <v>284</v>
      </c>
      <c r="C374" s="272"/>
      <c r="D374" s="32"/>
      <c r="E374" s="32"/>
    </row>
    <row r="375" spans="1:6" hidden="1" x14ac:dyDescent="0.35">
      <c r="A375" s="59" t="s">
        <v>484</v>
      </c>
      <c r="B375" s="40" t="s">
        <v>284</v>
      </c>
      <c r="C375" s="272"/>
      <c r="D375" s="32"/>
      <c r="E375" s="32"/>
    </row>
    <row r="376" spans="1:6" hidden="1" x14ac:dyDescent="0.35">
      <c r="A376" s="59" t="s">
        <v>485</v>
      </c>
      <c r="B376" s="40" t="s">
        <v>284</v>
      </c>
      <c r="C376" s="272"/>
      <c r="D376" s="32"/>
      <c r="E376" s="32"/>
    </row>
    <row r="377" spans="1:6" hidden="1" x14ac:dyDescent="0.35">
      <c r="A377" s="59" t="s">
        <v>486</v>
      </c>
      <c r="B377" s="40" t="s">
        <v>284</v>
      </c>
      <c r="C377" s="272"/>
      <c r="D377" s="32"/>
      <c r="E377" s="32"/>
    </row>
    <row r="378" spans="1:6" hidden="1" x14ac:dyDescent="0.35">
      <c r="A378" s="59" t="s">
        <v>487</v>
      </c>
      <c r="B378" s="40" t="s">
        <v>284</v>
      </c>
      <c r="C378" s="272"/>
      <c r="D378" s="32"/>
      <c r="E378" s="32"/>
    </row>
    <row r="379" spans="1:6" hidden="1" x14ac:dyDescent="0.35">
      <c r="A379" s="59" t="s">
        <v>488</v>
      </c>
      <c r="B379" s="40" t="s">
        <v>284</v>
      </c>
      <c r="C379" s="272"/>
      <c r="D379" s="32"/>
      <c r="E379" s="32"/>
    </row>
    <row r="380" spans="1:6" hidden="1" x14ac:dyDescent="0.35">
      <c r="A380" s="59" t="s">
        <v>489</v>
      </c>
      <c r="B380" s="40" t="s">
        <v>284</v>
      </c>
      <c r="C380" s="236"/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hidden="1" x14ac:dyDescent="0.35">
      <c r="A381" s="61" t="s">
        <v>490</v>
      </c>
      <c r="B381" s="46"/>
      <c r="C381" s="46"/>
      <c r="D381" s="32">
        <f>SUM(C370:C380)</f>
        <v>0</v>
      </c>
      <c r="E381" s="32"/>
      <c r="F381" s="60"/>
    </row>
    <row r="382" spans="1:6" hidden="1" x14ac:dyDescent="0.35">
      <c r="A382" s="56" t="s">
        <v>491</v>
      </c>
      <c r="B382" s="46" t="s">
        <v>284</v>
      </c>
      <c r="C382" s="47"/>
      <c r="D382" s="32"/>
      <c r="E382" s="20"/>
    </row>
    <row r="383" spans="1:6" hidden="1" x14ac:dyDescent="0.35">
      <c r="A383" s="20" t="s">
        <v>492</v>
      </c>
      <c r="B383" s="20"/>
      <c r="C383" s="27"/>
      <c r="D383" s="32">
        <f>D381+C382</f>
        <v>0</v>
      </c>
      <c r="E383" s="20"/>
    </row>
    <row r="384" spans="1:6" hidden="1" x14ac:dyDescent="0.35">
      <c r="A384" s="20" t="s">
        <v>493</v>
      </c>
      <c r="B384" s="20"/>
      <c r="C384" s="27"/>
      <c r="D384" s="32">
        <f>D367+D383</f>
        <v>25043212.900000002</v>
      </c>
      <c r="E384" s="20"/>
    </row>
    <row r="385" spans="1:5" hidden="1" x14ac:dyDescent="0.35">
      <c r="A385" s="20"/>
      <c r="B385" s="20"/>
      <c r="C385" s="27"/>
      <c r="D385" s="20"/>
      <c r="E385" s="20"/>
    </row>
    <row r="386" spans="1:5" hidden="1" x14ac:dyDescent="0.35">
      <c r="A386" s="20"/>
      <c r="B386" s="20"/>
      <c r="C386" s="27"/>
      <c r="D386" s="20"/>
      <c r="E386" s="20"/>
    </row>
    <row r="387" spans="1:5" hidden="1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f t="shared" ref="C389:C396" si="18">CE61</f>
        <v>13272856.24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f t="shared" si="18"/>
        <v>2966697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f t="shared" si="18"/>
        <v>3036569.44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f t="shared" si="18"/>
        <v>887655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f t="shared" si="18"/>
        <v>96065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f t="shared" si="18"/>
        <v>589157.86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f t="shared" si="18"/>
        <v>2215727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f t="shared" si="18"/>
        <v>15560.97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/>
      <c r="D397" s="20"/>
      <c r="E397" s="20"/>
    </row>
    <row r="398" spans="1:5" x14ac:dyDescent="0.35">
      <c r="A398" s="20" t="s">
        <v>501</v>
      </c>
      <c r="B398" s="46" t="s">
        <v>284</v>
      </c>
      <c r="C398" s="47"/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>
        <f>CE70</f>
        <v>0</v>
      </c>
      <c r="D401" s="32"/>
      <c r="E401" s="32"/>
    </row>
    <row r="402" spans="1:9" x14ac:dyDescent="0.35">
      <c r="A402" s="33" t="s">
        <v>256</v>
      </c>
      <c r="B402" s="40" t="s">
        <v>284</v>
      </c>
      <c r="C402" s="272">
        <f t="shared" ref="C402:C413" si="19">CE71</f>
        <v>379621.24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2">
        <f t="shared" si="19"/>
        <v>0</v>
      </c>
      <c r="D403" s="32"/>
      <c r="E403" s="32"/>
    </row>
    <row r="404" spans="1:9" x14ac:dyDescent="0.35">
      <c r="A404" s="33" t="s">
        <v>258</v>
      </c>
      <c r="B404" s="40" t="s">
        <v>284</v>
      </c>
      <c r="C404" s="272">
        <f t="shared" si="19"/>
        <v>264178</v>
      </c>
      <c r="D404" s="32"/>
      <c r="E404" s="32"/>
    </row>
    <row r="405" spans="1:9" x14ac:dyDescent="0.35">
      <c r="A405" s="33" t="s">
        <v>259</v>
      </c>
      <c r="B405" s="40" t="s">
        <v>284</v>
      </c>
      <c r="C405" s="272">
        <f t="shared" si="19"/>
        <v>143619.35999999999</v>
      </c>
      <c r="D405" s="32"/>
      <c r="E405" s="32"/>
    </row>
    <row r="406" spans="1:9" x14ac:dyDescent="0.35">
      <c r="A406" s="33" t="s">
        <v>260</v>
      </c>
      <c r="B406" s="40" t="s">
        <v>284</v>
      </c>
      <c r="C406" s="272">
        <f t="shared" si="19"/>
        <v>2244</v>
      </c>
      <c r="D406" s="32"/>
      <c r="E406" s="32"/>
    </row>
    <row r="407" spans="1:9" x14ac:dyDescent="0.35">
      <c r="A407" s="33" t="s">
        <v>261</v>
      </c>
      <c r="B407" s="40" t="s">
        <v>284</v>
      </c>
      <c r="C407" s="272">
        <f t="shared" si="19"/>
        <v>57172</v>
      </c>
      <c r="D407" s="32"/>
      <c r="E407" s="32"/>
    </row>
    <row r="408" spans="1:9" x14ac:dyDescent="0.35">
      <c r="A408" s="33" t="s">
        <v>262</v>
      </c>
      <c r="B408" s="40" t="s">
        <v>284</v>
      </c>
      <c r="C408" s="272">
        <f t="shared" si="19"/>
        <v>168699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2">
        <f t="shared" si="19"/>
        <v>748348</v>
      </c>
      <c r="D409" s="32"/>
      <c r="E409" s="32"/>
    </row>
    <row r="410" spans="1:9" x14ac:dyDescent="0.35">
      <c r="A410" s="33" t="s">
        <v>264</v>
      </c>
      <c r="B410" s="40" t="s">
        <v>284</v>
      </c>
      <c r="C410" s="272">
        <f t="shared" si="19"/>
        <v>211307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2">
        <f t="shared" si="19"/>
        <v>4908</v>
      </c>
      <c r="D411" s="32"/>
      <c r="E411" s="32"/>
    </row>
    <row r="412" spans="1:9" x14ac:dyDescent="0.35">
      <c r="A412" s="33" t="s">
        <v>266</v>
      </c>
      <c r="B412" s="40" t="s">
        <v>284</v>
      </c>
      <c r="C412" s="272">
        <f t="shared" si="19"/>
        <v>670305</v>
      </c>
      <c r="D412" s="32"/>
      <c r="E412" s="32"/>
    </row>
    <row r="413" spans="1:9" x14ac:dyDescent="0.35">
      <c r="A413" s="33" t="s">
        <v>267</v>
      </c>
      <c r="B413" s="40" t="s">
        <v>284</v>
      </c>
      <c r="C413" s="272">
        <f t="shared" si="19"/>
        <v>169824</v>
      </c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CE83</f>
        <v>95742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362"/>
      <c r="I414" s="60"/>
    </row>
    <row r="415" spans="1:9" x14ac:dyDescent="0.35">
      <c r="A415" s="62" t="s">
        <v>505</v>
      </c>
      <c r="B415" s="46"/>
      <c r="C415" s="46"/>
      <c r="D415" s="32">
        <f>SUM(C401:C414)</f>
        <v>2915967.6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25996256.109999999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-953043.20999999717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-953043.20999999717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-953043.20999999717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46983</v>
      </c>
      <c r="E612" s="257">
        <f>SUM(C624:D647)+SUM(C668:D713)</f>
        <v>22027726.26221953</v>
      </c>
      <c r="F612" s="257">
        <f>CE64-(AX64+BD64+BE64+BG64+BJ64+BN64+BP64+BQ64+CB64+CC64+CD64)</f>
        <v>862323</v>
      </c>
      <c r="G612" s="255">
        <f>CE91-(AX91+AY91+BD91+BE91+BG91+BJ91+BN91+BP91+BQ91+CB91+CC91+CD91)</f>
        <v>66849</v>
      </c>
      <c r="H612" s="260">
        <f>CE60-(AX60+AY60+AZ60+BD60+BE60+BG60+BJ60+BN60+BO60+BP60+BQ60+BR60+CB60+CC60+CD60)</f>
        <v>136.33158173076924</v>
      </c>
      <c r="I612" s="255">
        <f>CE92-(AX92+AY92+AZ92+BD92+BE92+BF92+BG92+BJ92+BN92+BO92+BP92+BQ92+BR92+CB92+CC92+CD92)</f>
        <v>8369.0909090909081</v>
      </c>
      <c r="J612" s="255">
        <f>CE93-(AX93+AY93+AZ93+BA93+BD93+BE93+BF93+BG93+BJ93+BN93+BO93+BP93+BQ93+BR93+CB93+CC93+CD93)</f>
        <v>74425.22</v>
      </c>
      <c r="K612" s="255">
        <f>CE89-(AW89+AX89+AY89+AZ89+BA89+BB89+BC89+BD89+BE89+BF89+BG89+BH89+BI89+BJ89+BK89+BL89+BM89+BN89+BO89+BP89+BQ89+BR89+BS89+BT89+BU89+BV89+BW89+BX89+CB89+CC89+CD89)</f>
        <v>25043212.899999999</v>
      </c>
      <c r="L612" s="261">
        <f>CE94-(AW94+AX94+AY94+AZ94+BA94+BB94+BC94+BD94+BE94+BF94+BG94+BH94+BI94+BJ94+BK94+BL94+BM94+BN94+BO94+BP94+BQ94+BR94+BS94+BT94+BU94+BV94+BW94+BX94+BY94+BZ94+CA94+CB94+CC94+CD94)</f>
        <v>61.09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1176810.31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0</v>
      </c>
      <c r="D615" s="255">
        <f>SUM(C614:C615)</f>
        <v>1176810.31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367419.05</v>
      </c>
      <c r="D617" s="255">
        <f>(D615/D612)*BJ90</f>
        <v>6011.418479024328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125306.04</v>
      </c>
      <c r="D618" s="255">
        <f>(D615/D612)*BG90</f>
        <v>5735.8951320690467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2590337.98</v>
      </c>
      <c r="D619" s="255">
        <f>(D615/D612)*BN90</f>
        <v>158701.44784624226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407894.76999999996</v>
      </c>
      <c r="D620" s="255">
        <f>(D615/D612)*CC90</f>
        <v>2454.6625456016009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301813.16000000003</v>
      </c>
      <c r="D621" s="255">
        <f>(D615/D612)*BP90</f>
        <v>2855.4237775365559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3968529.8477804735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77833.81</v>
      </c>
      <c r="D624" s="255">
        <f>(D615/D612)*BD90</f>
        <v>7238.7497518251284</v>
      </c>
      <c r="E624" s="257">
        <f>(E623/E612)*SUM(C624:D624)</f>
        <v>15326.729076947759</v>
      </c>
      <c r="F624" s="257">
        <f>SUM(C624:E624)</f>
        <v>100399.28882877289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897468.17</v>
      </c>
      <c r="D625" s="255">
        <f>(D615/D612)*AY90</f>
        <v>67102.458772109065</v>
      </c>
      <c r="E625" s="257">
        <f>(E623/E612)*SUM(C625:D625)</f>
        <v>173777.68749287105</v>
      </c>
      <c r="F625" s="257">
        <f>(F624/F612)*AY64</f>
        <v>43903.928140458171</v>
      </c>
      <c r="G625" s="255">
        <f>SUM(C625:F625)</f>
        <v>1182252.2444054382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288644.03000000003</v>
      </c>
      <c r="D626" s="255">
        <f>(D615/D612)*BR90</f>
        <v>4859.2299372113321</v>
      </c>
      <c r="E626" s="257">
        <f>(E623/E612)*SUM(C626:D626)</f>
        <v>52877.742968843777</v>
      </c>
      <c r="F626" s="257">
        <f>(F624/F612)*BR64</f>
        <v>33.647942211346979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49243.7</v>
      </c>
      <c r="D627" s="255">
        <f>(D615/D612)*BO90</f>
        <v>0</v>
      </c>
      <c r="E627" s="257">
        <f>(E623/E612)*SUM(C627:D627)</f>
        <v>8871.7778194078637</v>
      </c>
      <c r="F627" s="257">
        <f>(F624/F612)*BO64</f>
        <v>3316.3598129688839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62996</v>
      </c>
      <c r="D628" s="255">
        <f>(D615/D612)*AZ90</f>
        <v>48592.299372113317</v>
      </c>
      <c r="E628" s="257">
        <f>(E623/E612)*SUM(C628:D628)</f>
        <v>20103.822403169528</v>
      </c>
      <c r="F628" s="257">
        <f>(F624/F612)*AZ64</f>
        <v>0</v>
      </c>
      <c r="G628" s="255">
        <f>(G625/G612)*AZ91</f>
        <v>0</v>
      </c>
      <c r="H628" s="257">
        <f>SUM(C626:G628)</f>
        <v>539538.61025592615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344170.03</v>
      </c>
      <c r="D629" s="255">
        <f>(D615/D612)*BF90</f>
        <v>31985.755823808613</v>
      </c>
      <c r="E629" s="257">
        <f>(E623/E612)*SUM(C629:D629)</f>
        <v>67768.477131360982</v>
      </c>
      <c r="F629" s="257">
        <f>(F624/F612)*BF64</f>
        <v>4935.1867628186019</v>
      </c>
      <c r="G629" s="255">
        <f>(G625/G612)*BF91</f>
        <v>0</v>
      </c>
      <c r="H629" s="257">
        <f>(H628/H612)*BF60</f>
        <v>17515.949768877115</v>
      </c>
      <c r="I629" s="255">
        <f>SUM(C629:H629)</f>
        <v>466375.39948686532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143619.35999999999</v>
      </c>
      <c r="D630" s="255">
        <f>(D615/D612)*BA90</f>
        <v>0</v>
      </c>
      <c r="E630" s="257">
        <f>(E623/E612)*SUM(C630:D630)</f>
        <v>25874.559638807663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>
        <f>(I629/I612)*BA92</f>
        <v>0</v>
      </c>
      <c r="J630" s="255">
        <f>SUM(C630:I630)</f>
        <v>169493.91963880765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1034300.2000000001</v>
      </c>
      <c r="D632" s="255">
        <f>(D615/D612)*BB90</f>
        <v>32787.27828767852</v>
      </c>
      <c r="E632" s="257">
        <f>(E623/E612)*SUM(C632:D632)</f>
        <v>192247.1914425703</v>
      </c>
      <c r="F632" s="257">
        <f>(F624/F612)*BB64</f>
        <v>530.91562797142637</v>
      </c>
      <c r="G632" s="255">
        <f>(G625/G612)*BB91</f>
        <v>0</v>
      </c>
      <c r="H632" s="257">
        <f>(H628/H612)*BB60</f>
        <v>36272.438235267582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53553.99</v>
      </c>
      <c r="D633" s="255">
        <f>(D615/D612)*BC90</f>
        <v>0</v>
      </c>
      <c r="E633" s="257">
        <f>(E623/E612)*SUM(C633:D633)</f>
        <v>9648.3225391835003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352233.39</v>
      </c>
      <c r="D634" s="255">
        <f>(D615/D612)*BI90</f>
        <v>0</v>
      </c>
      <c r="E634" s="257">
        <f>(E623/E612)*SUM(C634:D634)</f>
        <v>63458.602352317961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388209.81</v>
      </c>
      <c r="D635" s="255">
        <f>(D615/D612)*BK90</f>
        <v>6236.8466719877406</v>
      </c>
      <c r="E635" s="257">
        <f>(E623/E612)*SUM(C635:D635)</f>
        <v>71063.772616641916</v>
      </c>
      <c r="F635" s="257">
        <f>(F624/F612)*BK64</f>
        <v>0</v>
      </c>
      <c r="G635" s="255">
        <f>(G625/G612)*BK91</f>
        <v>0</v>
      </c>
      <c r="H635" s="257">
        <f>(H628/H612)*BK60</f>
        <v>17521.65776901905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239704.53999999998</v>
      </c>
      <c r="D636" s="255">
        <f>(D615/D612)*BH90</f>
        <v>7188.6545978332597</v>
      </c>
      <c r="E636" s="257">
        <f>(E623/E612)*SUM(C636:D636)</f>
        <v>44480.442525557715</v>
      </c>
      <c r="F636" s="257">
        <f>(F624/F612)*BH64</f>
        <v>1923.9870070675047</v>
      </c>
      <c r="G636" s="255">
        <f>(G625/G612)*BH91</f>
        <v>0</v>
      </c>
      <c r="H636" s="257">
        <f>(H628/H612)*BH60</f>
        <v>1984.4813826785701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1271172.29</v>
      </c>
      <c r="D637" s="255">
        <f>(D615/D612)*BL90</f>
        <v>34189.942599450864</v>
      </c>
      <c r="E637" s="257">
        <f>(E623/E612)*SUM(C637:D637)</f>
        <v>235174.93002086639</v>
      </c>
      <c r="F637" s="257">
        <f>(F624/F612)*BL64</f>
        <v>0</v>
      </c>
      <c r="G637" s="255">
        <f>(G625/G612)*BL91</f>
        <v>0</v>
      </c>
      <c r="H637" s="257">
        <f>(H628/H612)*BL60</f>
        <v>45530.814465482224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195489.32</v>
      </c>
      <c r="D642" s="255">
        <f>(D615/D612)*BV90</f>
        <v>10820.553262243791</v>
      </c>
      <c r="E642" s="257">
        <f>(E623/E612)*SUM(C642:D642)</f>
        <v>37168.924299612379</v>
      </c>
      <c r="F642" s="257">
        <f>(F624/F612)*BV64</f>
        <v>2177.2197901459813</v>
      </c>
      <c r="G642" s="255">
        <f>(G625/G612)*BV91</f>
        <v>0</v>
      </c>
      <c r="H642" s="257">
        <f>(H628/H612)*BV60</f>
        <v>8523.9468786193211</v>
      </c>
      <c r="I642" s="255">
        <f>(I629/I612)*BV92</f>
        <v>0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3090197.89</v>
      </c>
      <c r="D643" s="255">
        <f>(D615/D612)*BW90</f>
        <v>29531.093278207012</v>
      </c>
      <c r="E643" s="257">
        <f>(E623/E612)*SUM(C643:D643)</f>
        <v>562052.45333741058</v>
      </c>
      <c r="F643" s="257">
        <f>(F624/F612)*BW64</f>
        <v>0</v>
      </c>
      <c r="G643" s="255">
        <f>(G625/G612)*BW91</f>
        <v>0</v>
      </c>
      <c r="H643" s="257">
        <f>(H628/H612)*BW60</f>
        <v>41235.525332010824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254968.63999999998</v>
      </c>
      <c r="D644" s="255">
        <f>(D615/D612)*BX90</f>
        <v>8315.7955626503208</v>
      </c>
      <c r="E644" s="257">
        <f>(E623/E612)*SUM(C644:D644)</f>
        <v>47433.499424698799</v>
      </c>
      <c r="F644" s="257">
        <f>(F624/F612)*BX64</f>
        <v>0</v>
      </c>
      <c r="G644" s="255">
        <f>(G625/G612)*BX91</f>
        <v>0</v>
      </c>
      <c r="H644" s="257">
        <f>(H628/H612)*BX60</f>
        <v>11840.294961082152</v>
      </c>
      <c r="I644" s="255">
        <f>(I629/I612)*BX92</f>
        <v>0</v>
      </c>
      <c r="J644" s="255">
        <f>(J630/J612)*BX93</f>
        <v>0</v>
      </c>
      <c r="K644" s="257">
        <f>SUM(C631:J644)</f>
        <v>8439169.6542682573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1348408.02</v>
      </c>
      <c r="D645" s="255">
        <f>(D615/D612)*BY90</f>
        <v>11997.789381052722</v>
      </c>
      <c r="E645" s="257">
        <f>(E623/E612)*SUM(C645:D645)</f>
        <v>245091.61750762895</v>
      </c>
      <c r="F645" s="257">
        <f>(F624/F612)*BY64</f>
        <v>0</v>
      </c>
      <c r="G645" s="255">
        <f>(G625/G612)*BY91</f>
        <v>0</v>
      </c>
      <c r="H645" s="257">
        <f>(H628/H612)*BY60</f>
        <v>42589.291725672971</v>
      </c>
      <c r="I645" s="255">
        <f>(I629/I612)*BY92</f>
        <v>0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726123.89</v>
      </c>
      <c r="D647" s="255">
        <f>(D615/D612)*CA90</f>
        <v>0</v>
      </c>
      <c r="E647" s="257">
        <f>(E623/E612)*SUM(C647:D647)</f>
        <v>130818.96407955039</v>
      </c>
      <c r="F647" s="257">
        <f>(F624/F612)*CA64</f>
        <v>0</v>
      </c>
      <c r="G647" s="255">
        <f>(G625/G612)*CA91</f>
        <v>0</v>
      </c>
      <c r="H647" s="257">
        <f>(H628/H612)*CA60</f>
        <v>24019.264597252302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2529048.8372911578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15787918.390000001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20">ROUND(SUM(D668:L668),0)</f>
        <v>0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20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0</v>
      </c>
      <c r="D670" s="255">
        <f>(D615/D612)*E90</f>
        <v>0</v>
      </c>
      <c r="E670" s="257">
        <f>(E623/E612)*SUM(C670:D670)</f>
        <v>0</v>
      </c>
      <c r="F670" s="257">
        <f>(F624/F612)*E64</f>
        <v>0</v>
      </c>
      <c r="G670" s="255">
        <f>(G625/G612)*E91</f>
        <v>0</v>
      </c>
      <c r="H670" s="257">
        <f>(H628/H612)*E60</f>
        <v>0</v>
      </c>
      <c r="I670" s="255">
        <f>(I629/I612)*E92</f>
        <v>0</v>
      </c>
      <c r="J670" s="255">
        <f>(J630/J612)*E93</f>
        <v>0</v>
      </c>
      <c r="K670" s="255">
        <f>(K644/K612)*E89</f>
        <v>0</v>
      </c>
      <c r="L670" s="255">
        <f>(L647/L612)*E94</f>
        <v>0</v>
      </c>
      <c r="M670" s="231">
        <f t="shared" si="20"/>
        <v>0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20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20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8338587.7199999997</v>
      </c>
      <c r="D673" s="255">
        <f>(D615/D612)*H90</f>
        <v>679039.81235978974</v>
      </c>
      <c r="E673" s="257">
        <f>(E623/E612)*SUM(C673:D673)</f>
        <v>1624621.7876656558</v>
      </c>
      <c r="F673" s="257">
        <f>(F624/F612)*H64</f>
        <v>10634.612600638176</v>
      </c>
      <c r="G673" s="255">
        <f>(G625/G612)*H91</f>
        <v>1182252.2444054382</v>
      </c>
      <c r="H673" s="257">
        <f>(H628/H612)*H60</f>
        <v>241766.53187832527</v>
      </c>
      <c r="I673" s="255">
        <f>(I629/I612)*H92</f>
        <v>466375.39948686532</v>
      </c>
      <c r="J673" s="255">
        <f>(J630/J612)*H93</f>
        <v>169493.91963880765</v>
      </c>
      <c r="K673" s="255">
        <f>(K644/K612)*H89</f>
        <v>8439169.6542682573</v>
      </c>
      <c r="L673" s="255">
        <f>(L647/L612)*H94</f>
        <v>2529048.8372911578</v>
      </c>
      <c r="M673" s="231">
        <f t="shared" si="20"/>
        <v>15342403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20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20"/>
        <v>0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20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0</v>
      </c>
      <c r="L677" s="255">
        <f>(L647/L612)*L94</f>
        <v>0</v>
      </c>
      <c r="M677" s="231">
        <f t="shared" si="20"/>
        <v>0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20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20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20"/>
        <v>0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0</v>
      </c>
      <c r="D681" s="255">
        <f>(D615/D612)*P90</f>
        <v>0</v>
      </c>
      <c r="E681" s="257">
        <f>(E623/E612)*SUM(C681:D681)</f>
        <v>0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>
        <f>(I629/I612)*P92</f>
        <v>0</v>
      </c>
      <c r="J681" s="255">
        <f>(J630/J612)*P93</f>
        <v>0</v>
      </c>
      <c r="K681" s="255">
        <f>(K644/K612)*P89</f>
        <v>0</v>
      </c>
      <c r="L681" s="255">
        <f>(L647/L612)*P94</f>
        <v>0</v>
      </c>
      <c r="M681" s="231">
        <f t="shared" si="20"/>
        <v>0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0</v>
      </c>
      <c r="L682" s="255">
        <f>(L647/L612)*Q94</f>
        <v>0</v>
      </c>
      <c r="M682" s="231">
        <f t="shared" si="20"/>
        <v>0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20"/>
        <v>0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0</v>
      </c>
      <c r="D684" s="255">
        <f>(D615/D612)*S90</f>
        <v>0</v>
      </c>
      <c r="E684" s="257">
        <f>(E623/E612)*SUM(C684:D684)</f>
        <v>0</v>
      </c>
      <c r="F684" s="257">
        <f>(F624/F612)*S64</f>
        <v>0</v>
      </c>
      <c r="G684" s="255">
        <f>(G625/G612)*S91</f>
        <v>0</v>
      </c>
      <c r="H684" s="257">
        <f>(H628/H612)*S60</f>
        <v>0</v>
      </c>
      <c r="I684" s="255">
        <f>(I629/I612)*S92</f>
        <v>0</v>
      </c>
      <c r="J684" s="255">
        <f>(J630/J612)*S93</f>
        <v>0</v>
      </c>
      <c r="K684" s="255">
        <f>(K644/K612)*S89</f>
        <v>0</v>
      </c>
      <c r="L684" s="255">
        <f>(L647/L612)*S94</f>
        <v>0</v>
      </c>
      <c r="M684" s="231">
        <f t="shared" si="20"/>
        <v>0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20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59283</v>
      </c>
      <c r="D686" s="255">
        <f>(D615/D612)*U90</f>
        <v>1628.0925047357555</v>
      </c>
      <c r="E686" s="257">
        <f>(E623/E612)*SUM(C686:D686)</f>
        <v>10973.783030913908</v>
      </c>
      <c r="F686" s="257">
        <f>(F624/F612)*U64</f>
        <v>0</v>
      </c>
      <c r="G686" s="255">
        <f>(G625/G612)*U91</f>
        <v>0</v>
      </c>
      <c r="H686" s="257">
        <f>(H628/H612)*U60</f>
        <v>0</v>
      </c>
      <c r="I686" s="255">
        <f>(I629/I612)*U92</f>
        <v>0</v>
      </c>
      <c r="J686" s="255">
        <f>(J630/J612)*U93</f>
        <v>0</v>
      </c>
      <c r="K686" s="255">
        <f>(K644/K612)*U89</f>
        <v>0</v>
      </c>
      <c r="L686" s="255">
        <f>(L647/L612)*U94</f>
        <v>0</v>
      </c>
      <c r="M686" s="231">
        <f t="shared" si="20"/>
        <v>12602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0</v>
      </c>
      <c r="L687" s="255">
        <f>(L647/L612)*V94</f>
        <v>0</v>
      </c>
      <c r="M687" s="231">
        <f t="shared" si="20"/>
        <v>0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0</v>
      </c>
      <c r="L688" s="255">
        <f>(L647/L612)*W94</f>
        <v>0</v>
      </c>
      <c r="M688" s="231">
        <f t="shared" si="20"/>
        <v>0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0</v>
      </c>
      <c r="D689" s="255">
        <f>(D615/D612)*X90</f>
        <v>0</v>
      </c>
      <c r="E689" s="257">
        <f>(E623/E612)*SUM(C689:D689)</f>
        <v>0</v>
      </c>
      <c r="F689" s="257">
        <f>(F624/F612)*X64</f>
        <v>0</v>
      </c>
      <c r="G689" s="255">
        <f>(G625/G612)*X91</f>
        <v>0</v>
      </c>
      <c r="H689" s="257">
        <f>(H628/H612)*X60</f>
        <v>0</v>
      </c>
      <c r="I689" s="255">
        <f>(I629/I612)*X92</f>
        <v>0</v>
      </c>
      <c r="J689" s="255">
        <f>(J630/J612)*X93</f>
        <v>0</v>
      </c>
      <c r="K689" s="255">
        <f>(K644/K612)*X89</f>
        <v>0</v>
      </c>
      <c r="L689" s="255">
        <f>(L647/L612)*X94</f>
        <v>0</v>
      </c>
      <c r="M689" s="231">
        <f t="shared" si="20"/>
        <v>0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0</v>
      </c>
      <c r="D690" s="255">
        <f>(D615/D612)*Y90</f>
        <v>0</v>
      </c>
      <c r="E690" s="257">
        <f>(E623/E612)*SUM(C690:D690)</f>
        <v>0</v>
      </c>
      <c r="F690" s="257">
        <f>(F624/F612)*Y64</f>
        <v>0</v>
      </c>
      <c r="G690" s="255">
        <f>(G625/G612)*Y91</f>
        <v>0</v>
      </c>
      <c r="H690" s="257">
        <f>(H628/H612)*Y60</f>
        <v>0</v>
      </c>
      <c r="I690" s="255">
        <f>(I629/I612)*Y92</f>
        <v>0</v>
      </c>
      <c r="J690" s="255">
        <f>(J630/J612)*Y93</f>
        <v>0</v>
      </c>
      <c r="K690" s="255">
        <f>(K644/K612)*Y89</f>
        <v>0</v>
      </c>
      <c r="L690" s="255">
        <f>(L647/L612)*Y94</f>
        <v>0</v>
      </c>
      <c r="M690" s="231">
        <f t="shared" si="20"/>
        <v>0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20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20"/>
        <v>0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820237.23</v>
      </c>
      <c r="D693" s="255">
        <f>(D615/D612)*AB90</f>
        <v>18885.873054934764</v>
      </c>
      <c r="E693" s="257">
        <f>(E623/E612)*SUM(C693:D693)</f>
        <v>151176.97763237671</v>
      </c>
      <c r="F693" s="257">
        <f>(F624/F612)*AB64</f>
        <v>31432.883039821456</v>
      </c>
      <c r="G693" s="255">
        <f>(G625/G612)*AB91</f>
        <v>0</v>
      </c>
      <c r="H693" s="257">
        <f>(H628/H612)*AB60</f>
        <v>9109.9682265243991</v>
      </c>
      <c r="I693" s="255">
        <f>(I629/I612)*AB92</f>
        <v>0</v>
      </c>
      <c r="J693" s="255">
        <f>(J630/J612)*AB93</f>
        <v>0</v>
      </c>
      <c r="K693" s="255">
        <f>(K644/K612)*AB89</f>
        <v>0</v>
      </c>
      <c r="L693" s="255">
        <f>(L647/L612)*AB94</f>
        <v>0</v>
      </c>
      <c r="M693" s="231">
        <f t="shared" si="20"/>
        <v>210606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0</v>
      </c>
      <c r="D694" s="255">
        <f>(D615/D612)*AC90</f>
        <v>0</v>
      </c>
      <c r="E694" s="257">
        <f>(E623/E612)*SUM(C694:D694)</f>
        <v>0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>
        <f>(I629/I612)*AC92</f>
        <v>0</v>
      </c>
      <c r="J694" s="255">
        <f>(J630/J612)*AC93</f>
        <v>0</v>
      </c>
      <c r="K694" s="255">
        <f>(K644/K612)*AC89</f>
        <v>0</v>
      </c>
      <c r="L694" s="255">
        <f>(L647/L612)*AC94</f>
        <v>0</v>
      </c>
      <c r="M694" s="231">
        <f t="shared" si="20"/>
        <v>0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20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0</v>
      </c>
      <c r="D696" s="255">
        <f>(D615/D612)*AE90</f>
        <v>0</v>
      </c>
      <c r="E696" s="257">
        <f>(E623/E612)*SUM(C696:D696)</f>
        <v>0</v>
      </c>
      <c r="F696" s="257">
        <f>(F624/F612)*AE64</f>
        <v>0</v>
      </c>
      <c r="G696" s="255">
        <f>(G625/G612)*AE91</f>
        <v>0</v>
      </c>
      <c r="H696" s="257">
        <f>(H628/H612)*AE60</f>
        <v>0</v>
      </c>
      <c r="I696" s="255">
        <f>(I629/I612)*AE92</f>
        <v>0</v>
      </c>
      <c r="J696" s="255">
        <f>(J630/J612)*AE93</f>
        <v>0</v>
      </c>
      <c r="K696" s="255">
        <f>(K644/K612)*AE89</f>
        <v>0</v>
      </c>
      <c r="L696" s="255">
        <f>(L647/L612)*AE94</f>
        <v>0</v>
      </c>
      <c r="M696" s="231">
        <f t="shared" si="20"/>
        <v>0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20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0</v>
      </c>
      <c r="D698" s="255">
        <f>(D615/D612)*AG90</f>
        <v>0</v>
      </c>
      <c r="E698" s="257">
        <f>(E623/E612)*SUM(C698:D698)</f>
        <v>0</v>
      </c>
      <c r="F698" s="257">
        <f>(F624/F612)*AG64</f>
        <v>0</v>
      </c>
      <c r="G698" s="255">
        <f>(G625/G612)*AG91</f>
        <v>0</v>
      </c>
      <c r="H698" s="257">
        <f>(H628/H612)*AG60</f>
        <v>0</v>
      </c>
      <c r="I698" s="255">
        <f>(I629/I612)*AG92</f>
        <v>0</v>
      </c>
      <c r="J698" s="255">
        <f>(J630/J612)*AG93</f>
        <v>0</v>
      </c>
      <c r="K698" s="255">
        <f>(K644/K612)*AG89</f>
        <v>0</v>
      </c>
      <c r="L698" s="255">
        <f>(L647/L612)*AG94</f>
        <v>0</v>
      </c>
      <c r="M698" s="231">
        <f t="shared" si="20"/>
        <v>0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20"/>
        <v>0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20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0</v>
      </c>
      <c r="D701" s="255">
        <f>(D615/D612)*AJ90</f>
        <v>0</v>
      </c>
      <c r="E701" s="257">
        <f>(E623/E612)*SUM(C701:D701)</f>
        <v>0</v>
      </c>
      <c r="F701" s="257">
        <f>(F624/F612)*AJ64</f>
        <v>0</v>
      </c>
      <c r="G701" s="255">
        <f>(G625/G612)*AJ91</f>
        <v>0</v>
      </c>
      <c r="H701" s="257">
        <f>(H628/H612)*AJ60</f>
        <v>0</v>
      </c>
      <c r="I701" s="255">
        <f>(I629/I612)*AJ92</f>
        <v>0</v>
      </c>
      <c r="J701" s="255">
        <f>(J630/J612)*AJ93</f>
        <v>0</v>
      </c>
      <c r="K701" s="255">
        <f>(K644/K612)*AJ89</f>
        <v>0</v>
      </c>
      <c r="L701" s="255">
        <f>(L647/L612)*AJ94</f>
        <v>0</v>
      </c>
      <c r="M701" s="231">
        <f t="shared" si="20"/>
        <v>0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20"/>
        <v>0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20"/>
        <v>0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247197.26</v>
      </c>
      <c r="D704" s="255">
        <f>(D615/D612)*AM90</f>
        <v>651.23700189430224</v>
      </c>
      <c r="E704" s="257">
        <f>(E623/E612)*SUM(C704:D704)</f>
        <v>44652.550443508153</v>
      </c>
      <c r="F704" s="257">
        <f>(F624/F612)*AM64</f>
        <v>848.766431559583</v>
      </c>
      <c r="G704" s="255">
        <f>(G625/G612)*AM91</f>
        <v>0</v>
      </c>
      <c r="H704" s="257">
        <f>(H628/H612)*AM60</f>
        <v>11914.498962927277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20"/>
        <v>58067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20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20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20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20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20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20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20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743032.51</v>
      </c>
      <c r="D712" s="255">
        <f>(D615/D612)*AU90</f>
        <v>0</v>
      </c>
      <c r="E712" s="257">
        <f>(E623/E612)*SUM(C712:D712)</f>
        <v>133865.23233057125</v>
      </c>
      <c r="F712" s="257">
        <f>(F624/F612)*AU64</f>
        <v>661.78167311175173</v>
      </c>
      <c r="G712" s="255">
        <f>(G625/G612)*AU91</f>
        <v>0</v>
      </c>
      <c r="H712" s="257">
        <f>(H628/H612)*AU60</f>
        <v>29713.946072187042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20"/>
        <v>164241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20"/>
        <v>0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25996256.109999999</v>
      </c>
      <c r="D715" s="231">
        <f>SUM(D616:D647)+SUM(D668:D713)</f>
        <v>1176810.31</v>
      </c>
      <c r="E715" s="231">
        <f>SUM(E624:E647)+SUM(E668:E713)</f>
        <v>3968529.8477804735</v>
      </c>
      <c r="F715" s="231">
        <f>SUM(F625:F648)+SUM(F668:F713)</f>
        <v>100399.28882877287</v>
      </c>
      <c r="G715" s="231">
        <f>SUM(G626:G647)+SUM(G668:G713)</f>
        <v>1182252.2444054382</v>
      </c>
      <c r="H715" s="231">
        <f>SUM(H629:H647)+SUM(H668:H713)</f>
        <v>539538.61025592615</v>
      </c>
      <c r="I715" s="231">
        <f>SUM(I630:I647)+SUM(I668:I713)</f>
        <v>466375.39948686532</v>
      </c>
      <c r="J715" s="231">
        <f>SUM(J631:J647)+SUM(J668:J713)</f>
        <v>169493.91963880765</v>
      </c>
      <c r="K715" s="231">
        <f>SUM(K668:K713)</f>
        <v>8439169.6542682573</v>
      </c>
      <c r="L715" s="231">
        <f>SUM(L668:L713)</f>
        <v>2529048.8372911578</v>
      </c>
      <c r="M715" s="231">
        <f>SUM(M668:M713)</f>
        <v>15787919</v>
      </c>
      <c r="N715" s="249" t="s">
        <v>669</v>
      </c>
    </row>
    <row r="716" spans="1:14" s="231" customFormat="1" ht="12.65" customHeight="1" x14ac:dyDescent="0.3">
      <c r="C716" s="252">
        <f>CE85</f>
        <v>25996256.109999999</v>
      </c>
      <c r="D716" s="231">
        <f>D615</f>
        <v>1176810.31</v>
      </c>
      <c r="E716" s="231">
        <f>E623</f>
        <v>3968529.8477804735</v>
      </c>
      <c r="F716" s="231">
        <f>F624</f>
        <v>100399.28882877289</v>
      </c>
      <c r="G716" s="231">
        <f>G625</f>
        <v>1182252.2444054382</v>
      </c>
      <c r="H716" s="231">
        <f>H628</f>
        <v>539538.61025592615</v>
      </c>
      <c r="I716" s="231">
        <f>I629</f>
        <v>466375.39948686532</v>
      </c>
      <c r="J716" s="231">
        <f>J630</f>
        <v>169493.91963880765</v>
      </c>
      <c r="K716" s="231">
        <f>K644</f>
        <v>8439169.6542682573</v>
      </c>
      <c r="L716" s="231">
        <f>L647</f>
        <v>2529048.8372911578</v>
      </c>
      <c r="M716" s="231">
        <f>C648</f>
        <v>15787918.390000001</v>
      </c>
      <c r="N716" s="249" t="s">
        <v>670</v>
      </c>
    </row>
  </sheetData>
  <mergeCells count="1">
    <mergeCell ref="B236:C236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Inland Northwest Behavioral Health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-262469.09999999998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7760692.1200000001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3411471.07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101317.4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146685.29999999999</v>
      </c>
    </row>
    <row r="15" spans="1:3" ht="20.149999999999999" customHeight="1" x14ac:dyDescent="0.35">
      <c r="A15" s="188">
        <v>11</v>
      </c>
      <c r="B15" s="190" t="s">
        <v>877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4334754.6500000004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4759216.5199999996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1154035.92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34587062.380000003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2260479.14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26225.62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9373454.5700000003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33413565.009999998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12109.08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12109.08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37760428.739999995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Inland Northwest Behavioral Health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386974.9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1166902.78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31494590.379999999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33048468.059999999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7826723.0999999996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7826723.0999999996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7826723.0999999996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-3114762.42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-3114762.42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37760428.739999995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Inland Northwest Behavioral Health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49148251.490000002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3760950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52909201.490000002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-218815.64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23681159.949999999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4403644.28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27865988.59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25043212.900000002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0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0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25043212.900000002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13272856.24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2966697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3036569.44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887655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96065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589157.86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2215727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15560.97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379621.24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264178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143619.35999999999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2244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57172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168699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748348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211307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4908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670305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169824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95742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25996256.109999999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-953043.20999999717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-953043.20999999717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-953043.20999999717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6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364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969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970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Inland Northwest Behavioral Health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971</v>
      </c>
      <c r="C6" s="291" t="s">
        <v>103</v>
      </c>
      <c r="D6" s="292" t="s">
        <v>972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973</v>
      </c>
      <c r="E7" s="292" t="s">
        <v>175</v>
      </c>
      <c r="F7" s="292" t="s">
        <v>974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975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0</v>
      </c>
      <c r="F9" s="286">
        <f>data!F59</f>
        <v>0</v>
      </c>
      <c r="G9" s="286">
        <f>data!G59</f>
        <v>0</v>
      </c>
      <c r="H9" s="286">
        <f>data!H59</f>
        <v>22283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0</v>
      </c>
      <c r="F10" s="293">
        <f>data!F60</f>
        <v>0</v>
      </c>
      <c r="G10" s="293">
        <f>data!G60</f>
        <v>0</v>
      </c>
      <c r="H10" s="293">
        <f>data!H60</f>
        <v>61.09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0</v>
      </c>
      <c r="F11" s="286">
        <f>data!F61</f>
        <v>0</v>
      </c>
      <c r="G11" s="286">
        <f>data!G61</f>
        <v>0</v>
      </c>
      <c r="H11" s="286">
        <f>data!H61</f>
        <v>5696055.0999999996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0</v>
      </c>
      <c r="F12" s="286">
        <f>data!F62</f>
        <v>0</v>
      </c>
      <c r="G12" s="286">
        <f>data!G62</f>
        <v>0</v>
      </c>
      <c r="H12" s="286">
        <f>data!H62</f>
        <v>1273160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0</v>
      </c>
      <c r="F14" s="286">
        <f>data!F64</f>
        <v>0</v>
      </c>
      <c r="G14" s="286">
        <f>data!G64</f>
        <v>0</v>
      </c>
      <c r="H14" s="286">
        <f>data!H64</f>
        <v>91340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0</v>
      </c>
      <c r="F16" s="286">
        <f>data!F66</f>
        <v>0</v>
      </c>
      <c r="G16" s="286">
        <f>data!G66</f>
        <v>0</v>
      </c>
      <c r="H16" s="286">
        <f>data!H66</f>
        <v>13539.41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0</v>
      </c>
      <c r="F17" s="286">
        <f>data!F67</f>
        <v>0</v>
      </c>
      <c r="G17" s="286">
        <f>data!G67</f>
        <v>0</v>
      </c>
      <c r="H17" s="286">
        <f>data!H67</f>
        <v>880316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976</v>
      </c>
      <c r="C18" s="286">
        <f>data!C68</f>
        <v>0</v>
      </c>
      <c r="D18" s="286">
        <f>data!D68</f>
        <v>0</v>
      </c>
      <c r="E18" s="286">
        <f>data!E68</f>
        <v>0</v>
      </c>
      <c r="F18" s="286">
        <f>data!F68</f>
        <v>0</v>
      </c>
      <c r="G18" s="286">
        <f>data!G68</f>
        <v>0</v>
      </c>
      <c r="H18" s="286">
        <f>data!H68</f>
        <v>2157.9699999999998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977</v>
      </c>
      <c r="C19" s="286">
        <f>data!C69</f>
        <v>0</v>
      </c>
      <c r="D19" s="286">
        <f>data!D69</f>
        <v>0</v>
      </c>
      <c r="E19" s="286">
        <f>data!E69</f>
        <v>0</v>
      </c>
      <c r="F19" s="286">
        <f>data!F69</f>
        <v>0</v>
      </c>
      <c r="G19" s="286">
        <f>data!G69</f>
        <v>0</v>
      </c>
      <c r="H19" s="286">
        <f>data!H69</f>
        <v>382019.24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978</v>
      </c>
      <c r="C21" s="286">
        <f>data!C85</f>
        <v>0</v>
      </c>
      <c r="D21" s="286">
        <f>data!D85</f>
        <v>0</v>
      </c>
      <c r="E21" s="286">
        <f>data!E85</f>
        <v>0</v>
      </c>
      <c r="F21" s="286">
        <f>data!F85</f>
        <v>0</v>
      </c>
      <c r="G21" s="286">
        <f>data!G85</f>
        <v>0</v>
      </c>
      <c r="H21" s="286">
        <f>data!H85</f>
        <v>8338587.7199999997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979</v>
      </c>
      <c r="C23" s="294">
        <f>+data!M668</f>
        <v>0</v>
      </c>
      <c r="D23" s="294">
        <f>+data!M669</f>
        <v>0</v>
      </c>
      <c r="E23" s="294">
        <f>+data!M670</f>
        <v>0</v>
      </c>
      <c r="F23" s="294">
        <f>+data!M671</f>
        <v>0</v>
      </c>
      <c r="G23" s="294">
        <f>+data!M672</f>
        <v>0</v>
      </c>
      <c r="H23" s="294">
        <f>+data!M673</f>
        <v>15342403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980</v>
      </c>
      <c r="C24" s="286">
        <f>data!C87</f>
        <v>0</v>
      </c>
      <c r="D24" s="286">
        <f>data!D87</f>
        <v>0</v>
      </c>
      <c r="E24" s="286">
        <f>data!E87</f>
        <v>0</v>
      </c>
      <c r="F24" s="286">
        <f>data!F87</f>
        <v>0</v>
      </c>
      <c r="G24" s="286">
        <f>data!G87</f>
        <v>0</v>
      </c>
      <c r="H24" s="286">
        <f>data!H87</f>
        <v>23416491.149999999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981</v>
      </c>
      <c r="C25" s="286">
        <f>data!C88</f>
        <v>0</v>
      </c>
      <c r="D25" s="286">
        <f>data!D88</f>
        <v>0</v>
      </c>
      <c r="E25" s="286">
        <f>data!E88</f>
        <v>0</v>
      </c>
      <c r="F25" s="286">
        <f>data!F88</f>
        <v>0</v>
      </c>
      <c r="G25" s="286">
        <f>data!G88</f>
        <v>0</v>
      </c>
      <c r="H25" s="286">
        <f>data!H88</f>
        <v>1626721.75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982</v>
      </c>
      <c r="C26" s="286">
        <f>data!C89</f>
        <v>0</v>
      </c>
      <c r="D26" s="286">
        <f>data!D89</f>
        <v>0</v>
      </c>
      <c r="E26" s="286">
        <f>data!E89</f>
        <v>0</v>
      </c>
      <c r="F26" s="286">
        <f>data!F89</f>
        <v>0</v>
      </c>
      <c r="G26" s="286">
        <f>data!G89</f>
        <v>0</v>
      </c>
      <c r="H26" s="286">
        <f>data!H89</f>
        <v>25043212.899999999</v>
      </c>
      <c r="I26" s="286">
        <f>data!I89</f>
        <v>0</v>
      </c>
    </row>
    <row r="27" spans="1:9" ht="20.149999999999999" customHeight="1" x14ac:dyDescent="0.35">
      <c r="A27" s="278" t="s">
        <v>983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984</v>
      </c>
      <c r="C28" s="286">
        <f>data!C90</f>
        <v>0</v>
      </c>
      <c r="D28" s="286">
        <f>data!D90</f>
        <v>0</v>
      </c>
      <c r="E28" s="286">
        <f>data!E90</f>
        <v>0</v>
      </c>
      <c r="F28" s="286">
        <f>data!F90</f>
        <v>0</v>
      </c>
      <c r="G28" s="286">
        <f>data!G90</f>
        <v>0</v>
      </c>
      <c r="H28" s="286">
        <f>data!H90</f>
        <v>27110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985</v>
      </c>
      <c r="C29" s="286">
        <f>data!C91</f>
        <v>0</v>
      </c>
      <c r="D29" s="286">
        <f>data!D91</f>
        <v>0</v>
      </c>
      <c r="E29" s="286">
        <f>data!E91</f>
        <v>0</v>
      </c>
      <c r="F29" s="286">
        <f>data!F91</f>
        <v>0</v>
      </c>
      <c r="G29" s="286">
        <f>data!G91</f>
        <v>0</v>
      </c>
      <c r="H29" s="286">
        <f>data!H91</f>
        <v>66849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986</v>
      </c>
      <c r="C30" s="286">
        <f>data!C92</f>
        <v>0</v>
      </c>
      <c r="D30" s="286">
        <f>data!D92</f>
        <v>0</v>
      </c>
      <c r="E30" s="286">
        <f>data!E92</f>
        <v>0</v>
      </c>
      <c r="F30" s="286">
        <f>data!F92</f>
        <v>0</v>
      </c>
      <c r="G30" s="286">
        <f>data!G92</f>
        <v>0</v>
      </c>
      <c r="H30" s="286">
        <f>data!H92</f>
        <v>8369.0909090909081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987</v>
      </c>
      <c r="C31" s="286">
        <f>data!C93</f>
        <v>0</v>
      </c>
      <c r="D31" s="286">
        <f>data!D93</f>
        <v>0</v>
      </c>
      <c r="E31" s="286">
        <f>data!E93</f>
        <v>0</v>
      </c>
      <c r="F31" s="286">
        <f>data!F93</f>
        <v>0</v>
      </c>
      <c r="G31" s="286">
        <f>data!G93</f>
        <v>0</v>
      </c>
      <c r="H31" s="286">
        <f>data!H93</f>
        <v>74425.22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0</v>
      </c>
      <c r="F32" s="293">
        <f>data!F94</f>
        <v>0</v>
      </c>
      <c r="G32" s="293">
        <f>data!G94</f>
        <v>0</v>
      </c>
      <c r="H32" s="293">
        <f>data!H94</f>
        <v>61.09</v>
      </c>
      <c r="I32" s="293">
        <f>data!I94</f>
        <v>0</v>
      </c>
    </row>
    <row r="33" spans="1:9" ht="20.149999999999999" customHeight="1" x14ac:dyDescent="0.35">
      <c r="A33" s="279" t="s">
        <v>969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988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Inland Northwest Behavioral Health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971</v>
      </c>
      <c r="C38" s="292"/>
      <c r="D38" s="292" t="s">
        <v>111</v>
      </c>
      <c r="E38" s="292" t="s">
        <v>112</v>
      </c>
      <c r="F38" s="292" t="s">
        <v>989</v>
      </c>
      <c r="G38" s="292" t="s">
        <v>114</v>
      </c>
      <c r="H38" s="292" t="s">
        <v>990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975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0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0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0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0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0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0</v>
      </c>
    </row>
    <row r="50" spans="1:11" ht="20.149999999999999" customHeight="1" x14ac:dyDescent="0.35">
      <c r="A50" s="278">
        <v>13</v>
      </c>
      <c r="B50" s="286" t="s">
        <v>976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977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0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978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979</v>
      </c>
      <c r="C55" s="294">
        <f>+data!M675</f>
        <v>0</v>
      </c>
      <c r="D55" s="294">
        <f>+data!M676</f>
        <v>0</v>
      </c>
      <c r="E55" s="294">
        <f>+data!M677</f>
        <v>0</v>
      </c>
      <c r="F55" s="294">
        <f>+data!M678</f>
        <v>0</v>
      </c>
      <c r="G55" s="294">
        <f>+data!M679</f>
        <v>0</v>
      </c>
      <c r="H55" s="294">
        <f>+data!M680</f>
        <v>0</v>
      </c>
      <c r="I55" s="294">
        <f>+data!M681</f>
        <v>0</v>
      </c>
    </row>
    <row r="56" spans="1:11" ht="20.149999999999999" customHeight="1" x14ac:dyDescent="0.35">
      <c r="A56" s="278">
        <v>19</v>
      </c>
      <c r="B56" s="294" t="s">
        <v>980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0</v>
      </c>
    </row>
    <row r="57" spans="1:11" ht="20.149999999999999" customHeight="1" x14ac:dyDescent="0.35">
      <c r="A57" s="278">
        <v>20</v>
      </c>
      <c r="B57" s="294" t="s">
        <v>981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0</v>
      </c>
    </row>
    <row r="58" spans="1:11" ht="20.149999999999999" customHeight="1" x14ac:dyDescent="0.35">
      <c r="A58" s="278">
        <v>21</v>
      </c>
      <c r="B58" s="294" t="s">
        <v>982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0</v>
      </c>
    </row>
    <row r="59" spans="1:11" ht="20.149999999999999" customHeight="1" x14ac:dyDescent="0.35">
      <c r="A59" s="278" t="s">
        <v>983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984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0</v>
      </c>
      <c r="K60" s="297"/>
    </row>
    <row r="61" spans="1:11" ht="20.149999999999999" customHeight="1" x14ac:dyDescent="0.35">
      <c r="A61" s="278">
        <v>23</v>
      </c>
      <c r="B61" s="286" t="s">
        <v>985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986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49999999999999" customHeight="1" x14ac:dyDescent="0.35">
      <c r="A63" s="278">
        <v>25</v>
      </c>
      <c r="B63" s="286" t="s">
        <v>987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0</v>
      </c>
    </row>
    <row r="65" spans="1:9" ht="20.149999999999999" customHeight="1" x14ac:dyDescent="0.35">
      <c r="A65" s="279" t="s">
        <v>969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991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Inland Northwest Behavioral Health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971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992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975</v>
      </c>
      <c r="C72" s="288" t="s">
        <v>993</v>
      </c>
      <c r="D72" s="287" t="s">
        <v>994</v>
      </c>
      <c r="E72" s="298"/>
      <c r="F72" s="298"/>
      <c r="G72" s="287" t="s">
        <v>995</v>
      </c>
      <c r="H72" s="287" t="s">
        <v>995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</v>
      </c>
      <c r="F74" s="293">
        <f>data!T60</f>
        <v>0</v>
      </c>
      <c r="G74" s="293">
        <f>data!U60</f>
        <v>0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0</v>
      </c>
      <c r="F75" s="286">
        <f>data!T61</f>
        <v>0</v>
      </c>
      <c r="G75" s="286">
        <f>data!U61</f>
        <v>0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0</v>
      </c>
      <c r="F76" s="286">
        <f>data!T62</f>
        <v>0</v>
      </c>
      <c r="G76" s="286">
        <f>data!U62</f>
        <v>0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0</v>
      </c>
      <c r="F78" s="286">
        <f>data!T64</f>
        <v>0</v>
      </c>
      <c r="G78" s="286">
        <f>data!U64</f>
        <v>0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0</v>
      </c>
      <c r="G80" s="286">
        <f>data!U66</f>
        <v>0</v>
      </c>
      <c r="H80" s="286">
        <f>data!V66</f>
        <v>0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0</v>
      </c>
      <c r="G81" s="286">
        <f>data!U67</f>
        <v>2111</v>
      </c>
      <c r="H81" s="286">
        <f>data!V67</f>
        <v>0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976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977</v>
      </c>
      <c r="C83" s="286">
        <f>data!Q69</f>
        <v>0</v>
      </c>
      <c r="D83" s="286">
        <f>data!R69</f>
        <v>0</v>
      </c>
      <c r="E83" s="286">
        <f>data!S69</f>
        <v>0</v>
      </c>
      <c r="F83" s="286">
        <f>data!T69</f>
        <v>0</v>
      </c>
      <c r="G83" s="286">
        <f>data!U69</f>
        <v>57172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978</v>
      </c>
      <c r="C85" s="286">
        <f>data!Q85</f>
        <v>0</v>
      </c>
      <c r="D85" s="286">
        <f>data!R85</f>
        <v>0</v>
      </c>
      <c r="E85" s="286">
        <f>data!S85</f>
        <v>0</v>
      </c>
      <c r="F85" s="286">
        <f>data!T85</f>
        <v>0</v>
      </c>
      <c r="G85" s="286">
        <f>data!U85</f>
        <v>59283</v>
      </c>
      <c r="H85" s="286">
        <f>data!V85</f>
        <v>0</v>
      </c>
      <c r="I85" s="286">
        <f>data!W85</f>
        <v>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979</v>
      </c>
      <c r="C87" s="294">
        <f>+data!M682</f>
        <v>0</v>
      </c>
      <c r="D87" s="294">
        <f>+data!M683</f>
        <v>0</v>
      </c>
      <c r="E87" s="294">
        <f>+data!M684</f>
        <v>0</v>
      </c>
      <c r="F87" s="294">
        <f>+data!M685</f>
        <v>0</v>
      </c>
      <c r="G87" s="294">
        <f>+data!M686</f>
        <v>12602</v>
      </c>
      <c r="H87" s="294">
        <f>+data!M687</f>
        <v>0</v>
      </c>
      <c r="I87" s="294">
        <f>+data!M688</f>
        <v>0</v>
      </c>
    </row>
    <row r="88" spans="1:9" ht="20.149999999999999" customHeight="1" x14ac:dyDescent="0.35">
      <c r="A88" s="278">
        <v>19</v>
      </c>
      <c r="B88" s="294" t="s">
        <v>980</v>
      </c>
      <c r="C88" s="286">
        <f>data!Q87</f>
        <v>0</v>
      </c>
      <c r="D88" s="286">
        <f>data!R87</f>
        <v>0</v>
      </c>
      <c r="E88" s="286">
        <f>data!S87</f>
        <v>0</v>
      </c>
      <c r="F88" s="286">
        <f>data!T87</f>
        <v>0</v>
      </c>
      <c r="G88" s="286">
        <f>data!U87</f>
        <v>0</v>
      </c>
      <c r="H88" s="286">
        <f>data!V87</f>
        <v>0</v>
      </c>
      <c r="I88" s="286">
        <f>data!W87</f>
        <v>0</v>
      </c>
    </row>
    <row r="89" spans="1:9" ht="20.149999999999999" customHeight="1" x14ac:dyDescent="0.35">
      <c r="A89" s="278">
        <v>20</v>
      </c>
      <c r="B89" s="294" t="s">
        <v>981</v>
      </c>
      <c r="C89" s="286">
        <f>data!Q88</f>
        <v>0</v>
      </c>
      <c r="D89" s="286">
        <f>data!R88</f>
        <v>0</v>
      </c>
      <c r="E89" s="286">
        <f>data!S88</f>
        <v>0</v>
      </c>
      <c r="F89" s="286">
        <f>data!T88</f>
        <v>0</v>
      </c>
      <c r="G89" s="286">
        <f>data!U88</f>
        <v>0</v>
      </c>
      <c r="H89" s="286">
        <f>data!V88</f>
        <v>0</v>
      </c>
      <c r="I89" s="286">
        <f>data!W88</f>
        <v>0</v>
      </c>
    </row>
    <row r="90" spans="1:9" ht="20.149999999999999" customHeight="1" x14ac:dyDescent="0.35">
      <c r="A90" s="278">
        <v>21</v>
      </c>
      <c r="B90" s="294" t="s">
        <v>982</v>
      </c>
      <c r="C90" s="286">
        <f>data!Q89</f>
        <v>0</v>
      </c>
      <c r="D90" s="286">
        <f>data!R89</f>
        <v>0</v>
      </c>
      <c r="E90" s="286">
        <f>data!S89</f>
        <v>0</v>
      </c>
      <c r="F90" s="286">
        <f>data!T89</f>
        <v>0</v>
      </c>
      <c r="G90" s="286">
        <f>data!U89</f>
        <v>0</v>
      </c>
      <c r="H90" s="286">
        <f>data!V89</f>
        <v>0</v>
      </c>
      <c r="I90" s="286">
        <f>data!W89</f>
        <v>0</v>
      </c>
    </row>
    <row r="91" spans="1:9" ht="20.149999999999999" customHeight="1" x14ac:dyDescent="0.35">
      <c r="A91" s="278" t="s">
        <v>983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984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0</v>
      </c>
      <c r="G92" s="286">
        <f>data!U90</f>
        <v>65</v>
      </c>
      <c r="H92" s="286">
        <f>data!V90</f>
        <v>0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985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986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987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969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996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Inland Northwest Behavioral Health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971</v>
      </c>
      <c r="C102" s="292" t="s">
        <v>997</v>
      </c>
      <c r="D102" s="292" t="s">
        <v>998</v>
      </c>
      <c r="E102" s="292" t="s">
        <v>998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975</v>
      </c>
      <c r="C104" s="287" t="s">
        <v>236</v>
      </c>
      <c r="D104" s="288" t="s">
        <v>999</v>
      </c>
      <c r="E104" s="288" t="s">
        <v>999</v>
      </c>
      <c r="F104" s="288" t="s">
        <v>999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</v>
      </c>
      <c r="D106" s="293">
        <f>data!Y60</f>
        <v>0</v>
      </c>
      <c r="E106" s="293">
        <f>data!Z60</f>
        <v>0</v>
      </c>
      <c r="F106" s="293">
        <f>data!AA60</f>
        <v>0</v>
      </c>
      <c r="G106" s="293">
        <f>data!AB60</f>
        <v>2.3019230769230767</v>
      </c>
      <c r="H106" s="293">
        <f>data!AC60</f>
        <v>0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0</v>
      </c>
      <c r="D107" s="286">
        <f>data!Y61</f>
        <v>0</v>
      </c>
      <c r="E107" s="286">
        <f>data!Z61</f>
        <v>0</v>
      </c>
      <c r="F107" s="286">
        <f>data!AA61</f>
        <v>0</v>
      </c>
      <c r="G107" s="286">
        <f>data!AB61</f>
        <v>337010.05</v>
      </c>
      <c r="H107" s="286">
        <f>data!AC61</f>
        <v>0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0</v>
      </c>
      <c r="D108" s="286">
        <f>data!Y62</f>
        <v>0</v>
      </c>
      <c r="E108" s="286">
        <f>data!Z62</f>
        <v>0</v>
      </c>
      <c r="F108" s="286">
        <f>data!AA62</f>
        <v>0</v>
      </c>
      <c r="G108" s="286">
        <f>data!AB62</f>
        <v>75327</v>
      </c>
      <c r="H108" s="286">
        <f>data!AC62</f>
        <v>0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0</v>
      </c>
      <c r="D110" s="286">
        <f>data!Y64</f>
        <v>0</v>
      </c>
      <c r="E110" s="286">
        <f>data!Z64</f>
        <v>0</v>
      </c>
      <c r="F110" s="286">
        <f>data!AA64</f>
        <v>0</v>
      </c>
      <c r="G110" s="286">
        <f>data!AB64</f>
        <v>269975</v>
      </c>
      <c r="H110" s="286">
        <f>data!AC64</f>
        <v>0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0</v>
      </c>
      <c r="D112" s="286">
        <f>data!Y66</f>
        <v>0</v>
      </c>
      <c r="E112" s="286">
        <f>data!Z66</f>
        <v>0</v>
      </c>
      <c r="F112" s="286">
        <f>data!AA66</f>
        <v>0</v>
      </c>
      <c r="G112" s="286">
        <f>data!AB66</f>
        <v>113441.18</v>
      </c>
      <c r="H112" s="286">
        <f>data!AC66</f>
        <v>0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0</v>
      </c>
      <c r="D113" s="286">
        <f>data!Y67</f>
        <v>0</v>
      </c>
      <c r="E113" s="286">
        <f>data!Z67</f>
        <v>0</v>
      </c>
      <c r="F113" s="286">
        <f>data!AA67</f>
        <v>0</v>
      </c>
      <c r="G113" s="286">
        <f>data!AB67</f>
        <v>24484</v>
      </c>
      <c r="H113" s="286">
        <f>data!AC67</f>
        <v>0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976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977</v>
      </c>
      <c r="C115" s="286">
        <f>data!X69</f>
        <v>0</v>
      </c>
      <c r="D115" s="286">
        <f>data!Y69</f>
        <v>0</v>
      </c>
      <c r="E115" s="286">
        <f>data!Z69</f>
        <v>0</v>
      </c>
      <c r="F115" s="286">
        <f>data!AA69</f>
        <v>0</v>
      </c>
      <c r="G115" s="286">
        <f>data!AB69</f>
        <v>0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978</v>
      </c>
      <c r="C117" s="286">
        <f>data!X85</f>
        <v>0</v>
      </c>
      <c r="D117" s="286">
        <f>data!Y85</f>
        <v>0</v>
      </c>
      <c r="E117" s="286">
        <f>data!Z85</f>
        <v>0</v>
      </c>
      <c r="F117" s="286">
        <f>data!AA85</f>
        <v>0</v>
      </c>
      <c r="G117" s="286">
        <f>data!AB85</f>
        <v>820237.23</v>
      </c>
      <c r="H117" s="286">
        <f>data!AC85</f>
        <v>0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979</v>
      </c>
      <c r="C119" s="294">
        <f>+data!M689</f>
        <v>0</v>
      </c>
      <c r="D119" s="294">
        <f>+data!M690</f>
        <v>0</v>
      </c>
      <c r="E119" s="294">
        <f>+data!M691</f>
        <v>0</v>
      </c>
      <c r="F119" s="294">
        <f>+data!M692</f>
        <v>0</v>
      </c>
      <c r="G119" s="294">
        <f>+data!M693</f>
        <v>210606</v>
      </c>
      <c r="H119" s="294">
        <f>+data!M694</f>
        <v>0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980</v>
      </c>
      <c r="C120" s="286">
        <f>data!X87</f>
        <v>0</v>
      </c>
      <c r="D120" s="286">
        <f>data!Y87</f>
        <v>0</v>
      </c>
      <c r="E120" s="286">
        <f>data!Z87</f>
        <v>0</v>
      </c>
      <c r="F120" s="286">
        <f>data!AA87</f>
        <v>0</v>
      </c>
      <c r="G120" s="286">
        <f>data!AB87</f>
        <v>0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981</v>
      </c>
      <c r="C121" s="286">
        <f>data!X88</f>
        <v>0</v>
      </c>
      <c r="D121" s="286">
        <f>data!Y88</f>
        <v>0</v>
      </c>
      <c r="E121" s="286">
        <f>data!Z88</f>
        <v>0</v>
      </c>
      <c r="F121" s="286">
        <f>data!AA88</f>
        <v>0</v>
      </c>
      <c r="G121" s="286">
        <f>data!AB88</f>
        <v>0</v>
      </c>
      <c r="H121" s="286">
        <f>data!AC88</f>
        <v>0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982</v>
      </c>
      <c r="C122" s="286">
        <f>data!X89</f>
        <v>0</v>
      </c>
      <c r="D122" s="286">
        <f>data!Y89</f>
        <v>0</v>
      </c>
      <c r="E122" s="286">
        <f>data!Z89</f>
        <v>0</v>
      </c>
      <c r="F122" s="286">
        <f>data!AA89</f>
        <v>0</v>
      </c>
      <c r="G122" s="286">
        <f>data!AB89</f>
        <v>0</v>
      </c>
      <c r="H122" s="286">
        <f>data!AC89</f>
        <v>0</v>
      </c>
      <c r="I122" s="286">
        <f>data!AD89</f>
        <v>0</v>
      </c>
    </row>
    <row r="123" spans="1:9" ht="20.149999999999999" customHeight="1" x14ac:dyDescent="0.35">
      <c r="A123" s="278" t="s">
        <v>983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984</v>
      </c>
      <c r="C124" s="286">
        <f>data!X90</f>
        <v>0</v>
      </c>
      <c r="D124" s="286">
        <f>data!Y90</f>
        <v>0</v>
      </c>
      <c r="E124" s="286">
        <f>data!Z90</f>
        <v>0</v>
      </c>
      <c r="F124" s="286">
        <f>data!AA90</f>
        <v>0</v>
      </c>
      <c r="G124" s="286">
        <f>data!AB90</f>
        <v>754</v>
      </c>
      <c r="H124" s="286">
        <f>data!AC90</f>
        <v>0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985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986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987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969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1000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Inland Northwest Behavioral Health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971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1001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975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1002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0</v>
      </c>
      <c r="D138" s="293">
        <f>data!AF60</f>
        <v>0</v>
      </c>
      <c r="E138" s="293">
        <f>data!AG60</f>
        <v>0</v>
      </c>
      <c r="F138" s="293">
        <f>data!AH60</f>
        <v>0</v>
      </c>
      <c r="G138" s="293">
        <f>data!AI60</f>
        <v>0</v>
      </c>
      <c r="H138" s="293">
        <f>data!AJ60</f>
        <v>0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0</v>
      </c>
      <c r="D139" s="286">
        <f>data!AF61</f>
        <v>0</v>
      </c>
      <c r="E139" s="286">
        <f>data!AG61</f>
        <v>0</v>
      </c>
      <c r="F139" s="286">
        <f>data!AH61</f>
        <v>0</v>
      </c>
      <c r="G139" s="286">
        <f>data!AI61</f>
        <v>0</v>
      </c>
      <c r="H139" s="286">
        <f>data!AJ61</f>
        <v>0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0</v>
      </c>
      <c r="D140" s="286">
        <f>data!AF62</f>
        <v>0</v>
      </c>
      <c r="E140" s="286">
        <f>data!AG62</f>
        <v>0</v>
      </c>
      <c r="F140" s="286">
        <f>data!AH62</f>
        <v>0</v>
      </c>
      <c r="G140" s="286">
        <f>data!AI62</f>
        <v>0</v>
      </c>
      <c r="H140" s="286">
        <f>data!AJ62</f>
        <v>0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0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0</v>
      </c>
      <c r="D142" s="286">
        <f>data!AF64</f>
        <v>0</v>
      </c>
      <c r="E142" s="286">
        <f>data!AG64</f>
        <v>0</v>
      </c>
      <c r="F142" s="286">
        <f>data!AH64</f>
        <v>0</v>
      </c>
      <c r="G142" s="286">
        <f>data!AI64</f>
        <v>0</v>
      </c>
      <c r="H142" s="286">
        <f>data!AJ64</f>
        <v>0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0</v>
      </c>
      <c r="D144" s="286">
        <f>data!AF66</f>
        <v>0</v>
      </c>
      <c r="E144" s="286">
        <f>data!AG66</f>
        <v>0</v>
      </c>
      <c r="F144" s="286">
        <f>data!AH66</f>
        <v>0</v>
      </c>
      <c r="G144" s="286">
        <f>data!AI66</f>
        <v>0</v>
      </c>
      <c r="H144" s="286">
        <f>data!AJ66</f>
        <v>0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0</v>
      </c>
      <c r="D145" s="286">
        <f>data!AF67</f>
        <v>0</v>
      </c>
      <c r="E145" s="286">
        <f>data!AG67</f>
        <v>0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976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977</v>
      </c>
      <c r="C147" s="286">
        <f>data!AE69</f>
        <v>0</v>
      </c>
      <c r="D147" s="286">
        <f>data!AF69</f>
        <v>0</v>
      </c>
      <c r="E147" s="286">
        <f>data!AG69</f>
        <v>0</v>
      </c>
      <c r="F147" s="286">
        <f>data!AH69</f>
        <v>0</v>
      </c>
      <c r="G147" s="286">
        <f>data!AI69</f>
        <v>0</v>
      </c>
      <c r="H147" s="286">
        <f>data!AJ69</f>
        <v>0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978</v>
      </c>
      <c r="C149" s="286">
        <f>data!AE85</f>
        <v>0</v>
      </c>
      <c r="D149" s="286">
        <f>data!AF85</f>
        <v>0</v>
      </c>
      <c r="E149" s="286">
        <f>data!AG85</f>
        <v>0</v>
      </c>
      <c r="F149" s="286">
        <f>data!AH85</f>
        <v>0</v>
      </c>
      <c r="G149" s="286">
        <f>data!AI85</f>
        <v>0</v>
      </c>
      <c r="H149" s="286">
        <f>data!AJ85</f>
        <v>0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979</v>
      </c>
      <c r="C151" s="294">
        <f>+data!M696</f>
        <v>0</v>
      </c>
      <c r="D151" s="294">
        <f>+data!M697</f>
        <v>0</v>
      </c>
      <c r="E151" s="294">
        <f>+data!M698</f>
        <v>0</v>
      </c>
      <c r="F151" s="294">
        <f>+data!M699</f>
        <v>0</v>
      </c>
      <c r="G151" s="294">
        <f>+data!M700</f>
        <v>0</v>
      </c>
      <c r="H151" s="294">
        <f>+data!M701</f>
        <v>0</v>
      </c>
      <c r="I151" s="294">
        <f>+data!M702</f>
        <v>0</v>
      </c>
    </row>
    <row r="152" spans="1:9" ht="20.149999999999999" customHeight="1" x14ac:dyDescent="0.35">
      <c r="A152" s="278">
        <v>19</v>
      </c>
      <c r="B152" s="294" t="s">
        <v>980</v>
      </c>
      <c r="C152" s="286">
        <f>data!AE87</f>
        <v>0</v>
      </c>
      <c r="D152" s="286">
        <f>data!AF87</f>
        <v>0</v>
      </c>
      <c r="E152" s="286">
        <f>data!AG87</f>
        <v>0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981</v>
      </c>
      <c r="C153" s="286">
        <f>data!AE88</f>
        <v>0</v>
      </c>
      <c r="D153" s="286">
        <f>data!AF88</f>
        <v>0</v>
      </c>
      <c r="E153" s="286">
        <f>data!AG88</f>
        <v>0</v>
      </c>
      <c r="F153" s="286">
        <f>data!AH88</f>
        <v>0</v>
      </c>
      <c r="G153" s="286">
        <f>data!AI88</f>
        <v>0</v>
      </c>
      <c r="H153" s="286">
        <f>data!AJ88</f>
        <v>0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982</v>
      </c>
      <c r="C154" s="286">
        <f>data!AE89</f>
        <v>0</v>
      </c>
      <c r="D154" s="286">
        <f>data!AF89</f>
        <v>0</v>
      </c>
      <c r="E154" s="286">
        <f>data!AG89</f>
        <v>0</v>
      </c>
      <c r="F154" s="286">
        <f>data!AH89</f>
        <v>0</v>
      </c>
      <c r="G154" s="286">
        <f>data!AI89</f>
        <v>0</v>
      </c>
      <c r="H154" s="286">
        <f>data!AJ89</f>
        <v>0</v>
      </c>
      <c r="I154" s="286">
        <f>data!AK89</f>
        <v>0</v>
      </c>
    </row>
    <row r="155" spans="1:9" ht="20.149999999999999" customHeight="1" x14ac:dyDescent="0.35">
      <c r="A155" s="278" t="s">
        <v>983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984</v>
      </c>
      <c r="C156" s="286">
        <f>data!AE90</f>
        <v>0</v>
      </c>
      <c r="D156" s="286">
        <f>data!AF90</f>
        <v>0</v>
      </c>
      <c r="E156" s="286">
        <f>data!AG90</f>
        <v>0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985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986</v>
      </c>
      <c r="C158" s="286">
        <f>data!AE92</f>
        <v>0</v>
      </c>
      <c r="D158" s="286">
        <f>data!AF92</f>
        <v>0</v>
      </c>
      <c r="E158" s="286">
        <f>data!AG92</f>
        <v>0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987</v>
      </c>
      <c r="C159" s="286">
        <f>data!AE93</f>
        <v>0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0</v>
      </c>
      <c r="F160" s="293">
        <f>data!AH94</f>
        <v>0</v>
      </c>
      <c r="G160" s="293">
        <f>data!AI94</f>
        <v>0</v>
      </c>
      <c r="H160" s="293">
        <f>data!AJ94</f>
        <v>0</v>
      </c>
      <c r="I160" s="293">
        <f>data!AK94</f>
        <v>0</v>
      </c>
    </row>
    <row r="161" spans="1:9" ht="20.149999999999999" customHeight="1" x14ac:dyDescent="0.35">
      <c r="A161" s="279" t="s">
        <v>969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1003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Inland Northwest Behavioral Health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971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1004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1005</v>
      </c>
      <c r="F167" s="292" t="s">
        <v>194</v>
      </c>
      <c r="G167" s="292" t="s">
        <v>133</v>
      </c>
      <c r="H167" s="291" t="s">
        <v>1006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975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3.0105769230769233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191663.26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42840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7290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4560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844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976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977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978</v>
      </c>
      <c r="C181" s="286">
        <f>data!AL85</f>
        <v>0</v>
      </c>
      <c r="D181" s="286">
        <f>data!AM85</f>
        <v>247197.26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979</v>
      </c>
      <c r="C183" s="294">
        <f>+data!M703</f>
        <v>0</v>
      </c>
      <c r="D183" s="294">
        <f>+data!M704</f>
        <v>58067</v>
      </c>
      <c r="E183" s="294">
        <f>+data!M705</f>
        <v>0</v>
      </c>
      <c r="F183" s="294">
        <f>+data!M706</f>
        <v>0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980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981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982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983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984</v>
      </c>
      <c r="C188" s="286">
        <f>data!AL90</f>
        <v>0</v>
      </c>
      <c r="D188" s="286">
        <f>data!AM90</f>
        <v>26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985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986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987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969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1007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Inland Northwest Behavioral Health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971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1008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1009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975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66849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7.508173076923077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6.3855769230769228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602647.51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352892.02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134701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78877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5684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377088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1619.15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86992</v>
      </c>
    </row>
    <row r="210" spans="1:9" ht="20.149999999999999" customHeight="1" x14ac:dyDescent="0.35">
      <c r="A210" s="278">
        <v>13</v>
      </c>
      <c r="B210" s="286" t="s">
        <v>976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977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0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978</v>
      </c>
      <c r="C213" s="286">
        <f>data!AS85</f>
        <v>0</v>
      </c>
      <c r="D213" s="286">
        <f>data!AT85</f>
        <v>0</v>
      </c>
      <c r="E213" s="286">
        <f>data!AU85</f>
        <v>743032.51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897468.17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979</v>
      </c>
      <c r="C215" s="294">
        <f>+data!M710</f>
        <v>0</v>
      </c>
      <c r="D215" s="294">
        <f>+data!M711</f>
        <v>0</v>
      </c>
      <c r="E215" s="294">
        <f>+data!M712</f>
        <v>164241</v>
      </c>
      <c r="F215" s="294">
        <f>+data!M713</f>
        <v>0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980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981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982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983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984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2679</v>
      </c>
    </row>
    <row r="221" spans="1:9" ht="20.149999999999999" customHeight="1" x14ac:dyDescent="0.35">
      <c r="A221" s="278">
        <v>23</v>
      </c>
      <c r="B221" s="286" t="s">
        <v>985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986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987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969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1010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Inland Northwest Behavioral Health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971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1011</v>
      </c>
      <c r="F231" s="292" t="s">
        <v>1012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975</v>
      </c>
      <c r="C232" s="288" t="s">
        <v>1013</v>
      </c>
      <c r="D232" s="288" t="s">
        <v>1014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68235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9.1653846153846157</v>
      </c>
      <c r="F234" s="293">
        <f>data!BC60</f>
        <v>0</v>
      </c>
      <c r="G234" s="293">
        <f>data!BD60</f>
        <v>0.50144230769231002</v>
      </c>
      <c r="H234" s="293">
        <f>data!BE60</f>
        <v>1.9245192307692307</v>
      </c>
      <c r="I234" s="293">
        <f>data!BF60</f>
        <v>4.4259615384615385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806294.20000000007</v>
      </c>
      <c r="F235" s="286">
        <f>data!BC61</f>
        <v>0</v>
      </c>
      <c r="G235" s="286">
        <f>data!BD61</f>
        <v>42483.05</v>
      </c>
      <c r="H235" s="286">
        <f>data!BE61</f>
        <v>201349.83</v>
      </c>
      <c r="I235" s="286">
        <f>data!BF61</f>
        <v>200542.03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180220</v>
      </c>
      <c r="F236" s="286">
        <f>data!BC62</f>
        <v>0</v>
      </c>
      <c r="G236" s="286">
        <f>data!BD62</f>
        <v>9496</v>
      </c>
      <c r="H236" s="286">
        <f>data!BE62</f>
        <v>45005</v>
      </c>
      <c r="I236" s="286">
        <f>data!BF62</f>
        <v>44824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4560</v>
      </c>
      <c r="F238" s="286">
        <f>data!BC64</f>
        <v>0</v>
      </c>
      <c r="G238" s="286">
        <f>data!BD64</f>
        <v>16717</v>
      </c>
      <c r="H238" s="286">
        <f>data!BE64</f>
        <v>7893</v>
      </c>
      <c r="I238" s="286">
        <f>data!BF64</f>
        <v>42388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10572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53553.99</v>
      </c>
      <c r="G240" s="286">
        <f>data!BD66</f>
        <v>-246.24</v>
      </c>
      <c r="H240" s="286">
        <f>data!BE66</f>
        <v>40071.480000000003</v>
      </c>
      <c r="I240" s="286">
        <f>data!BF66</f>
        <v>14949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62996</v>
      </c>
      <c r="D241" s="286">
        <f>data!BA67</f>
        <v>0</v>
      </c>
      <c r="E241" s="286">
        <f>data!BB67</f>
        <v>42506</v>
      </c>
      <c r="F241" s="286">
        <f>data!BC67</f>
        <v>0</v>
      </c>
      <c r="G241" s="286">
        <f>data!BD67</f>
        <v>9384</v>
      </c>
      <c r="H241" s="286">
        <f>data!BE67</f>
        <v>690095</v>
      </c>
      <c r="I241" s="286">
        <f>data!BF67</f>
        <v>41467</v>
      </c>
    </row>
    <row r="242" spans="1:9" ht="20.149999999999999" customHeight="1" x14ac:dyDescent="0.35">
      <c r="A242" s="278">
        <v>13</v>
      </c>
      <c r="B242" s="286" t="s">
        <v>976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12000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977</v>
      </c>
      <c r="C243" s="286">
        <f>data!AZ69</f>
        <v>0</v>
      </c>
      <c r="D243" s="286">
        <f>data!BA69</f>
        <v>143619.35999999999</v>
      </c>
      <c r="E243" s="286">
        <f>data!BB69</f>
        <v>720</v>
      </c>
      <c r="F243" s="286">
        <f>data!BC69</f>
        <v>0</v>
      </c>
      <c r="G243" s="286">
        <f>data!BD69</f>
        <v>0</v>
      </c>
      <c r="H243" s="286">
        <f>data!BE69</f>
        <v>169824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978</v>
      </c>
      <c r="C245" s="286">
        <f>data!AZ85</f>
        <v>62996</v>
      </c>
      <c r="D245" s="286">
        <f>data!BA85</f>
        <v>143619.35999999999</v>
      </c>
      <c r="E245" s="286">
        <f>data!BB85</f>
        <v>1034300.2000000001</v>
      </c>
      <c r="F245" s="286">
        <f>data!BC85</f>
        <v>53553.99</v>
      </c>
      <c r="G245" s="286">
        <f>data!BD85</f>
        <v>77833.81</v>
      </c>
      <c r="H245" s="286">
        <f>data!BE85</f>
        <v>1176810.31</v>
      </c>
      <c r="I245" s="286">
        <f>data!BF85</f>
        <v>344170.03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979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980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981</v>
      </c>
      <c r="C249" s="301" t="str">
        <f>IF(data!AZ74&gt;0,data!AZ74,"")</f>
        <v/>
      </c>
      <c r="D249" s="301">
        <f>IF(data!BA74&gt;0,data!BA74,"")</f>
        <v>143619.35999999999</v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982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983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984</v>
      </c>
      <c r="C252" s="302">
        <f>data!AZ90</f>
        <v>1940</v>
      </c>
      <c r="D252" s="302">
        <f>data!BA90</f>
        <v>0</v>
      </c>
      <c r="E252" s="302">
        <f>data!BB90</f>
        <v>1309</v>
      </c>
      <c r="F252" s="302">
        <f>data!BC90</f>
        <v>0</v>
      </c>
      <c r="G252" s="302">
        <f>data!BD90</f>
        <v>289</v>
      </c>
      <c r="H252" s="302">
        <f>data!BE90</f>
        <v>21252</v>
      </c>
      <c r="I252" s="302">
        <f>data!BF90</f>
        <v>1277</v>
      </c>
    </row>
    <row r="253" spans="1:9" ht="20.149999999999999" customHeight="1" x14ac:dyDescent="0.35">
      <c r="A253" s="278">
        <v>23</v>
      </c>
      <c r="B253" s="286" t="s">
        <v>985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986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987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>
        <f>IF(data!BB80&gt;0,data!BB80,"")</f>
        <v>720</v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969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1015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Inland Northwest Behavioral Health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971</v>
      </c>
      <c r="C262" s="292" t="s">
        <v>1016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1017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1018</v>
      </c>
    </row>
    <row r="264" spans="1:9" ht="20.149999999999999" customHeight="1" x14ac:dyDescent="0.35">
      <c r="A264" s="278">
        <v>3</v>
      </c>
      <c r="B264" s="286" t="s">
        <v>975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2.3413461538461537</v>
      </c>
      <c r="D266" s="293">
        <f>data!BH60</f>
        <v>0.50144230769231002</v>
      </c>
      <c r="E266" s="293">
        <f>data!BI60</f>
        <v>0</v>
      </c>
      <c r="F266" s="293">
        <f>data!BJ60</f>
        <v>2.9562499999999998</v>
      </c>
      <c r="G266" s="293">
        <f>data!BK60</f>
        <v>4.4274038461538465</v>
      </c>
      <c r="H266" s="293">
        <f>data!BL60</f>
        <v>11.504807692307692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96337.04</v>
      </c>
      <c r="D267" s="286">
        <f>data!BH61</f>
        <v>42483.05</v>
      </c>
      <c r="E267" s="286">
        <f>data!BI61</f>
        <v>0</v>
      </c>
      <c r="F267" s="286">
        <f>data!BJ61</f>
        <v>293928.05</v>
      </c>
      <c r="G267" s="286">
        <f>data!BK61</f>
        <v>284084</v>
      </c>
      <c r="H267" s="286">
        <f>data!BL61</f>
        <v>1002723.29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21533</v>
      </c>
      <c r="D268" s="286">
        <f>data!BH62</f>
        <v>9496</v>
      </c>
      <c r="E268" s="286">
        <f>data!BI62</f>
        <v>0</v>
      </c>
      <c r="F268" s="286">
        <f>data!BJ62</f>
        <v>65698</v>
      </c>
      <c r="G268" s="286">
        <f>data!BK62</f>
        <v>63497</v>
      </c>
      <c r="H268" s="286">
        <f>data!BL62</f>
        <v>224125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16525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0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85493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76388.489999999991</v>
      </c>
      <c r="E272" s="286">
        <f>data!BI66</f>
        <v>183534.39</v>
      </c>
      <c r="F272" s="286">
        <f>data!BJ66</f>
        <v>0</v>
      </c>
      <c r="G272" s="286">
        <f>data!BK66</f>
        <v>32542.81</v>
      </c>
      <c r="H272" s="286">
        <f>data!BL66</f>
        <v>0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7436</v>
      </c>
      <c r="D273" s="286">
        <f>data!BH67</f>
        <v>9319</v>
      </c>
      <c r="E273" s="286">
        <f>data!BI67</f>
        <v>0</v>
      </c>
      <c r="F273" s="286">
        <f>data!BJ67</f>
        <v>7793</v>
      </c>
      <c r="G273" s="286">
        <f>data!BK67</f>
        <v>8086</v>
      </c>
      <c r="H273" s="286">
        <f>data!BL67</f>
        <v>44324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976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977</v>
      </c>
      <c r="C275" s="286">
        <f>data!BG69</f>
        <v>0</v>
      </c>
      <c r="D275" s="286">
        <f>data!BH69</f>
        <v>0</v>
      </c>
      <c r="E275" s="286">
        <f>data!BI69</f>
        <v>168699</v>
      </c>
      <c r="F275" s="286">
        <f>data!BJ69</f>
        <v>0</v>
      </c>
      <c r="G275" s="286">
        <f>data!BK69</f>
        <v>0</v>
      </c>
      <c r="H275" s="286">
        <f>data!BL69</f>
        <v>0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978</v>
      </c>
      <c r="C277" s="286">
        <f>data!BG85</f>
        <v>125306.04</v>
      </c>
      <c r="D277" s="286">
        <f>data!BH85</f>
        <v>239704.53999999998</v>
      </c>
      <c r="E277" s="286">
        <f>data!BI85</f>
        <v>352233.39</v>
      </c>
      <c r="F277" s="286">
        <f>data!BJ85</f>
        <v>367419.05</v>
      </c>
      <c r="G277" s="286">
        <f>data!BK85</f>
        <v>388209.81</v>
      </c>
      <c r="H277" s="286">
        <f>data!BL85</f>
        <v>1271172.29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979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980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981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982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983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984</v>
      </c>
      <c r="C284" s="302">
        <f>data!BG90</f>
        <v>229</v>
      </c>
      <c r="D284" s="302">
        <f>data!BH90</f>
        <v>287</v>
      </c>
      <c r="E284" s="302">
        <f>data!BI90</f>
        <v>0</v>
      </c>
      <c r="F284" s="302">
        <f>data!BJ90</f>
        <v>240</v>
      </c>
      <c r="G284" s="302">
        <f>data!BK90</f>
        <v>249</v>
      </c>
      <c r="H284" s="302">
        <f>data!BL90</f>
        <v>1365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985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986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987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969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1019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Inland Northwest Behavioral Health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971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1020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975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2.0677884615384619</v>
      </c>
      <c r="D298" s="293">
        <f>data!BO60</f>
        <v>0.20913461538461539</v>
      </c>
      <c r="E298" s="293">
        <f>data!BP60</f>
        <v>2.960576923076923</v>
      </c>
      <c r="F298" s="293">
        <f>data!BQ60</f>
        <v>0</v>
      </c>
      <c r="G298" s="293">
        <f>data!BR60</f>
        <v>3.1312500000000001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307258.51</v>
      </c>
      <c r="D299" s="286">
        <f>data!BO61</f>
        <v>16170.81</v>
      </c>
      <c r="E299" s="286">
        <f>data!BP61</f>
        <v>241670.26</v>
      </c>
      <c r="F299" s="286">
        <f>data!BQ61</f>
        <v>0</v>
      </c>
      <c r="G299" s="286">
        <f>data!BR61</f>
        <v>227156.78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68677</v>
      </c>
      <c r="D300" s="286">
        <f>data!BO62</f>
        <v>3614</v>
      </c>
      <c r="E300" s="286">
        <f>data!BP62</f>
        <v>54017</v>
      </c>
      <c r="F300" s="286">
        <f>data!BQ62</f>
        <v>0</v>
      </c>
      <c r="G300" s="286">
        <f>data!BR62</f>
        <v>50773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0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598</v>
      </c>
      <c r="D302" s="286">
        <f>data!BO64</f>
        <v>28484</v>
      </c>
      <c r="E302" s="286">
        <f>data!BP64</f>
        <v>124</v>
      </c>
      <c r="F302" s="286">
        <f>data!BQ64</f>
        <v>0</v>
      </c>
      <c r="G302" s="286">
        <f>data!BR64</f>
        <v>289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12744.47</v>
      </c>
      <c r="D304" s="286">
        <f>data!BO66</f>
        <v>974.89</v>
      </c>
      <c r="E304" s="286">
        <f>data!BP66</f>
        <v>2299.9</v>
      </c>
      <c r="F304" s="286">
        <f>data!BQ66</f>
        <v>0</v>
      </c>
      <c r="G304" s="286">
        <f>data!BR66</f>
        <v>4125.25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205743</v>
      </c>
      <c r="D305" s="286">
        <f>data!BO67</f>
        <v>0</v>
      </c>
      <c r="E305" s="286">
        <f>data!BP67</f>
        <v>3702</v>
      </c>
      <c r="F305" s="286">
        <f>data!BQ67</f>
        <v>0</v>
      </c>
      <c r="G305" s="286">
        <f>data!BR67</f>
        <v>6300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976</v>
      </c>
      <c r="C306" s="286">
        <f>data!BN68</f>
        <v>1403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977</v>
      </c>
      <c r="C307" s="286">
        <f>data!BN69</f>
        <v>1993914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978</v>
      </c>
      <c r="C309" s="286">
        <f>data!BN85</f>
        <v>2590337.98</v>
      </c>
      <c r="D309" s="286">
        <f>data!BO85</f>
        <v>49243.7</v>
      </c>
      <c r="E309" s="286">
        <f>data!BP85</f>
        <v>301813.16000000003</v>
      </c>
      <c r="F309" s="286">
        <f>data!BQ85</f>
        <v>0</v>
      </c>
      <c r="G309" s="286">
        <f>data!BR85</f>
        <v>288644.03000000003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979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980</v>
      </c>
      <c r="C312" s="301">
        <f>IF(data!BN73&gt;0,data!BN73,"")</f>
        <v>264178</v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981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982</v>
      </c>
      <c r="C314" s="301">
        <f>IF(data!BN75&gt;0,data!BN75,"")</f>
        <v>2244</v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983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984</v>
      </c>
      <c r="C316" s="302">
        <f>data!BN90</f>
        <v>6336</v>
      </c>
      <c r="D316" s="302">
        <f>data!BO90</f>
        <v>0</v>
      </c>
      <c r="E316" s="302">
        <f>data!BP90</f>
        <v>114</v>
      </c>
      <c r="F316" s="302">
        <f>data!BQ90</f>
        <v>0</v>
      </c>
      <c r="G316" s="302">
        <f>data!BR90</f>
        <v>194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985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986</v>
      </c>
      <c r="C318" s="301">
        <f>IF(data!BN78&gt;0,data!BN78,"")</f>
        <v>748348</v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987</v>
      </c>
      <c r="C319" s="301">
        <f>IF(data!BN79&gt;0,data!BN79,"")</f>
        <v>211307</v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>
        <f>IF(data!BN80&gt;0,data!BN80,"")</f>
        <v>1790</v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969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1021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Inland Northwest Behavioral Health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971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1020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975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2.1538461538461537</v>
      </c>
      <c r="E330" s="293">
        <f>data!BW60</f>
        <v>10.419466346153847</v>
      </c>
      <c r="F330" s="293">
        <f>data!BX60</f>
        <v>2.991826923076923</v>
      </c>
      <c r="G330" s="293">
        <f>data!BY60</f>
        <v>10.761538461538462</v>
      </c>
      <c r="H330" s="293">
        <f>data!BZ60</f>
        <v>0</v>
      </c>
      <c r="I330" s="293">
        <f>data!CA60</f>
        <v>6.069230769230769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131778.37</v>
      </c>
      <c r="E331" s="305">
        <f>data!BW61</f>
        <v>0</v>
      </c>
      <c r="F331" s="305">
        <f>data!BX61</f>
        <v>199578.63999999998</v>
      </c>
      <c r="G331" s="305">
        <f>data!BY61</f>
        <v>1089364.02</v>
      </c>
      <c r="H331" s="305">
        <f>data!BZ61</f>
        <v>0</v>
      </c>
      <c r="I331" s="305">
        <f>data!CA61</f>
        <v>593472.89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29455</v>
      </c>
      <c r="E332" s="305">
        <f>data!BW62</f>
        <v>0</v>
      </c>
      <c r="F332" s="305">
        <f>data!BX62</f>
        <v>44609</v>
      </c>
      <c r="G332" s="305">
        <f>data!BY62</f>
        <v>243490</v>
      </c>
      <c r="H332" s="305">
        <f>data!BZ62</f>
        <v>0</v>
      </c>
      <c r="I332" s="305">
        <f>data!CA62</f>
        <v>132651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3036569.44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18700</v>
      </c>
      <c r="E334" s="305">
        <f>data!BW64</f>
        <v>0</v>
      </c>
      <c r="F334" s="305">
        <f>data!BX64</f>
        <v>0</v>
      </c>
      <c r="G334" s="305">
        <f>data!BY64</f>
        <v>0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1527.95</v>
      </c>
      <c r="E336" s="305">
        <f>data!BW66</f>
        <v>15344.45</v>
      </c>
      <c r="F336" s="305">
        <f>data!BX66</f>
        <v>0</v>
      </c>
      <c r="G336" s="305">
        <f>data!BY66</f>
        <v>0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14028</v>
      </c>
      <c r="E337" s="305">
        <f>data!BW67</f>
        <v>38284</v>
      </c>
      <c r="F337" s="305">
        <f>data!BX67</f>
        <v>10781</v>
      </c>
      <c r="G337" s="305">
        <f>data!BY67</f>
        <v>15554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976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977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0</v>
      </c>
      <c r="G339" s="305">
        <f>data!BY69</f>
        <v>0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978</v>
      </c>
      <c r="C341" s="286">
        <f>data!BU85</f>
        <v>0</v>
      </c>
      <c r="D341" s="286">
        <f>data!BV85</f>
        <v>195489.32</v>
      </c>
      <c r="E341" s="286">
        <f>data!BW85</f>
        <v>3090197.89</v>
      </c>
      <c r="F341" s="286">
        <f>data!BX85</f>
        <v>254968.63999999998</v>
      </c>
      <c r="G341" s="286">
        <f>data!BY85</f>
        <v>1348408.02</v>
      </c>
      <c r="H341" s="286">
        <f>data!BZ85</f>
        <v>0</v>
      </c>
      <c r="I341" s="286">
        <f>data!CA85</f>
        <v>726123.89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979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980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981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982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983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984</v>
      </c>
      <c r="C348" s="302">
        <f>data!BU90</f>
        <v>0</v>
      </c>
      <c r="D348" s="302">
        <f>data!BV90</f>
        <v>432</v>
      </c>
      <c r="E348" s="302">
        <f>data!BW90</f>
        <v>1179</v>
      </c>
      <c r="F348" s="302">
        <f>data!BX90</f>
        <v>332</v>
      </c>
      <c r="G348" s="302">
        <f>data!BY90</f>
        <v>479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985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986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987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969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1022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Inland Northwest Behavioral Health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971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1023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975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3.9125000000000001</v>
      </c>
      <c r="E362" s="308"/>
      <c r="F362" s="296"/>
      <c r="G362" s="296"/>
      <c r="H362" s="296"/>
      <c r="I362" s="309">
        <f>data!CE60</f>
        <v>162.72196634615386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315913.48</v>
      </c>
      <c r="E363" s="310"/>
      <c r="F363" s="310"/>
      <c r="G363" s="310"/>
      <c r="H363" s="310"/>
      <c r="I363" s="305">
        <f>data!CE61</f>
        <v>13272856.24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70612</v>
      </c>
      <c r="E364" s="310"/>
      <c r="F364" s="310"/>
      <c r="G364" s="310"/>
      <c r="H364" s="310"/>
      <c r="I364" s="305">
        <f>data!CE62</f>
        <v>2966697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3036569.44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887655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96065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18187.29</v>
      </c>
      <c r="E368" s="310"/>
      <c r="F368" s="310"/>
      <c r="G368" s="310"/>
      <c r="H368" s="310"/>
      <c r="I368" s="305">
        <f>data!CE66</f>
        <v>589157.86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3182</v>
      </c>
      <c r="E369" s="310"/>
      <c r="F369" s="310"/>
      <c r="G369" s="310"/>
      <c r="H369" s="310"/>
      <c r="I369" s="305">
        <f>data!CE67</f>
        <v>2215727</v>
      </c>
    </row>
    <row r="370" spans="1:9" ht="20.149999999999999" customHeight="1" x14ac:dyDescent="0.35">
      <c r="A370" s="278">
        <v>13</v>
      </c>
      <c r="B370" s="286" t="s">
        <v>976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15560.97</v>
      </c>
    </row>
    <row r="371" spans="1:9" ht="20.149999999999999" customHeight="1" x14ac:dyDescent="0.35">
      <c r="A371" s="278">
        <v>14</v>
      </c>
      <c r="B371" s="286" t="s">
        <v>977</v>
      </c>
      <c r="C371" s="305">
        <f>data!CB69</f>
        <v>0</v>
      </c>
      <c r="D371" s="305">
        <f>data!CC69</f>
        <v>0</v>
      </c>
      <c r="E371" s="305">
        <f>data!CD69</f>
        <v>0</v>
      </c>
      <c r="F371" s="310"/>
      <c r="G371" s="310"/>
      <c r="H371" s="310"/>
      <c r="I371" s="305">
        <f>data!CE69</f>
        <v>2915967.6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978</v>
      </c>
      <c r="C373" s="305">
        <f>data!CB85</f>
        <v>0</v>
      </c>
      <c r="D373" s="305">
        <f>data!CC85</f>
        <v>407894.76999999996</v>
      </c>
      <c r="E373" s="305">
        <f>data!CD85</f>
        <v>0</v>
      </c>
      <c r="F373" s="310"/>
      <c r="G373" s="310"/>
      <c r="H373" s="310"/>
      <c r="I373" s="286">
        <f>data!CE85</f>
        <v>25996256.109999999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979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980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23416491.149999999</v>
      </c>
    </row>
    <row r="377" spans="1:9" ht="20.149999999999999" customHeight="1" x14ac:dyDescent="0.35">
      <c r="A377" s="278">
        <v>20</v>
      </c>
      <c r="B377" s="294" t="s">
        <v>981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1626721.75</v>
      </c>
    </row>
    <row r="378" spans="1:9" ht="20.149999999999999" customHeight="1" x14ac:dyDescent="0.35">
      <c r="A378" s="278">
        <v>21</v>
      </c>
      <c r="B378" s="294" t="s">
        <v>982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25043212.899999999</v>
      </c>
    </row>
    <row r="379" spans="1:9" ht="20.149999999999999" customHeight="1" x14ac:dyDescent="0.35">
      <c r="A379" s="278" t="s">
        <v>983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984</v>
      </c>
      <c r="C380" s="302">
        <f>data!CB90</f>
        <v>0</v>
      </c>
      <c r="D380" s="302">
        <f>data!CC90</f>
        <v>98</v>
      </c>
      <c r="E380" s="296"/>
      <c r="F380" s="296"/>
      <c r="G380" s="296"/>
      <c r="H380" s="296"/>
      <c r="I380" s="286">
        <f>data!CE90</f>
        <v>68235</v>
      </c>
    </row>
    <row r="381" spans="1:9" ht="20.149999999999999" customHeight="1" x14ac:dyDescent="0.35">
      <c r="A381" s="278">
        <v>23</v>
      </c>
      <c r="B381" s="286" t="s">
        <v>985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66849</v>
      </c>
    </row>
    <row r="382" spans="1:9" ht="20.149999999999999" customHeight="1" x14ac:dyDescent="0.35">
      <c r="A382" s="278">
        <v>24</v>
      </c>
      <c r="B382" s="286" t="s">
        <v>986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8369.0909090909081</v>
      </c>
    </row>
    <row r="383" spans="1:9" ht="20.149999999999999" customHeight="1" x14ac:dyDescent="0.35">
      <c r="A383" s="278">
        <v>25</v>
      </c>
      <c r="B383" s="286" t="s">
        <v>987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74425.22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61.09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 codeName="Sheet12">
    <tabColor rgb="FF92D050"/>
    <pageSetUpPr autoPageBreaks="0" fitToPage="1"/>
  </sheetPr>
  <dimension ref="A1:CF717"/>
  <sheetViews>
    <sheetView zoomScaleNormal="100" workbookViewId="0">
      <selection activeCell="CD53" sqref="CD5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65" customHeight="1" x14ac:dyDescent="0.35">
      <c r="A18" s="18" t="s">
        <v>1332</v>
      </c>
    </row>
    <row r="19" spans="1:10" ht="14.65" customHeight="1" x14ac:dyDescent="0.35">
      <c r="A19" s="18" t="s">
        <v>1333</v>
      </c>
    </row>
    <row r="20" spans="1:10" ht="14.65" customHeight="1" x14ac:dyDescent="0.35">
      <c r="A20" s="18" t="s">
        <v>1334</v>
      </c>
    </row>
    <row r="21" spans="1:10" ht="14.6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2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1341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1339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1342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1340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2633362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0</v>
      </c>
      <c r="F49" s="269">
        <f t="shared" si="0"/>
        <v>0</v>
      </c>
      <c r="G49" s="269">
        <f t="shared" si="0"/>
        <v>0</v>
      </c>
      <c r="H49" s="269">
        <f t="shared" si="0"/>
        <v>1112111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0</v>
      </c>
      <c r="P49" s="269">
        <f t="shared" si="0"/>
        <v>0</v>
      </c>
      <c r="Q49" s="269">
        <f t="shared" si="0"/>
        <v>0</v>
      </c>
      <c r="R49" s="269">
        <f t="shared" si="0"/>
        <v>0</v>
      </c>
      <c r="S49" s="269">
        <f t="shared" si="0"/>
        <v>0</v>
      </c>
      <c r="T49" s="269">
        <f t="shared" si="0"/>
        <v>0</v>
      </c>
      <c r="U49" s="269">
        <f t="shared" si="0"/>
        <v>0</v>
      </c>
      <c r="V49" s="269">
        <f t="shared" si="0"/>
        <v>0</v>
      </c>
      <c r="W49" s="269">
        <f t="shared" si="0"/>
        <v>0</v>
      </c>
      <c r="X49" s="269">
        <f t="shared" si="0"/>
        <v>0</v>
      </c>
      <c r="Y49" s="269">
        <f t="shared" si="0"/>
        <v>0</v>
      </c>
      <c r="Z49" s="269">
        <f t="shared" si="0"/>
        <v>0</v>
      </c>
      <c r="AA49" s="269">
        <f t="shared" si="0"/>
        <v>0</v>
      </c>
      <c r="AB49" s="269">
        <f t="shared" si="0"/>
        <v>71531</v>
      </c>
      <c r="AC49" s="269">
        <f t="shared" si="0"/>
        <v>0</v>
      </c>
      <c r="AD49" s="269">
        <f t="shared" si="0"/>
        <v>0</v>
      </c>
      <c r="AE49" s="269">
        <f t="shared" si="0"/>
        <v>0</v>
      </c>
      <c r="AF49" s="269">
        <f t="shared" si="0"/>
        <v>0</v>
      </c>
      <c r="AG49" s="269">
        <f t="shared" si="0"/>
        <v>0</v>
      </c>
      <c r="AH49" s="269">
        <f t="shared" si="0"/>
        <v>0</v>
      </c>
      <c r="AI49" s="269">
        <f t="shared" si="0"/>
        <v>0</v>
      </c>
      <c r="AJ49" s="269">
        <f t="shared" si="0"/>
        <v>0</v>
      </c>
      <c r="AK49" s="269">
        <f t="shared" si="0"/>
        <v>0</v>
      </c>
      <c r="AL49" s="269">
        <f t="shared" si="0"/>
        <v>0</v>
      </c>
      <c r="AM49" s="269">
        <f t="shared" si="0"/>
        <v>51563</v>
      </c>
      <c r="AN49" s="269">
        <f t="shared" si="0"/>
        <v>0</v>
      </c>
      <c r="AO49" s="269">
        <f t="shared" si="0"/>
        <v>0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76649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69752</v>
      </c>
      <c r="AZ49" s="269">
        <f t="shared" si="0"/>
        <v>0</v>
      </c>
      <c r="BA49" s="269">
        <f t="shared" si="0"/>
        <v>0</v>
      </c>
      <c r="BB49" s="269">
        <f t="shared" si="0"/>
        <v>171397</v>
      </c>
      <c r="BC49" s="269">
        <f t="shared" si="0"/>
        <v>0</v>
      </c>
      <c r="BD49" s="269">
        <f t="shared" si="0"/>
        <v>9875</v>
      </c>
      <c r="BE49" s="269">
        <f t="shared" si="0"/>
        <v>34686</v>
      </c>
      <c r="BF49" s="269">
        <f t="shared" si="0"/>
        <v>47007</v>
      </c>
      <c r="BG49" s="269">
        <f t="shared" si="0"/>
        <v>26894</v>
      </c>
      <c r="BH49" s="269">
        <f t="shared" si="0"/>
        <v>9875</v>
      </c>
      <c r="BI49" s="269">
        <f t="shared" si="0"/>
        <v>0</v>
      </c>
      <c r="BJ49" s="269">
        <f t="shared" si="0"/>
        <v>55802</v>
      </c>
      <c r="BK49" s="269">
        <f t="shared" si="0"/>
        <v>64841</v>
      </c>
      <c r="BL49" s="269">
        <f t="shared" si="0"/>
        <v>230658</v>
      </c>
      <c r="BM49" s="269">
        <f t="shared" si="0"/>
        <v>0</v>
      </c>
      <c r="BN49" s="269">
        <f t="shared" si="0"/>
        <v>68461</v>
      </c>
      <c r="BO49" s="269">
        <f t="shared" si="0"/>
        <v>13940</v>
      </c>
      <c r="BP49" s="269">
        <f t="shared" ref="BP49:CD49" si="1">IF($B$49,(ROUND((($B$49/$CE$62)*BP62),0)))</f>
        <v>55273</v>
      </c>
      <c r="BQ49" s="269">
        <f t="shared" si="1"/>
        <v>0</v>
      </c>
      <c r="BR49" s="269">
        <f t="shared" si="1"/>
        <v>42541</v>
      </c>
      <c r="BS49" s="269">
        <f t="shared" si="1"/>
        <v>0</v>
      </c>
      <c r="BT49" s="269">
        <f t="shared" si="1"/>
        <v>0</v>
      </c>
      <c r="BU49" s="269">
        <f t="shared" si="1"/>
        <v>0</v>
      </c>
      <c r="BV49" s="269">
        <f t="shared" si="1"/>
        <v>31235</v>
      </c>
      <c r="BW49" s="269">
        <f t="shared" si="1"/>
        <v>0</v>
      </c>
      <c r="BX49" s="269">
        <f t="shared" si="1"/>
        <v>57537</v>
      </c>
      <c r="BY49" s="269">
        <f t="shared" si="1"/>
        <v>203762</v>
      </c>
      <c r="BZ49" s="269">
        <f t="shared" si="1"/>
        <v>0</v>
      </c>
      <c r="CA49" s="269">
        <f t="shared" si="1"/>
        <v>71489</v>
      </c>
      <c r="CB49" s="269">
        <f t="shared" si="1"/>
        <v>0</v>
      </c>
      <c r="CC49" s="269">
        <f t="shared" si="1"/>
        <v>56484</v>
      </c>
      <c r="CD49" s="269">
        <f t="shared" si="1"/>
        <v>0</v>
      </c>
      <c r="CE49" s="32">
        <f>SUM(C49:CD49)</f>
        <v>2633363</v>
      </c>
    </row>
    <row r="50" spans="1:83" x14ac:dyDescent="0.35">
      <c r="A50" s="20" t="s">
        <v>218</v>
      </c>
      <c r="B50" s="269">
        <f>B48+B49</f>
        <v>2633362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2272430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0</v>
      </c>
      <c r="F53" s="269">
        <f t="shared" si="2"/>
        <v>0</v>
      </c>
      <c r="G53" s="269">
        <f t="shared" si="2"/>
        <v>0</v>
      </c>
      <c r="H53" s="269">
        <f t="shared" si="2"/>
        <v>902844</v>
      </c>
      <c r="I53" s="269">
        <f t="shared" si="2"/>
        <v>0</v>
      </c>
      <c r="J53" s="269">
        <f t="shared" si="2"/>
        <v>0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0</v>
      </c>
      <c r="P53" s="269">
        <f t="shared" si="2"/>
        <v>0</v>
      </c>
      <c r="Q53" s="269">
        <f t="shared" si="2"/>
        <v>0</v>
      </c>
      <c r="R53" s="269">
        <f t="shared" si="2"/>
        <v>0</v>
      </c>
      <c r="S53" s="269">
        <f t="shared" si="2"/>
        <v>0</v>
      </c>
      <c r="T53" s="269">
        <f t="shared" si="2"/>
        <v>0</v>
      </c>
      <c r="U53" s="269">
        <f t="shared" si="2"/>
        <v>2165</v>
      </c>
      <c r="V53" s="269">
        <f t="shared" si="2"/>
        <v>0</v>
      </c>
      <c r="W53" s="269">
        <f t="shared" si="2"/>
        <v>0</v>
      </c>
      <c r="X53" s="269">
        <f t="shared" si="2"/>
        <v>0</v>
      </c>
      <c r="Y53" s="269">
        <f t="shared" si="2"/>
        <v>0</v>
      </c>
      <c r="Z53" s="269">
        <f t="shared" si="2"/>
        <v>0</v>
      </c>
      <c r="AA53" s="269">
        <f t="shared" si="2"/>
        <v>0</v>
      </c>
      <c r="AB53" s="269">
        <f t="shared" si="2"/>
        <v>25110</v>
      </c>
      <c r="AC53" s="269">
        <f t="shared" si="2"/>
        <v>0</v>
      </c>
      <c r="AD53" s="269">
        <f t="shared" si="2"/>
        <v>0</v>
      </c>
      <c r="AE53" s="269">
        <f t="shared" si="2"/>
        <v>0</v>
      </c>
      <c r="AF53" s="269">
        <f t="shared" si="2"/>
        <v>0</v>
      </c>
      <c r="AG53" s="269">
        <f t="shared" si="2"/>
        <v>0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0</v>
      </c>
      <c r="AL53" s="269">
        <f t="shared" si="2"/>
        <v>0</v>
      </c>
      <c r="AM53" s="269">
        <f t="shared" si="2"/>
        <v>866</v>
      </c>
      <c r="AN53" s="269">
        <f t="shared" si="2"/>
        <v>0</v>
      </c>
      <c r="AO53" s="269">
        <f t="shared" si="2"/>
        <v>0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89219</v>
      </c>
      <c r="AZ53" s="269">
        <f t="shared" si="2"/>
        <v>64608</v>
      </c>
      <c r="BA53" s="269">
        <f t="shared" si="2"/>
        <v>0</v>
      </c>
      <c r="BB53" s="269">
        <f t="shared" si="2"/>
        <v>43594</v>
      </c>
      <c r="BC53" s="269">
        <f t="shared" si="2"/>
        <v>0</v>
      </c>
      <c r="BD53" s="269">
        <f t="shared" si="2"/>
        <v>9625</v>
      </c>
      <c r="BE53" s="269">
        <f t="shared" si="2"/>
        <v>707755</v>
      </c>
      <c r="BF53" s="269">
        <f t="shared" si="2"/>
        <v>42528</v>
      </c>
      <c r="BG53" s="269">
        <f t="shared" si="2"/>
        <v>7626</v>
      </c>
      <c r="BH53" s="269">
        <f t="shared" si="2"/>
        <v>9558</v>
      </c>
      <c r="BI53" s="269">
        <f t="shared" si="2"/>
        <v>0</v>
      </c>
      <c r="BJ53" s="269">
        <f t="shared" si="2"/>
        <v>7993</v>
      </c>
      <c r="BK53" s="269">
        <f t="shared" si="2"/>
        <v>8292</v>
      </c>
      <c r="BL53" s="269">
        <f t="shared" si="2"/>
        <v>45459</v>
      </c>
      <c r="BM53" s="269">
        <f t="shared" si="2"/>
        <v>0</v>
      </c>
      <c r="BN53" s="269">
        <f t="shared" si="2"/>
        <v>211008</v>
      </c>
      <c r="BO53" s="269">
        <f t="shared" si="2"/>
        <v>0</v>
      </c>
      <c r="BP53" s="269">
        <f t="shared" ref="BP53:CD53" si="3">IF($B$53,ROUND(($B$53/($CE$91+$CF$91)*BP91),0))</f>
        <v>3797</v>
      </c>
      <c r="BQ53" s="269">
        <f t="shared" si="3"/>
        <v>0</v>
      </c>
      <c r="BR53" s="269">
        <f t="shared" si="3"/>
        <v>6461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14387</v>
      </c>
      <c r="BW53" s="269">
        <f t="shared" si="3"/>
        <v>39264</v>
      </c>
      <c r="BX53" s="269">
        <f t="shared" si="3"/>
        <v>11057</v>
      </c>
      <c r="BY53" s="269">
        <f t="shared" si="3"/>
        <v>15952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3264</v>
      </c>
      <c r="CD53" s="269">
        <f t="shared" si="3"/>
        <v>0</v>
      </c>
      <c r="CE53" s="32">
        <f>SUM(C53:CD53)</f>
        <v>2272432</v>
      </c>
    </row>
    <row r="54" spans="1:83" x14ac:dyDescent="0.35">
      <c r="A54" s="20" t="s">
        <v>218</v>
      </c>
      <c r="B54" s="269">
        <f>B52+B53</f>
        <v>2272430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22674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2"/>
      <c r="T60" s="262"/>
      <c r="U60" s="227"/>
      <c r="V60" s="214"/>
      <c r="W60" s="214"/>
      <c r="X60" s="214"/>
      <c r="Y60" s="214"/>
      <c r="Z60" s="214"/>
      <c r="AA60" s="214"/>
      <c r="AB60" s="262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68022</v>
      </c>
      <c r="AZ60" s="214"/>
      <c r="BA60" s="262"/>
      <c r="BB60" s="262"/>
      <c r="BC60" s="262"/>
      <c r="BD60" s="262"/>
      <c r="BE60" s="214">
        <v>68235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/>
      <c r="F61" s="242"/>
      <c r="G61" s="242"/>
      <c r="H61" s="242">
        <v>64.599999999999994</v>
      </c>
      <c r="I61" s="242"/>
      <c r="J61" s="242"/>
      <c r="K61" s="242"/>
      <c r="L61" s="242"/>
      <c r="M61" s="242"/>
      <c r="N61" s="242"/>
      <c r="O61" s="242"/>
      <c r="P61" s="243"/>
      <c r="Q61" s="243"/>
      <c r="R61" s="243"/>
      <c r="S61" s="244"/>
      <c r="T61" s="244"/>
      <c r="U61" s="245"/>
      <c r="V61" s="243"/>
      <c r="W61" s="243"/>
      <c r="X61" s="243"/>
      <c r="Y61" s="243"/>
      <c r="Z61" s="243"/>
      <c r="AA61" s="243"/>
      <c r="AB61" s="244">
        <v>2.4317307692307693</v>
      </c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>
        <v>3.9562499999999998</v>
      </c>
      <c r="AN61" s="243"/>
      <c r="AO61" s="243"/>
      <c r="AP61" s="243"/>
      <c r="AQ61" s="243"/>
      <c r="AR61" s="243"/>
      <c r="AS61" s="243"/>
      <c r="AT61" s="243"/>
      <c r="AU61" s="243">
        <v>4.71875</v>
      </c>
      <c r="AV61" s="244"/>
      <c r="AW61" s="244"/>
      <c r="AX61" s="244"/>
      <c r="AY61" s="243">
        <v>6.447115384615385</v>
      </c>
      <c r="AZ61" s="243"/>
      <c r="BA61" s="244"/>
      <c r="BB61" s="244">
        <v>9.8163461538461547</v>
      </c>
      <c r="BC61" s="244"/>
      <c r="BD61" s="244">
        <v>0.51129807692307694</v>
      </c>
      <c r="BE61" s="243">
        <v>2.0947115384615387</v>
      </c>
      <c r="BF61" s="244">
        <v>4.7735576923076923</v>
      </c>
      <c r="BG61" s="244">
        <v>2.8653846153846154</v>
      </c>
      <c r="BH61" s="244">
        <v>0.51129807692307694</v>
      </c>
      <c r="BI61" s="244">
        <v>3.2019230769230771</v>
      </c>
      <c r="BJ61" s="244">
        <v>2.4634615384615381</v>
      </c>
      <c r="BK61" s="244">
        <v>4.3216346153846157</v>
      </c>
      <c r="BL61" s="244">
        <v>11.620192307692308</v>
      </c>
      <c r="BM61" s="244"/>
      <c r="BN61" s="244">
        <v>2.0504807692307692</v>
      </c>
      <c r="BO61" s="244">
        <v>1.1889423076923078</v>
      </c>
      <c r="BP61" s="244">
        <v>2.9490384615384615</v>
      </c>
      <c r="BQ61" s="244"/>
      <c r="BR61" s="244">
        <v>2.4956730769230768</v>
      </c>
      <c r="BS61" s="244"/>
      <c r="BT61" s="244"/>
      <c r="BU61" s="244"/>
      <c r="BV61" s="244">
        <v>2.4346153846153844</v>
      </c>
      <c r="BW61" s="244"/>
      <c r="BX61" s="244">
        <v>3.3932692307692309</v>
      </c>
      <c r="BY61" s="244">
        <v>8.7384615384615376</v>
      </c>
      <c r="BZ61" s="244"/>
      <c r="CA61" s="244">
        <v>4.46</v>
      </c>
      <c r="CB61" s="244"/>
      <c r="CC61" s="244">
        <v>3.3216346153846157</v>
      </c>
      <c r="CD61" s="246" t="s">
        <v>233</v>
      </c>
      <c r="CE61" s="267">
        <f t="shared" ref="CE61:CE69" si="4">SUM(C61:CD61)</f>
        <v>155.36576923076925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4734491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39">
        <v>304522</v>
      </c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>
        <v>219513</v>
      </c>
      <c r="AN62" s="214"/>
      <c r="AO62" s="214"/>
      <c r="AP62" s="214"/>
      <c r="AQ62" s="214"/>
      <c r="AR62" s="214"/>
      <c r="AS62" s="214"/>
      <c r="AT62" s="214"/>
      <c r="AU62" s="214">
        <v>326310</v>
      </c>
      <c r="AV62" s="228"/>
      <c r="AW62" s="228"/>
      <c r="AX62" s="228"/>
      <c r="AY62" s="214">
        <v>296948</v>
      </c>
      <c r="AZ62" s="214"/>
      <c r="BA62" s="228"/>
      <c r="BB62" s="228">
        <v>729671</v>
      </c>
      <c r="BC62" s="228"/>
      <c r="BD62" s="228">
        <v>42040.5</v>
      </c>
      <c r="BE62" s="214">
        <v>147664</v>
      </c>
      <c r="BF62" s="228">
        <v>200120</v>
      </c>
      <c r="BG62" s="228">
        <v>114492</v>
      </c>
      <c r="BH62" s="228">
        <v>42040.5</v>
      </c>
      <c r="BI62" s="228">
        <v>0</v>
      </c>
      <c r="BJ62" s="228">
        <v>237561</v>
      </c>
      <c r="BK62" s="228">
        <v>276040</v>
      </c>
      <c r="BL62" s="228">
        <v>981961</v>
      </c>
      <c r="BM62" s="228"/>
      <c r="BN62" s="228">
        <v>291453</v>
      </c>
      <c r="BO62" s="228">
        <v>59345</v>
      </c>
      <c r="BP62" s="228">
        <v>235310</v>
      </c>
      <c r="BQ62" s="228"/>
      <c r="BR62" s="228">
        <v>181106</v>
      </c>
      <c r="BS62" s="228"/>
      <c r="BT62" s="228"/>
      <c r="BU62" s="228"/>
      <c r="BV62" s="228">
        <v>132973</v>
      </c>
      <c r="BW62" s="228"/>
      <c r="BX62" s="228">
        <v>244949</v>
      </c>
      <c r="BY62" s="228">
        <v>867456</v>
      </c>
      <c r="BZ62" s="228"/>
      <c r="CA62" s="228">
        <v>304343</v>
      </c>
      <c r="CB62" s="228"/>
      <c r="CC62" s="228">
        <v>240466</v>
      </c>
      <c r="CD62" s="29" t="s">
        <v>233</v>
      </c>
      <c r="CE62" s="32">
        <f t="shared" si="4"/>
        <v>11210775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0</v>
      </c>
      <c r="F63" s="268">
        <f t="shared" si="5"/>
        <v>0</v>
      </c>
      <c r="G63" s="268">
        <f t="shared" si="5"/>
        <v>0</v>
      </c>
      <c r="H63" s="268">
        <f t="shared" si="5"/>
        <v>1112111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0</v>
      </c>
      <c r="Q63" s="268">
        <f t="shared" si="5"/>
        <v>0</v>
      </c>
      <c r="R63" s="268">
        <f t="shared" si="5"/>
        <v>0</v>
      </c>
      <c r="S63" s="268">
        <f t="shared" si="5"/>
        <v>0</v>
      </c>
      <c r="T63" s="268">
        <f t="shared" si="5"/>
        <v>0</v>
      </c>
      <c r="U63" s="268">
        <f t="shared" si="5"/>
        <v>0</v>
      </c>
      <c r="V63" s="268">
        <f t="shared" si="5"/>
        <v>0</v>
      </c>
      <c r="W63" s="268">
        <f t="shared" si="5"/>
        <v>0</v>
      </c>
      <c r="X63" s="268">
        <f t="shared" si="5"/>
        <v>0</v>
      </c>
      <c r="Y63" s="268">
        <f t="shared" si="5"/>
        <v>0</v>
      </c>
      <c r="Z63" s="268">
        <f t="shared" si="5"/>
        <v>0</v>
      </c>
      <c r="AA63" s="268">
        <f t="shared" si="5"/>
        <v>0</v>
      </c>
      <c r="AB63" s="268">
        <f t="shared" si="5"/>
        <v>71531</v>
      </c>
      <c r="AC63" s="268">
        <f t="shared" si="5"/>
        <v>0</v>
      </c>
      <c r="AD63" s="268">
        <f t="shared" si="5"/>
        <v>0</v>
      </c>
      <c r="AE63" s="268">
        <f t="shared" si="5"/>
        <v>0</v>
      </c>
      <c r="AF63" s="268">
        <f t="shared" si="5"/>
        <v>0</v>
      </c>
      <c r="AG63" s="268">
        <f t="shared" si="5"/>
        <v>0</v>
      </c>
      <c r="AH63" s="268">
        <f t="shared" si="5"/>
        <v>0</v>
      </c>
      <c r="AI63" s="268">
        <f t="shared" si="5"/>
        <v>0</v>
      </c>
      <c r="AJ63" s="268">
        <f t="shared" si="5"/>
        <v>0</v>
      </c>
      <c r="AK63" s="268">
        <f t="shared" si="5"/>
        <v>0</v>
      </c>
      <c r="AL63" s="268">
        <f t="shared" si="5"/>
        <v>0</v>
      </c>
      <c r="AM63" s="268">
        <f t="shared" si="5"/>
        <v>51563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76649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69752</v>
      </c>
      <c r="AZ63" s="268">
        <f t="shared" si="5"/>
        <v>0</v>
      </c>
      <c r="BA63" s="268">
        <f t="shared" si="5"/>
        <v>0</v>
      </c>
      <c r="BB63" s="268">
        <f t="shared" si="5"/>
        <v>171397</v>
      </c>
      <c r="BC63" s="268">
        <f t="shared" si="5"/>
        <v>0</v>
      </c>
      <c r="BD63" s="268">
        <f t="shared" si="5"/>
        <v>9875</v>
      </c>
      <c r="BE63" s="268">
        <f t="shared" si="5"/>
        <v>34686</v>
      </c>
      <c r="BF63" s="268">
        <f t="shared" si="5"/>
        <v>47007</v>
      </c>
      <c r="BG63" s="268">
        <f t="shared" si="5"/>
        <v>26894</v>
      </c>
      <c r="BH63" s="268">
        <f t="shared" si="5"/>
        <v>9875</v>
      </c>
      <c r="BI63" s="268">
        <f t="shared" si="5"/>
        <v>0</v>
      </c>
      <c r="BJ63" s="268">
        <f t="shared" si="5"/>
        <v>55802</v>
      </c>
      <c r="BK63" s="268">
        <f t="shared" si="5"/>
        <v>64841</v>
      </c>
      <c r="BL63" s="268">
        <f t="shared" si="5"/>
        <v>230658</v>
      </c>
      <c r="BM63" s="268">
        <f t="shared" si="5"/>
        <v>0</v>
      </c>
      <c r="BN63" s="268">
        <f t="shared" si="5"/>
        <v>68461</v>
      </c>
      <c r="BO63" s="268">
        <f t="shared" si="5"/>
        <v>13940</v>
      </c>
      <c r="BP63" s="268">
        <f t="shared" ref="BP63:CC63" si="6">ROUND(BP48+BP49,0)</f>
        <v>55273</v>
      </c>
      <c r="BQ63" s="268">
        <f t="shared" si="6"/>
        <v>0</v>
      </c>
      <c r="BR63" s="268">
        <f t="shared" si="6"/>
        <v>42541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31235</v>
      </c>
      <c r="BW63" s="268">
        <f t="shared" si="6"/>
        <v>0</v>
      </c>
      <c r="BX63" s="268">
        <f t="shared" si="6"/>
        <v>57537</v>
      </c>
      <c r="BY63" s="268">
        <f t="shared" si="6"/>
        <v>203762</v>
      </c>
      <c r="BZ63" s="268">
        <f t="shared" si="6"/>
        <v>0</v>
      </c>
      <c r="CA63" s="268">
        <f t="shared" si="6"/>
        <v>71489</v>
      </c>
      <c r="CB63" s="268">
        <f t="shared" si="6"/>
        <v>0</v>
      </c>
      <c r="CC63" s="268">
        <f t="shared" si="6"/>
        <v>56484</v>
      </c>
      <c r="CD63" s="29" t="s">
        <v>233</v>
      </c>
      <c r="CE63" s="32">
        <f t="shared" si="4"/>
        <v>2633363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39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>
        <v>3242655</v>
      </c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3242655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>
        <v>112899</v>
      </c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39">
        <v>247539</v>
      </c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>
        <v>13863</v>
      </c>
      <c r="AN65" s="214"/>
      <c r="AO65" s="214"/>
      <c r="AP65" s="214"/>
      <c r="AQ65" s="214"/>
      <c r="AR65" s="214"/>
      <c r="AS65" s="214"/>
      <c r="AT65" s="214"/>
      <c r="AU65" s="214">
        <v>3604</v>
      </c>
      <c r="AV65" s="228"/>
      <c r="AW65" s="228"/>
      <c r="AX65" s="228"/>
      <c r="AY65" s="214">
        <v>291785</v>
      </c>
      <c r="AZ65" s="214"/>
      <c r="BA65" s="228"/>
      <c r="BB65" s="228">
        <v>8711</v>
      </c>
      <c r="BC65" s="228"/>
      <c r="BD65" s="228">
        <v>24422</v>
      </c>
      <c r="BE65" s="214">
        <v>12565</v>
      </c>
      <c r="BF65" s="228">
        <v>41843</v>
      </c>
      <c r="BG65" s="228"/>
      <c r="BH65" s="228">
        <v>12254</v>
      </c>
      <c r="BI65" s="228"/>
      <c r="BJ65" s="228"/>
      <c r="BK65" s="228"/>
      <c r="BL65" s="228"/>
      <c r="BM65" s="228"/>
      <c r="BN65" s="228">
        <v>285</v>
      </c>
      <c r="BO65" s="228">
        <v>23944</v>
      </c>
      <c r="BP65" s="228">
        <v>619</v>
      </c>
      <c r="BQ65" s="228"/>
      <c r="BR65" s="228">
        <v>797</v>
      </c>
      <c r="BS65" s="228"/>
      <c r="BT65" s="228"/>
      <c r="BU65" s="228"/>
      <c r="BV65" s="228">
        <v>12759</v>
      </c>
      <c r="BW65" s="228"/>
      <c r="BX65" s="228"/>
      <c r="BY65" s="228"/>
      <c r="BZ65" s="228"/>
      <c r="CA65" s="228"/>
      <c r="CB65" s="228"/>
      <c r="CC65" s="228">
        <v>754</v>
      </c>
      <c r="CD65" s="29" t="s">
        <v>233</v>
      </c>
      <c r="CE65" s="32">
        <f t="shared" si="4"/>
        <v>808643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167151</v>
      </c>
      <c r="BF66" s="228"/>
      <c r="BG66" s="228"/>
      <c r="BH66" s="228">
        <v>85325</v>
      </c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252476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504568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>
        <v>62776</v>
      </c>
      <c r="V67" s="214"/>
      <c r="W67" s="214"/>
      <c r="X67" s="214"/>
      <c r="Y67" s="214"/>
      <c r="Z67" s="214"/>
      <c r="AA67" s="214"/>
      <c r="AB67" s="239">
        <v>104770</v>
      </c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>
        <v>110636</v>
      </c>
      <c r="BB67" s="228"/>
      <c r="BC67" s="228">
        <v>50103</v>
      </c>
      <c r="BD67" s="228">
        <v>2967</v>
      </c>
      <c r="BE67" s="214">
        <v>28912</v>
      </c>
      <c r="BF67" s="228"/>
      <c r="BG67" s="228"/>
      <c r="BH67" s="228">
        <v>83018</v>
      </c>
      <c r="BI67" s="228">
        <v>191217</v>
      </c>
      <c r="BJ67" s="228"/>
      <c r="BK67" s="228">
        <v>39589</v>
      </c>
      <c r="BL67" s="228"/>
      <c r="BM67" s="228"/>
      <c r="BN67" s="228">
        <v>23222</v>
      </c>
      <c r="BO67" s="228">
        <v>3592</v>
      </c>
      <c r="BP67" s="228"/>
      <c r="BQ67" s="228"/>
      <c r="BR67" s="228">
        <v>17259</v>
      </c>
      <c r="BS67" s="228"/>
      <c r="BT67" s="228"/>
      <c r="BU67" s="228"/>
      <c r="BV67" s="228"/>
      <c r="BW67" s="228">
        <v>15533</v>
      </c>
      <c r="BX67" s="228"/>
      <c r="BY67" s="228"/>
      <c r="BZ67" s="228"/>
      <c r="CA67" s="228"/>
      <c r="CB67" s="228"/>
      <c r="CC67" s="228">
        <v>1443</v>
      </c>
      <c r="CD67" s="29" t="s">
        <v>233</v>
      </c>
      <c r="CE67" s="32">
        <f t="shared" si="4"/>
        <v>1239605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902844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2165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25110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866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89219</v>
      </c>
      <c r="AZ68" s="32">
        <f t="shared" si="7"/>
        <v>64608</v>
      </c>
      <c r="BA68" s="32">
        <f t="shared" si="7"/>
        <v>0</v>
      </c>
      <c r="BB68" s="32">
        <f t="shared" si="7"/>
        <v>43594</v>
      </c>
      <c r="BC68" s="32">
        <f t="shared" si="7"/>
        <v>0</v>
      </c>
      <c r="BD68" s="32">
        <f t="shared" si="7"/>
        <v>9625</v>
      </c>
      <c r="BE68" s="32">
        <f t="shared" si="7"/>
        <v>707755</v>
      </c>
      <c r="BF68" s="32">
        <f t="shared" si="7"/>
        <v>42528</v>
      </c>
      <c r="BG68" s="32">
        <f t="shared" si="7"/>
        <v>7626</v>
      </c>
      <c r="BH68" s="32">
        <f t="shared" si="7"/>
        <v>9558</v>
      </c>
      <c r="BI68" s="32">
        <f t="shared" si="7"/>
        <v>0</v>
      </c>
      <c r="BJ68" s="32">
        <f t="shared" si="7"/>
        <v>7993</v>
      </c>
      <c r="BK68" s="32">
        <f t="shared" si="7"/>
        <v>8292</v>
      </c>
      <c r="BL68" s="32">
        <f t="shared" si="7"/>
        <v>45459</v>
      </c>
      <c r="BM68" s="32">
        <f t="shared" si="7"/>
        <v>0</v>
      </c>
      <c r="BN68" s="32">
        <f t="shared" si="7"/>
        <v>211008</v>
      </c>
      <c r="BO68" s="32">
        <f t="shared" ref="BO68:CC68" si="8">ROUND(BO52+BO53,0)</f>
        <v>0</v>
      </c>
      <c r="BP68" s="32">
        <f t="shared" si="8"/>
        <v>3797</v>
      </c>
      <c r="BQ68" s="32">
        <f t="shared" si="8"/>
        <v>0</v>
      </c>
      <c r="BR68" s="32">
        <f t="shared" si="8"/>
        <v>6461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14387</v>
      </c>
      <c r="BW68" s="32">
        <f t="shared" si="8"/>
        <v>39264</v>
      </c>
      <c r="BX68" s="32">
        <f t="shared" si="8"/>
        <v>11057</v>
      </c>
      <c r="BY68" s="32">
        <f t="shared" si="8"/>
        <v>15952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3264</v>
      </c>
      <c r="CD68" s="29" t="s">
        <v>233</v>
      </c>
      <c r="CE68" s="32">
        <f t="shared" si="4"/>
        <v>2272432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>
        <v>1602</v>
      </c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39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1602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1937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1098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95879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28217</v>
      </c>
      <c r="BK70" s="32">
        <f t="shared" si="9"/>
        <v>83696</v>
      </c>
      <c r="BL70" s="32">
        <f t="shared" si="9"/>
        <v>0</v>
      </c>
      <c r="BM70" s="32">
        <f t="shared" si="9"/>
        <v>0</v>
      </c>
      <c r="BN70" s="32">
        <f t="shared" si="9"/>
        <v>50075</v>
      </c>
      <c r="BO70" s="32">
        <f t="shared" ref="BO70:CD70" si="10">SUM(BO71:BO84)</f>
        <v>0</v>
      </c>
      <c r="BP70" s="32">
        <f t="shared" si="10"/>
        <v>77400</v>
      </c>
      <c r="BQ70" s="32">
        <f t="shared" si="10"/>
        <v>0</v>
      </c>
      <c r="BR70" s="32">
        <f t="shared" si="10"/>
        <v>169627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2771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42589</v>
      </c>
      <c r="CD70" s="32">
        <f t="shared" si="10"/>
        <v>731351</v>
      </c>
      <c r="CE70" s="32">
        <f>SUM(CE71:CE85)</f>
        <v>1284640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1937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>
        <v>1098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>
        <v>95879</v>
      </c>
      <c r="BF84" s="30"/>
      <c r="BG84" s="30"/>
      <c r="BH84" s="31"/>
      <c r="BI84" s="30"/>
      <c r="BJ84" s="30">
        <v>28217</v>
      </c>
      <c r="BK84" s="30">
        <v>83696</v>
      </c>
      <c r="BL84" s="30"/>
      <c r="BM84" s="30"/>
      <c r="BN84" s="30">
        <v>50075</v>
      </c>
      <c r="BO84" s="30"/>
      <c r="BP84" s="30">
        <v>77400</v>
      </c>
      <c r="BQ84" s="30"/>
      <c r="BR84" s="30">
        <v>169627</v>
      </c>
      <c r="BS84" s="30"/>
      <c r="BT84" s="30"/>
      <c r="BU84" s="30"/>
      <c r="BV84" s="30"/>
      <c r="BW84" s="30">
        <v>2771</v>
      </c>
      <c r="BX84" s="30"/>
      <c r="BY84" s="30"/>
      <c r="BZ84" s="30"/>
      <c r="CA84" s="30"/>
      <c r="CB84" s="30"/>
      <c r="CC84" s="30">
        <v>42589</v>
      </c>
      <c r="CD84" s="35">
        <v>731351</v>
      </c>
      <c r="CE84" s="32">
        <f t="shared" si="11"/>
        <v>1284640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7370452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64941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754570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285805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406563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747704</v>
      </c>
      <c r="AZ86" s="32">
        <f t="shared" si="12"/>
        <v>64608</v>
      </c>
      <c r="BA86" s="32">
        <f t="shared" si="12"/>
        <v>110636</v>
      </c>
      <c r="BB86" s="32">
        <f t="shared" si="12"/>
        <v>953373</v>
      </c>
      <c r="BC86" s="32">
        <f t="shared" si="12"/>
        <v>50103</v>
      </c>
      <c r="BD86" s="32">
        <f t="shared" si="12"/>
        <v>88929.5</v>
      </c>
      <c r="BE86" s="32">
        <f t="shared" si="12"/>
        <v>1194612</v>
      </c>
      <c r="BF86" s="32">
        <f t="shared" si="12"/>
        <v>331498</v>
      </c>
      <c r="BG86" s="32">
        <f t="shared" si="12"/>
        <v>149012</v>
      </c>
      <c r="BH86" s="32">
        <f t="shared" si="12"/>
        <v>242070.5</v>
      </c>
      <c r="BI86" s="32">
        <f t="shared" si="12"/>
        <v>191217</v>
      </c>
      <c r="BJ86" s="32">
        <f t="shared" si="12"/>
        <v>329573</v>
      </c>
      <c r="BK86" s="32">
        <f t="shared" si="12"/>
        <v>472458</v>
      </c>
      <c r="BL86" s="32">
        <f t="shared" si="12"/>
        <v>1258078</v>
      </c>
      <c r="BM86" s="32">
        <f t="shared" si="12"/>
        <v>0</v>
      </c>
      <c r="BN86" s="32">
        <f t="shared" si="12"/>
        <v>644504</v>
      </c>
      <c r="BO86" s="32">
        <f t="shared" si="12"/>
        <v>100821</v>
      </c>
      <c r="BP86" s="32">
        <f t="shared" ref="BP86:CD86" si="13">SUM(BP62:BP70)-BP85</f>
        <v>372399</v>
      </c>
      <c r="BQ86" s="32">
        <f t="shared" si="13"/>
        <v>0</v>
      </c>
      <c r="BR86" s="32">
        <f t="shared" si="13"/>
        <v>417791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191354</v>
      </c>
      <c r="BW86" s="32">
        <f t="shared" si="13"/>
        <v>3300223</v>
      </c>
      <c r="BX86" s="32">
        <f t="shared" si="13"/>
        <v>313543</v>
      </c>
      <c r="BY86" s="32">
        <f t="shared" si="13"/>
        <v>1087170</v>
      </c>
      <c r="BZ86" s="32">
        <f t="shared" si="13"/>
        <v>0</v>
      </c>
      <c r="CA86" s="32">
        <f t="shared" si="13"/>
        <v>375832</v>
      </c>
      <c r="CB86" s="32">
        <f t="shared" si="13"/>
        <v>0</v>
      </c>
      <c r="CC86" s="32">
        <f t="shared" si="13"/>
        <v>345000</v>
      </c>
      <c r="CD86" s="32">
        <f t="shared" si="13"/>
        <v>731351</v>
      </c>
      <c r="CE86" s="32">
        <f t="shared" si="11"/>
        <v>22946191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23690495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23690495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>
        <v>1111541</v>
      </c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1111541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24802036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24802036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>
        <v>27110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>
        <v>65</v>
      </c>
      <c r="V91" s="213"/>
      <c r="W91" s="213"/>
      <c r="X91" s="213"/>
      <c r="Y91" s="213"/>
      <c r="Z91" s="213"/>
      <c r="AA91" s="213"/>
      <c r="AB91" s="213">
        <v>754</v>
      </c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>
        <v>26</v>
      </c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2679</v>
      </c>
      <c r="AZ91" s="213">
        <v>1940</v>
      </c>
      <c r="BA91" s="213"/>
      <c r="BB91" s="213">
        <v>1309</v>
      </c>
      <c r="BC91" s="213"/>
      <c r="BD91" s="213">
        <v>289</v>
      </c>
      <c r="BE91" s="213">
        <v>21252</v>
      </c>
      <c r="BF91" s="213">
        <v>1277</v>
      </c>
      <c r="BG91" s="213">
        <v>229</v>
      </c>
      <c r="BH91" s="213">
        <v>287</v>
      </c>
      <c r="BI91" s="213"/>
      <c r="BJ91" s="213">
        <v>240</v>
      </c>
      <c r="BK91" s="213">
        <v>249</v>
      </c>
      <c r="BL91" s="213">
        <v>1365</v>
      </c>
      <c r="BM91" s="213"/>
      <c r="BN91" s="213">
        <v>6336</v>
      </c>
      <c r="BO91" s="213"/>
      <c r="BP91" s="213">
        <v>114</v>
      </c>
      <c r="BQ91" s="213"/>
      <c r="BR91" s="213">
        <v>194</v>
      </c>
      <c r="BS91" s="213"/>
      <c r="BT91" s="213"/>
      <c r="BU91" s="213"/>
      <c r="BV91" s="213">
        <v>432</v>
      </c>
      <c r="BW91" s="213">
        <v>1179</v>
      </c>
      <c r="BX91" s="213">
        <v>332</v>
      </c>
      <c r="BY91" s="213">
        <v>479</v>
      </c>
      <c r="BZ91" s="213"/>
      <c r="CA91" s="213"/>
      <c r="CB91" s="213"/>
      <c r="CC91" s="213">
        <v>98</v>
      </c>
      <c r="CD91" s="233" t="s">
        <v>233</v>
      </c>
      <c r="CE91" s="32">
        <f t="shared" si="14"/>
        <v>68235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>
        <v>68022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68022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>
        <v>9026.363636363636</v>
      </c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9026.363636363636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>
        <v>75731.16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75731.16</v>
      </c>
      <c r="CF94" s="32">
        <f>BA60</f>
        <v>0</v>
      </c>
    </row>
    <row r="95" spans="1:84" x14ac:dyDescent="0.35">
      <c r="A95" s="26" t="s">
        <v>279</v>
      </c>
      <c r="B95" s="20"/>
      <c r="C95" s="242"/>
      <c r="D95" s="242"/>
      <c r="E95" s="242"/>
      <c r="F95" s="242"/>
      <c r="G95" s="242"/>
      <c r="H95" s="242">
        <v>64.599999999999994</v>
      </c>
      <c r="I95" s="242"/>
      <c r="J95" s="242"/>
      <c r="K95" s="242"/>
      <c r="L95" s="242"/>
      <c r="M95" s="242"/>
      <c r="N95" s="242"/>
      <c r="O95" s="242"/>
      <c r="P95" s="243"/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64.599999999999994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99204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1366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1370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 t="s">
        <v>1372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>
        <v>1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2021</v>
      </c>
      <c r="D128" s="220">
        <v>22674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100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100</v>
      </c>
    </row>
    <row r="145" spans="1:6" x14ac:dyDescent="0.35">
      <c r="A145" s="20" t="s">
        <v>325</v>
      </c>
      <c r="B145" s="46" t="s">
        <v>284</v>
      </c>
      <c r="C145" s="47">
        <v>100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139</v>
      </c>
      <c r="C155" s="50">
        <v>96</v>
      </c>
      <c r="D155" s="50">
        <v>1786</v>
      </c>
      <c r="E155" s="32">
        <f>SUM(B155:D155)</f>
        <v>2021</v>
      </c>
    </row>
    <row r="156" spans="1:6" x14ac:dyDescent="0.35">
      <c r="A156" s="20" t="s">
        <v>227</v>
      </c>
      <c r="B156" s="50">
        <v>2069</v>
      </c>
      <c r="C156" s="50">
        <v>1466</v>
      </c>
      <c r="D156" s="50">
        <v>19139</v>
      </c>
      <c r="E156" s="32">
        <f>SUM(B156:D156)</f>
        <v>22674</v>
      </c>
    </row>
    <row r="157" spans="1:6" x14ac:dyDescent="0.35">
      <c r="A157" s="20" t="s">
        <v>332</v>
      </c>
      <c r="B157" s="50">
        <v>219</v>
      </c>
      <c r="C157" s="50">
        <v>0</v>
      </c>
      <c r="D157" s="50">
        <v>3502</v>
      </c>
      <c r="E157" s="32">
        <f>SUM(B157:D157)</f>
        <v>3721</v>
      </c>
    </row>
    <row r="158" spans="1:6" x14ac:dyDescent="0.35">
      <c r="A158" s="20" t="s">
        <v>272</v>
      </c>
      <c r="B158" s="50">
        <v>1960794</v>
      </c>
      <c r="C158" s="50">
        <v>867348</v>
      </c>
      <c r="D158" s="50">
        <v>20862353</v>
      </c>
      <c r="E158" s="32">
        <f>SUM(B158:D158)</f>
        <v>23690495</v>
      </c>
      <c r="F158" s="18"/>
    </row>
    <row r="159" spans="1:6" x14ac:dyDescent="0.35">
      <c r="A159" s="20" t="s">
        <v>273</v>
      </c>
      <c r="B159" s="50">
        <v>55149</v>
      </c>
      <c r="C159" s="50">
        <v>-593</v>
      </c>
      <c r="D159" s="50">
        <v>1056985</v>
      </c>
      <c r="E159" s="32">
        <f>SUM(B159:D159)</f>
        <v>1111541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980811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75689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465091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538347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101175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173809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49288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249152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2633362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/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0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163143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77176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240319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60806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655953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716759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4759217</v>
      </c>
      <c r="C212" s="216"/>
      <c r="D212" s="220"/>
      <c r="E212" s="32">
        <f t="shared" ref="E212:E220" si="16">SUM(B212:C212)-D212</f>
        <v>4759217</v>
      </c>
    </row>
    <row r="213" spans="1:5" x14ac:dyDescent="0.35">
      <c r="A213" s="20" t="s">
        <v>367</v>
      </c>
      <c r="B213" s="220">
        <v>1154036</v>
      </c>
      <c r="C213" s="216"/>
      <c r="D213" s="220"/>
      <c r="E213" s="32">
        <f t="shared" si="16"/>
        <v>1154036</v>
      </c>
    </row>
    <row r="214" spans="1:5" x14ac:dyDescent="0.35">
      <c r="A214" s="20" t="s">
        <v>368</v>
      </c>
      <c r="B214" s="220">
        <v>32534399</v>
      </c>
      <c r="C214" s="216"/>
      <c r="D214" s="220"/>
      <c r="E214" s="32">
        <f t="shared" si="16"/>
        <v>32534399</v>
      </c>
    </row>
    <row r="215" spans="1:5" x14ac:dyDescent="0.35">
      <c r="A215" s="20" t="s">
        <v>369</v>
      </c>
      <c r="B215" s="220">
        <v>2052664</v>
      </c>
      <c r="C215" s="216"/>
      <c r="D215" s="220"/>
      <c r="E215" s="32">
        <f t="shared" si="16"/>
        <v>2052664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2179396</v>
      </c>
      <c r="C217" s="216">
        <v>14516.620000000003</v>
      </c>
      <c r="D217" s="220">
        <v>1260</v>
      </c>
      <c r="E217" s="32">
        <f t="shared" si="16"/>
        <v>2192652.62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/>
      <c r="C220" s="216">
        <v>17867.46</v>
      </c>
      <c r="D220" s="220"/>
      <c r="E220" s="32">
        <f t="shared" si="16"/>
        <v>17867.46</v>
      </c>
    </row>
    <row r="221" spans="1:5" x14ac:dyDescent="0.35">
      <c r="A221" s="20" t="s">
        <v>215</v>
      </c>
      <c r="B221" s="32">
        <f>SUM(B212:B220)</f>
        <v>42679712</v>
      </c>
      <c r="C221" s="265">
        <f>SUM(C212:C220)</f>
        <v>32384.080000000002</v>
      </c>
      <c r="D221" s="32">
        <f>SUM(D212:D220)</f>
        <v>1260</v>
      </c>
      <c r="E221" s="32">
        <f>SUM(E212:E220)</f>
        <v>42710836.079999998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173105.46000000002</v>
      </c>
      <c r="C226" s="216">
        <v>76935.72</v>
      </c>
      <c r="D226" s="220"/>
      <c r="E226" s="32">
        <f t="shared" ref="E226:E233" si="17">SUM(B226:C226)-D226</f>
        <v>250041.18000000002</v>
      </c>
    </row>
    <row r="227" spans="1:5" x14ac:dyDescent="0.35">
      <c r="A227" s="20" t="s">
        <v>368</v>
      </c>
      <c r="B227" s="220">
        <v>2970487.71</v>
      </c>
      <c r="C227" s="216">
        <v>1320216.96</v>
      </c>
      <c r="D227" s="220"/>
      <c r="E227" s="32">
        <f t="shared" si="17"/>
        <v>4290704.67</v>
      </c>
    </row>
    <row r="228" spans="1:5" x14ac:dyDescent="0.35">
      <c r="A228" s="20" t="s">
        <v>369</v>
      </c>
      <c r="B228" s="220">
        <v>883648.16999999993</v>
      </c>
      <c r="C228" s="216">
        <v>392732.36</v>
      </c>
      <c r="D228" s="220"/>
      <c r="E228" s="32">
        <f t="shared" si="17"/>
        <v>1276380.5299999998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964045.61</v>
      </c>
      <c r="C230" s="216">
        <v>442753.78</v>
      </c>
      <c r="D230" s="220">
        <v>692.74</v>
      </c>
      <c r="E230" s="32">
        <f t="shared" si="17"/>
        <v>1406106.6500000001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4991286.95</v>
      </c>
      <c r="C234" s="265">
        <f>SUM(C225:C233)</f>
        <v>2232638.8200000003</v>
      </c>
      <c r="D234" s="32">
        <f>SUM(D225:D233)</f>
        <v>692.74</v>
      </c>
      <c r="E234" s="32">
        <f>SUM(E225:E233)</f>
        <v>7223233.0299999993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65" t="s">
        <v>377</v>
      </c>
      <c r="C237" s="365"/>
      <c r="D237" s="38"/>
      <c r="E237" s="38"/>
    </row>
    <row r="238" spans="1:5" x14ac:dyDescent="0.35">
      <c r="A238" s="56" t="s">
        <v>377</v>
      </c>
      <c r="B238" s="38"/>
      <c r="C238" s="216">
        <v>-153905</v>
      </c>
      <c r="D238" s="40">
        <f>C238</f>
        <v>-153905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1840531.8299999998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1772045.32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0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13454578.030000001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2229221.6800000002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2699948.7499999995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21996325.609999999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171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473318.76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108867.08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582185.84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-15482.580000000002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336165.68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320683.09999999998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22745289.550000001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-151389.88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6607945.0300000003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2707060.9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48439.35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122794.96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79176.78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3999905.3400000003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4759216.5199999996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1154035.92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34587062.380000003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2192653.86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17867.46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42710836.140000001</v>
      </c>
      <c r="E292" s="20"/>
    </row>
    <row r="293" spans="1:5" x14ac:dyDescent="0.35">
      <c r="A293" s="20" t="s">
        <v>416</v>
      </c>
      <c r="B293" s="46" t="s">
        <v>284</v>
      </c>
      <c r="C293" s="47">
        <v>7223232.7599999998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35487603.380000003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6645.12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6645.12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39494153.840000004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17229.939999999999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1399995.22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600801.77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2018026.93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123973.96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123973.96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123973.96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>
        <v>40065230</v>
      </c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-2713077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39494153.890000001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39494153.840000004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45504431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2196800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47701231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-153905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21996325.609999999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582185.84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320683.09999999998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22745289.550000001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24955941.449999999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31881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31881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31881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24987822.449999999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11210775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2633362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3242655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808643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252476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1239605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2272432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1602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240319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716759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0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1284640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1284640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23903268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1084554.4499999993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1084554.4499999993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1084554.4499999993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46983</v>
      </c>
      <c r="E613" s="257">
        <f>SUM(C625:D648)+SUM(C669:D714)</f>
        <v>20818056.7796437</v>
      </c>
      <c r="F613" s="257">
        <f>CE65-(AX65+BD65+BE65+BG65+BJ65+BN65+BP65+BQ65+CB65+CC65+CD65)</f>
        <v>769998</v>
      </c>
      <c r="G613" s="255">
        <f>CE92-(AX92+AY92+BD92+BE92+BG92+BJ92+BN92+BP92+BQ92+CB92+CC92+CD92)</f>
        <v>68022</v>
      </c>
      <c r="H613" s="260">
        <f>CE61-(AX61+AY61+AZ61+BD61+BE61+BG61+BJ61+BN61+BO61+BP61+BQ61+BR61+CB61+CC61+CD61)</f>
        <v>128.97802884615385</v>
      </c>
      <c r="I613" s="255">
        <f>CE93-(AX93+AY93+AZ93+BD93+BE93+BF93+BG93+BJ93+BN93+BO93+BP93+BQ93+BR93+CB93+CC93+CD93)</f>
        <v>9026.363636363636</v>
      </c>
      <c r="J613" s="255">
        <f>CE94-(AX94+AY94+AZ94+BA94+BD94+BE94+BF94+BG94+BJ94+BN94+BO94+BP94+BQ94+BR94+CB94+CC94+CD94)</f>
        <v>75731.16</v>
      </c>
      <c r="K613" s="255">
        <f>CE90-(AW90+AX90+AY90+AZ90+BA90+BB90+BC90+BD90+BE90+BF90+BG90+BH90+BI90+BJ90+BK90+BL90+BM90+BN90+BO90+BP90+BQ90+BR90+BS90+BT90+BU90+BV90+BW90+BX90+CB90+CC90+CD90)</f>
        <v>24802036</v>
      </c>
      <c r="L613" s="261">
        <f>CE95-(AW95+AX95+AY95+AZ95+BA95+BB95+BC95+BD95+BE95+BF95+BG95+BH95+BI95+BJ95+BK95+BL95+BM95+BN95+BO95+BP95+BQ95+BR95+BS95+BT95+BU95+BV95+BW95+BX95+BY95+BZ95+CA95+CB95+CC95+CD95)</f>
        <v>64.599999999999994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1194612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731351</v>
      </c>
      <c r="D616" s="255">
        <f>SUM(C615:C616)</f>
        <v>1925963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329573</v>
      </c>
      <c r="D618" s="255">
        <f>(D616/D613)*BJ91</f>
        <v>9838.2632015835516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149012</v>
      </c>
      <c r="D619" s="255">
        <f>(D616/D613)*BG91</f>
        <v>9387.3428048443056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644504</v>
      </c>
      <c r="D620" s="255">
        <f>(D616/D613)*BN91</f>
        <v>259730.14852180576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345000</v>
      </c>
      <c r="D621" s="255">
        <f>(D616/D613)*CC91</f>
        <v>4017.2908073132835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372399</v>
      </c>
      <c r="D622" s="255">
        <f>(D616/D613)*BP91</f>
        <v>4673.1750207521873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2128134.2203562991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88929.5</v>
      </c>
      <c r="D625" s="255">
        <f>(D616/D613)*BD91</f>
        <v>11846.908605240193</v>
      </c>
      <c r="E625" s="257">
        <f>(E624/E613)*SUM(C625:D625)</f>
        <v>10301.908868224888</v>
      </c>
      <c r="F625" s="257">
        <f>SUM(C625:E625)</f>
        <v>111078.31747346508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747704</v>
      </c>
      <c r="D626" s="255">
        <f>(D616/D613)*AY91</f>
        <v>109819.61298767639</v>
      </c>
      <c r="E626" s="257">
        <f>(E624/E613)*SUM(C626:D626)</f>
        <v>87660.695946755848</v>
      </c>
      <c r="F626" s="257">
        <f>(F625/F613)*AY65</f>
        <v>42092.300063110561</v>
      </c>
      <c r="G626" s="255">
        <f>SUM(C626:F626)</f>
        <v>987276.60899754276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417791</v>
      </c>
      <c r="D627" s="255">
        <f>(D616/D613)*BR91</f>
        <v>7952.5960879467038</v>
      </c>
      <c r="E627" s="257">
        <f>(E624/E613)*SUM(C627:D627)</f>
        <v>43521.810201721259</v>
      </c>
      <c r="F627" s="257">
        <f>(F625/F613)*BR65</f>
        <v>114.97357009544396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100821</v>
      </c>
      <c r="D628" s="255">
        <f>(D616/D613)*BO91</f>
        <v>0</v>
      </c>
      <c r="E628" s="257">
        <f>(E624/E613)*SUM(C628:D628)</f>
        <v>10306.467241473949</v>
      </c>
      <c r="F628" s="257">
        <f>(F625/F613)*BO65</f>
        <v>3454.1118724784319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64608</v>
      </c>
      <c r="D629" s="255">
        <f>(D616/D613)*AZ91</f>
        <v>79525.960879467035</v>
      </c>
      <c r="E629" s="257">
        <f>(E624/E613)*SUM(C629:D629)</f>
        <v>14734.152073358868</v>
      </c>
      <c r="F629" s="257">
        <f>(F625/F613)*AZ65</f>
        <v>0</v>
      </c>
      <c r="G629" s="255">
        <f>(G626/G613)*AZ92</f>
        <v>0</v>
      </c>
      <c r="H629" s="257">
        <f>SUM(C627:G629)</f>
        <v>742830.07192654174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331498</v>
      </c>
      <c r="D630" s="255">
        <f>(D616/D613)*BF91</f>
        <v>52347.758785092483</v>
      </c>
      <c r="E630" s="257">
        <f>(E624/E613)*SUM(C630:D630)</f>
        <v>39238.786946144821</v>
      </c>
      <c r="F630" s="257">
        <f>(F625/F613)*BF65</f>
        <v>6036.1845589757368</v>
      </c>
      <c r="G630" s="255">
        <f>(G626/G613)*BF92</f>
        <v>0</v>
      </c>
      <c r="H630" s="257">
        <f>(H629/H613)*BF61</f>
        <v>27492.606575279977</v>
      </c>
      <c r="I630" s="255">
        <f>SUM(C630:H630)</f>
        <v>456613.33686549304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110636</v>
      </c>
      <c r="D631" s="255">
        <f>(D616/D613)*BA91</f>
        <v>0</v>
      </c>
      <c r="E631" s="257">
        <f>(E624/E613)*SUM(C631:D631)</f>
        <v>11309.809560783089</v>
      </c>
      <c r="F631" s="257">
        <f>(F625/F613)*BA65</f>
        <v>0</v>
      </c>
      <c r="G631" s="255">
        <f>(G626/G613)*BA92</f>
        <v>0</v>
      </c>
      <c r="H631" s="257">
        <f>(H629/H613)*BA61</f>
        <v>0</v>
      </c>
      <c r="I631" s="255">
        <f>(I630/I613)*BA93</f>
        <v>0</v>
      </c>
      <c r="J631" s="255">
        <f>SUM(C631:I631)</f>
        <v>121945.80956078309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953373</v>
      </c>
      <c r="D633" s="255">
        <f>(D616/D613)*BB91</f>
        <v>53659.527211970286</v>
      </c>
      <c r="E633" s="257">
        <f>(E624/E613)*SUM(C633:D633)</f>
        <v>102944.30478579755</v>
      </c>
      <c r="F633" s="257">
        <f>(F625/F613)*BB65</f>
        <v>1256.6308269779327</v>
      </c>
      <c r="G633" s="255">
        <f>(G626/G613)*BB92</f>
        <v>0</v>
      </c>
      <c r="H633" s="257">
        <f>(H629/H613)*BB61</f>
        <v>56535.808344653706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50103</v>
      </c>
      <c r="D634" s="255">
        <f>(D616/D613)*BC91</f>
        <v>0</v>
      </c>
      <c r="E634" s="257">
        <f>(E624/E613)*SUM(C634:D634)</f>
        <v>5121.7993096633563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191217</v>
      </c>
      <c r="D635" s="255">
        <f>(D616/D613)*BI91</f>
        <v>0</v>
      </c>
      <c r="E635" s="257">
        <f>(E624/E613)*SUM(C635:D635)</f>
        <v>19547.234668500849</v>
      </c>
      <c r="F635" s="257">
        <f>(F625/F613)*BI65</f>
        <v>0</v>
      </c>
      <c r="G635" s="255">
        <f>(G626/G613)*BI92</f>
        <v>0</v>
      </c>
      <c r="H635" s="257">
        <f>(H629/H613)*BI61</f>
        <v>18441.007129757745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472458</v>
      </c>
      <c r="D636" s="255">
        <f>(D616/D613)*BK91</f>
        <v>10207.198071642935</v>
      </c>
      <c r="E636" s="257">
        <f>(E624/E613)*SUM(C636:D636)</f>
        <v>49340.643839328346</v>
      </c>
      <c r="F636" s="257">
        <f>(F625/F613)*BK65</f>
        <v>0</v>
      </c>
      <c r="G636" s="255">
        <f>(G626/G613)*BK92</f>
        <v>0</v>
      </c>
      <c r="H636" s="257">
        <f>(H629/H613)*BK61</f>
        <v>24889.82178519405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242070.5</v>
      </c>
      <c r="D637" s="255">
        <f>(D616/D613)*BH91</f>
        <v>11764.92307856033</v>
      </c>
      <c r="E637" s="257">
        <f>(E624/E613)*SUM(C637:D637)</f>
        <v>25948.428131885841</v>
      </c>
      <c r="F637" s="257">
        <f>(F625/F613)*BH65</f>
        <v>1767.736672458683</v>
      </c>
      <c r="G637" s="255">
        <f>(G626/G613)*BH92</f>
        <v>0</v>
      </c>
      <c r="H637" s="257">
        <f>(H629/H613)*BH61</f>
        <v>2944.7464087833878</v>
      </c>
      <c r="I637" s="255">
        <f>(I630/I613)*BH93</f>
        <v>0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1258078</v>
      </c>
      <c r="D638" s="255">
        <f>(D616/D613)*BL91</f>
        <v>55955.12195900645</v>
      </c>
      <c r="E638" s="257">
        <f>(E624/E613)*SUM(C638:D638)</f>
        <v>134327.56395673761</v>
      </c>
      <c r="F638" s="257">
        <f>(F625/F613)*BL65</f>
        <v>0</v>
      </c>
      <c r="G638" s="255">
        <f>(G626/G613)*BL92</f>
        <v>0</v>
      </c>
      <c r="H638" s="257">
        <f>(H629/H613)*BL61</f>
        <v>66924.796145081797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191354</v>
      </c>
      <c r="D643" s="255">
        <f>(D616/D613)*BV91</f>
        <v>17708.873762850391</v>
      </c>
      <c r="E643" s="257">
        <f>(E624/E613)*SUM(C643:D643)</f>
        <v>21371.536285547863</v>
      </c>
      <c r="F643" s="257">
        <f>(F625/F613)*BV65</f>
        <v>1840.5869270360972</v>
      </c>
      <c r="G643" s="255">
        <f>(G626/G613)*BV92</f>
        <v>0</v>
      </c>
      <c r="H643" s="257">
        <f>(H629/H613)*BV61</f>
        <v>14021.810826590572</v>
      </c>
      <c r="I643" s="255">
        <f>(I630/I613)*BV93</f>
        <v>0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3300223</v>
      </c>
      <c r="D644" s="255">
        <f>(D616/D613)*BW91</f>
        <v>48330.467977779197</v>
      </c>
      <c r="E644" s="257">
        <f>(E624/E613)*SUM(C644:D644)</f>
        <v>342307.22393188882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313543</v>
      </c>
      <c r="D645" s="255">
        <f>(D616/D613)*BX91</f>
        <v>13609.597428857247</v>
      </c>
      <c r="E645" s="257">
        <f>(E624/E613)*SUM(C645:D645)</f>
        <v>33443.30574348232</v>
      </c>
      <c r="F645" s="257">
        <f>(F625/F613)*BX65</f>
        <v>0</v>
      </c>
      <c r="G645" s="255">
        <f>(G626/G613)*BX92</f>
        <v>0</v>
      </c>
      <c r="H645" s="257">
        <f>(H629/H613)*BX61</f>
        <v>19543.037285560087</v>
      </c>
      <c r="I645" s="255">
        <f>(I630/I613)*BX93</f>
        <v>0</v>
      </c>
      <c r="J645" s="255">
        <f>(J631/J613)*BX94</f>
        <v>0</v>
      </c>
      <c r="K645" s="257">
        <f>SUM(C632:J645)</f>
        <v>8126173.2324955938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1087170</v>
      </c>
      <c r="D646" s="255">
        <f>(D616/D613)*BY91</f>
        <v>19635.533639827172</v>
      </c>
      <c r="E646" s="257">
        <f>(E624/E613)*SUM(C646:D646)</f>
        <v>113143.64046320679</v>
      </c>
      <c r="F646" s="257">
        <f>(F625/F613)*BY65</f>
        <v>0</v>
      </c>
      <c r="G646" s="255">
        <f>(G626/G613)*BY92</f>
        <v>0</v>
      </c>
      <c r="H646" s="257">
        <f>(H629/H613)*BY61</f>
        <v>50327.889728299808</v>
      </c>
      <c r="I646" s="255">
        <f>(I630/I613)*BY93</f>
        <v>0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375832</v>
      </c>
      <c r="D648" s="255">
        <f>(D616/D613)*CA91</f>
        <v>0</v>
      </c>
      <c r="E648" s="257">
        <f>(E624/E613)*SUM(C648:D648)</f>
        <v>38419.577233886164</v>
      </c>
      <c r="F648" s="257">
        <f>(F625/F613)*CA65</f>
        <v>0</v>
      </c>
      <c r="G648" s="255">
        <f>(G626/G613)*CA92</f>
        <v>0</v>
      </c>
      <c r="H648" s="257">
        <f>(H629/H613)*CA61</f>
        <v>25686.716958158657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1710215.3580233785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14063860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0</v>
      </c>
      <c r="D671" s="255">
        <f>(D616/D613)*E91</f>
        <v>0</v>
      </c>
      <c r="E671" s="257">
        <f>(E624/E613)*SUM(C671:D671)</f>
        <v>0</v>
      </c>
      <c r="F671" s="257">
        <f>(F625/F613)*E65</f>
        <v>0</v>
      </c>
      <c r="G671" s="255">
        <f>(G626/G613)*E92</f>
        <v>0</v>
      </c>
      <c r="H671" s="257">
        <f>(H629/H613)*E61</f>
        <v>0</v>
      </c>
      <c r="I671" s="255">
        <f>(I630/I613)*E93</f>
        <v>0</v>
      </c>
      <c r="J671" s="255">
        <f>(J631/J613)*E94</f>
        <v>0</v>
      </c>
      <c r="K671" s="255">
        <f>(K645/K613)*E90</f>
        <v>0</v>
      </c>
      <c r="L671" s="255">
        <f>(L648/L613)*E95</f>
        <v>0</v>
      </c>
      <c r="M671" s="231">
        <f t="shared" si="18"/>
        <v>0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7370452</v>
      </c>
      <c r="D674" s="255">
        <f>(D616/D613)*H91</f>
        <v>1111313.814145542</v>
      </c>
      <c r="E674" s="257">
        <f>(E624/E613)*SUM(C674:D674)</f>
        <v>867051.91887944622</v>
      </c>
      <c r="F674" s="257">
        <f>(F625/F613)*H65</f>
        <v>16286.57602284257</v>
      </c>
      <c r="G674" s="255">
        <f>(G626/G613)*H92</f>
        <v>987276.60899754276</v>
      </c>
      <c r="H674" s="257">
        <f>(H629/H613)*H61</f>
        <v>372054.24114283611</v>
      </c>
      <c r="I674" s="255">
        <f>(I630/I613)*H93</f>
        <v>456613.33686549304</v>
      </c>
      <c r="J674" s="255">
        <f>(J631/J613)*H94</f>
        <v>121945.80956078309</v>
      </c>
      <c r="K674" s="255">
        <f>(K645/K613)*H90</f>
        <v>8126173.2324955938</v>
      </c>
      <c r="L674" s="255">
        <f>(L648/L613)*H95</f>
        <v>1710215.3580233785</v>
      </c>
      <c r="M674" s="231">
        <f t="shared" si="18"/>
        <v>13768931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8"/>
        <v>0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0</v>
      </c>
      <c r="D682" s="255">
        <f>(D616/D613)*P91</f>
        <v>0</v>
      </c>
      <c r="E682" s="257">
        <f>(E624/E613)*SUM(C682:D682)</f>
        <v>0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>
        <f>(I630/I613)*P93</f>
        <v>0</v>
      </c>
      <c r="J682" s="255">
        <f>(J631/J613)*P94</f>
        <v>0</v>
      </c>
      <c r="K682" s="255">
        <f>(K645/K613)*P90</f>
        <v>0</v>
      </c>
      <c r="L682" s="255">
        <f>(L648/L613)*P95</f>
        <v>0</v>
      </c>
      <c r="M682" s="231">
        <f t="shared" si="18"/>
        <v>0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0</v>
      </c>
      <c r="L683" s="255">
        <f>(L648/L613)*Q95</f>
        <v>0</v>
      </c>
      <c r="M683" s="231">
        <f t="shared" si="18"/>
        <v>0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0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0</v>
      </c>
      <c r="D685" s="255">
        <f>(D616/D613)*S91</f>
        <v>0</v>
      </c>
      <c r="E685" s="257">
        <f>(E624/E613)*SUM(C685:D685)</f>
        <v>0</v>
      </c>
      <c r="F685" s="257">
        <f>(F625/F613)*S65</f>
        <v>0</v>
      </c>
      <c r="G685" s="255">
        <f>(G626/G613)*S92</f>
        <v>0</v>
      </c>
      <c r="H685" s="257">
        <f>(H629/H613)*S61</f>
        <v>0</v>
      </c>
      <c r="I685" s="255">
        <f>(I630/I613)*S93</f>
        <v>0</v>
      </c>
      <c r="J685" s="255">
        <f>(J631/J613)*S94</f>
        <v>0</v>
      </c>
      <c r="K685" s="255">
        <f>(K645/K613)*S90</f>
        <v>0</v>
      </c>
      <c r="L685" s="255">
        <f>(L648/L613)*S95</f>
        <v>0</v>
      </c>
      <c r="M685" s="231">
        <f t="shared" si="18"/>
        <v>0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64941</v>
      </c>
      <c r="D687" s="255">
        <f>(D616/D613)*U91</f>
        <v>2664.5296170955453</v>
      </c>
      <c r="E687" s="257">
        <f>(E624/E613)*SUM(C687:D687)</f>
        <v>6911.0024334324398</v>
      </c>
      <c r="F687" s="257">
        <f>(F625/F613)*U65</f>
        <v>0</v>
      </c>
      <c r="G687" s="255">
        <f>(G626/G613)*U92</f>
        <v>0</v>
      </c>
      <c r="H687" s="257">
        <f>(H629/H613)*U61</f>
        <v>0</v>
      </c>
      <c r="I687" s="255">
        <f>(I630/I613)*U93</f>
        <v>0</v>
      </c>
      <c r="J687" s="255">
        <f>(J631/J613)*U94</f>
        <v>0</v>
      </c>
      <c r="K687" s="255">
        <f>(K645/K613)*U90</f>
        <v>0</v>
      </c>
      <c r="L687" s="255">
        <f>(L648/L613)*U95</f>
        <v>0</v>
      </c>
      <c r="M687" s="231">
        <f t="shared" si="18"/>
        <v>9576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0</v>
      </c>
      <c r="L688" s="255">
        <f>(L648/L613)*V95</f>
        <v>0</v>
      </c>
      <c r="M688" s="231">
        <f t="shared" si="18"/>
        <v>0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0</v>
      </c>
      <c r="L689" s="255">
        <f>(L648/L613)*W95</f>
        <v>0</v>
      </c>
      <c r="M689" s="231">
        <f t="shared" si="18"/>
        <v>0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0</v>
      </c>
      <c r="D690" s="255">
        <f>(D616/D613)*X91</f>
        <v>0</v>
      </c>
      <c r="E690" s="257">
        <f>(E624/E613)*SUM(C690:D690)</f>
        <v>0</v>
      </c>
      <c r="F690" s="257">
        <f>(F625/F613)*X65</f>
        <v>0</v>
      </c>
      <c r="G690" s="255">
        <f>(G626/G613)*X92</f>
        <v>0</v>
      </c>
      <c r="H690" s="257">
        <f>(H629/H613)*X61</f>
        <v>0</v>
      </c>
      <c r="I690" s="255">
        <f>(I630/I613)*X93</f>
        <v>0</v>
      </c>
      <c r="J690" s="255">
        <f>(J631/J613)*X94</f>
        <v>0</v>
      </c>
      <c r="K690" s="255">
        <f>(K645/K613)*X90</f>
        <v>0</v>
      </c>
      <c r="L690" s="255">
        <f>(L648/L613)*X95</f>
        <v>0</v>
      </c>
      <c r="M690" s="231">
        <f t="shared" si="18"/>
        <v>0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0</v>
      </c>
      <c r="D691" s="255">
        <f>(D616/D613)*Y91</f>
        <v>0</v>
      </c>
      <c r="E691" s="257">
        <f>(E624/E613)*SUM(C691:D691)</f>
        <v>0</v>
      </c>
      <c r="F691" s="257">
        <f>(F625/F613)*Y65</f>
        <v>0</v>
      </c>
      <c r="G691" s="255">
        <f>(G626/G613)*Y92</f>
        <v>0</v>
      </c>
      <c r="H691" s="257">
        <f>(H629/H613)*Y61</f>
        <v>0</v>
      </c>
      <c r="I691" s="255">
        <f>(I630/I613)*Y93</f>
        <v>0</v>
      </c>
      <c r="J691" s="255">
        <f>(J631/J613)*Y94</f>
        <v>0</v>
      </c>
      <c r="K691" s="255">
        <f>(K645/K613)*Y90</f>
        <v>0</v>
      </c>
      <c r="L691" s="255">
        <f>(L648/L613)*Y95</f>
        <v>0</v>
      </c>
      <c r="M691" s="231">
        <f t="shared" si="18"/>
        <v>0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754570</v>
      </c>
      <c r="D694" s="255">
        <f>(D616/D613)*AB91</f>
        <v>30908.543558308324</v>
      </c>
      <c r="E694" s="257">
        <f>(E624/E613)*SUM(C694:D694)</f>
        <v>80295.859771916294</v>
      </c>
      <c r="F694" s="257">
        <f>(F625/F613)*AB65</f>
        <v>35709.463698690219</v>
      </c>
      <c r="G694" s="255">
        <f>(G626/G613)*AB92</f>
        <v>0</v>
      </c>
      <c r="H694" s="257">
        <f>(H629/H613)*AB61</f>
        <v>14005.197306653856</v>
      </c>
      <c r="I694" s="255">
        <f>(I630/I613)*AB93</f>
        <v>0</v>
      </c>
      <c r="J694" s="255">
        <f>(J631/J613)*AB94</f>
        <v>0</v>
      </c>
      <c r="K694" s="255">
        <f>(K645/K613)*AB90</f>
        <v>0</v>
      </c>
      <c r="L694" s="255">
        <f>(L648/L613)*AB95</f>
        <v>0</v>
      </c>
      <c r="M694" s="231">
        <f t="shared" si="18"/>
        <v>160919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0</v>
      </c>
      <c r="D695" s="255">
        <f>(D616/D613)*AC91</f>
        <v>0</v>
      </c>
      <c r="E695" s="257">
        <f>(E624/E613)*SUM(C695:D695)</f>
        <v>0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>
        <f>(I630/I613)*AC93</f>
        <v>0</v>
      </c>
      <c r="J695" s="255">
        <f>(J631/J613)*AC94</f>
        <v>0</v>
      </c>
      <c r="K695" s="255">
        <f>(K645/K613)*AC90</f>
        <v>0</v>
      </c>
      <c r="L695" s="255">
        <f>(L648/L613)*AC95</f>
        <v>0</v>
      </c>
      <c r="M695" s="231">
        <f t="shared" si="18"/>
        <v>0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0</v>
      </c>
      <c r="D697" s="255">
        <f>(D616/D613)*AE91</f>
        <v>0</v>
      </c>
      <c r="E697" s="257">
        <f>(E624/E613)*SUM(C697:D697)</f>
        <v>0</v>
      </c>
      <c r="F697" s="257">
        <f>(F625/F613)*AE65</f>
        <v>0</v>
      </c>
      <c r="G697" s="255">
        <f>(G626/G613)*AE92</f>
        <v>0</v>
      </c>
      <c r="H697" s="257">
        <f>(H629/H613)*AE61</f>
        <v>0</v>
      </c>
      <c r="I697" s="255">
        <f>(I630/I613)*AE93</f>
        <v>0</v>
      </c>
      <c r="J697" s="255">
        <f>(J631/J613)*AE94</f>
        <v>0</v>
      </c>
      <c r="K697" s="255">
        <f>(K645/K613)*AE90</f>
        <v>0</v>
      </c>
      <c r="L697" s="255">
        <f>(L648/L613)*AE95</f>
        <v>0</v>
      </c>
      <c r="M697" s="231">
        <f t="shared" si="18"/>
        <v>0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0</v>
      </c>
      <c r="D699" s="255">
        <f>(D616/D613)*AG91</f>
        <v>0</v>
      </c>
      <c r="E699" s="257">
        <f>(E624/E613)*SUM(C699:D699)</f>
        <v>0</v>
      </c>
      <c r="F699" s="257">
        <f>(F625/F613)*AG65</f>
        <v>0</v>
      </c>
      <c r="G699" s="255">
        <f>(G626/G613)*AG92</f>
        <v>0</v>
      </c>
      <c r="H699" s="257">
        <f>(H629/H613)*AG61</f>
        <v>0</v>
      </c>
      <c r="I699" s="255">
        <f>(I630/I613)*AG93</f>
        <v>0</v>
      </c>
      <c r="J699" s="255">
        <f>(J631/J613)*AG94</f>
        <v>0</v>
      </c>
      <c r="K699" s="255">
        <f>(K645/K613)*AG90</f>
        <v>0</v>
      </c>
      <c r="L699" s="255">
        <f>(L648/L613)*AG95</f>
        <v>0</v>
      </c>
      <c r="M699" s="231">
        <f t="shared" si="18"/>
        <v>0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0</v>
      </c>
      <c r="D702" s="255">
        <f>(D616/D613)*AJ91</f>
        <v>0</v>
      </c>
      <c r="E702" s="257">
        <f>(E624/E613)*SUM(C702:D702)</f>
        <v>0</v>
      </c>
      <c r="F702" s="257">
        <f>(F625/F613)*AJ65</f>
        <v>0</v>
      </c>
      <c r="G702" s="255">
        <f>(G626/G613)*AJ92</f>
        <v>0</v>
      </c>
      <c r="H702" s="257">
        <f>(H629/H613)*AJ61</f>
        <v>0</v>
      </c>
      <c r="I702" s="255">
        <f>(I630/I613)*AJ93</f>
        <v>0</v>
      </c>
      <c r="J702" s="255">
        <f>(J631/J613)*AJ94</f>
        <v>0</v>
      </c>
      <c r="K702" s="255">
        <f>(K645/K613)*AJ90</f>
        <v>0</v>
      </c>
      <c r="L702" s="255">
        <f>(L648/L613)*AJ95</f>
        <v>0</v>
      </c>
      <c r="M702" s="231">
        <f t="shared" si="18"/>
        <v>0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8"/>
        <v>0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8"/>
        <v>0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285805</v>
      </c>
      <c r="D705" s="255">
        <f>(D616/D613)*AM91</f>
        <v>1065.8118468382181</v>
      </c>
      <c r="E705" s="257">
        <f>(E624/E613)*SUM(C705:D705)</f>
        <v>29325.484024503574</v>
      </c>
      <c r="F705" s="257">
        <f>(F625/F613)*AM65</f>
        <v>1999.847681597415</v>
      </c>
      <c r="G705" s="255">
        <f>(G626/G613)*AM92</f>
        <v>0</v>
      </c>
      <c r="H705" s="257">
        <f>(H629/H613)*AM61</f>
        <v>22785.442593209682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55177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406563</v>
      </c>
      <c r="D713" s="255">
        <f>(D616/D613)*AU91</f>
        <v>0</v>
      </c>
      <c r="E713" s="257">
        <f>(E624/E613)*SUM(C713:D713)</f>
        <v>41561.066058612523</v>
      </c>
      <c r="F713" s="257">
        <f>(F625/F613)*AU65</f>
        <v>519.9055792019825</v>
      </c>
      <c r="G713" s="255">
        <f>(G626/G613)*AU92</f>
        <v>0</v>
      </c>
      <c r="H713" s="257">
        <f>(H629/H613)*AU61</f>
        <v>27176.949696482323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69258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22946191</v>
      </c>
      <c r="D716" s="231">
        <f>SUM(D617:D648)+SUM(D669:D714)</f>
        <v>1925963.0000000002</v>
      </c>
      <c r="E716" s="231">
        <f>SUM(E625:E648)+SUM(E669:E714)</f>
        <v>2128134.2203562991</v>
      </c>
      <c r="F716" s="231">
        <f>SUM(F626:F649)+SUM(F669:F714)</f>
        <v>111078.31747346507</v>
      </c>
      <c r="G716" s="231">
        <f>SUM(G627:G648)+SUM(G669:G714)</f>
        <v>987276.60899754276</v>
      </c>
      <c r="H716" s="231">
        <f>SUM(H630:H648)+SUM(H669:H714)</f>
        <v>742830.07192654174</v>
      </c>
      <c r="I716" s="231">
        <f>SUM(I631:I648)+SUM(I669:I714)</f>
        <v>456613.33686549304</v>
      </c>
      <c r="J716" s="231">
        <f>SUM(J632:J648)+SUM(J669:J714)</f>
        <v>121945.80956078309</v>
      </c>
      <c r="K716" s="231">
        <f>SUM(K669:K714)</f>
        <v>8126173.2324955938</v>
      </c>
      <c r="L716" s="231">
        <f>SUM(L669:L714)</f>
        <v>1710215.3580233785</v>
      </c>
      <c r="M716" s="231">
        <f>SUM(M669:M714)</f>
        <v>14063861</v>
      </c>
      <c r="N716" s="249" t="s">
        <v>669</v>
      </c>
    </row>
    <row r="717" spans="1:14" s="231" customFormat="1" ht="12.65" customHeight="1" x14ac:dyDescent="0.3">
      <c r="C717" s="252">
        <f>CE86</f>
        <v>22946191</v>
      </c>
      <c r="D717" s="231">
        <f>D616</f>
        <v>1925963</v>
      </c>
      <c r="E717" s="231">
        <f>E624</f>
        <v>2128134.2203562991</v>
      </c>
      <c r="F717" s="231">
        <f>F625</f>
        <v>111078.31747346508</v>
      </c>
      <c r="G717" s="231">
        <f>G626</f>
        <v>987276.60899754276</v>
      </c>
      <c r="H717" s="231">
        <f>H629</f>
        <v>742830.07192654174</v>
      </c>
      <c r="I717" s="231">
        <f>I630</f>
        <v>456613.33686549304</v>
      </c>
      <c r="J717" s="231">
        <f>J631</f>
        <v>121945.80956078309</v>
      </c>
      <c r="K717" s="231">
        <f>K645</f>
        <v>8126173.2324955938</v>
      </c>
      <c r="L717" s="231">
        <f>L648</f>
        <v>1710215.3580233785</v>
      </c>
      <c r="M717" s="231">
        <f>C649</f>
        <v>14063860</v>
      </c>
      <c r="N717" s="249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926</v>
      </c>
      <c r="C2" s="12" t="str">
        <f>SUBSTITUTE(LEFT(data!C98,49),",","")</f>
        <v>Inland Northwest Behavioral Health</v>
      </c>
      <c r="D2" s="12" t="str">
        <f>LEFT(data!C99,49)</f>
        <v>104 W 5th Ave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99204</v>
      </c>
      <c r="H2" s="12" t="str">
        <f>RIGHT(data!C103,100)</f>
        <v>Spokane</v>
      </c>
      <c r="I2" s="12" t="str">
        <f>LEFT(data!C104,49)</f>
        <v>Rlynn Wickel</v>
      </c>
      <c r="J2" s="12" t="str">
        <f>LEFT(data!C105,49)</f>
        <v>Troy Cherry</v>
      </c>
      <c r="K2" s="12" t="str">
        <f>LEFT(data!C107,49)</f>
        <v>509-992-1888</v>
      </c>
      <c r="L2" s="12" t="str">
        <f>LEFT(data!C107,49)</f>
        <v>509-992-1888</v>
      </c>
      <c r="M2" s="12" t="str">
        <f>LEFT(data!C109,49)</f>
        <v>Troy Cherry</v>
      </c>
      <c r="N2" s="12" t="str">
        <f>LEFT(data!C110,49)</f>
        <v>troy.cherry@uhsinc.com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926</v>
      </c>
      <c r="B2" s="224" t="str">
        <f>RIGHT(data!C96,4)</f>
        <v>2022</v>
      </c>
      <c r="C2" s="16" t="s">
        <v>1122</v>
      </c>
      <c r="D2" s="223">
        <f>ROUND(data!C181,0)</f>
        <v>1148160</v>
      </c>
      <c r="E2" s="223">
        <f>ROUND(data!C182,0)</f>
        <v>122259</v>
      </c>
      <c r="F2" s="223">
        <f>ROUND(data!C183,0)</f>
        <v>486121</v>
      </c>
      <c r="G2" s="223">
        <f>ROUND(data!C184,0)</f>
        <v>597624</v>
      </c>
      <c r="H2" s="223">
        <f>ROUND(data!C185,0)</f>
        <v>97115</v>
      </c>
      <c r="I2" s="223">
        <f>ROUND(data!C186,0)</f>
        <v>176025</v>
      </c>
      <c r="J2" s="223">
        <f>ROUND(data!C187+data!C188,0)</f>
        <v>339393</v>
      </c>
      <c r="K2" s="223">
        <f>ROUND(data!C191,0)</f>
        <v>12000</v>
      </c>
      <c r="L2" s="223">
        <f>ROUND(data!C192,0)</f>
        <v>3561</v>
      </c>
      <c r="M2" s="223">
        <f>ROUND(data!C195,0)</f>
        <v>163832</v>
      </c>
      <c r="N2" s="223">
        <f>ROUND(data!C196,0)</f>
        <v>94421</v>
      </c>
      <c r="O2" s="223">
        <f>ROUND(data!C199,0)</f>
        <v>92486</v>
      </c>
      <c r="P2" s="223">
        <f>ROUND(data!C200,0)</f>
        <v>285343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4759217</v>
      </c>
      <c r="U2" s="223">
        <f>ROUND(data!C211,0)</f>
        <v>0</v>
      </c>
      <c r="V2" s="223">
        <f>ROUND(data!D211,0)</f>
        <v>0</v>
      </c>
      <c r="W2" s="223">
        <f>ROUND(data!B212,0)</f>
        <v>1154036</v>
      </c>
      <c r="X2" s="223">
        <f>ROUND(data!C212,0)</f>
        <v>0</v>
      </c>
      <c r="Y2" s="223">
        <f>ROUND(data!D212,0)</f>
        <v>0</v>
      </c>
      <c r="Z2" s="223">
        <f>ROUND(data!B213,0)</f>
        <v>34587062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2192654</v>
      </c>
      <c r="AJ2" s="223">
        <f>ROUND(data!C216,0)</f>
        <v>58455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17867</v>
      </c>
      <c r="AS2" s="223">
        <f>ROUND(data!C219,0)</f>
        <v>35595</v>
      </c>
      <c r="AT2" s="223">
        <f>ROUND(data!D219,0)</f>
        <v>17867</v>
      </c>
      <c r="AU2" s="223">
        <v>0</v>
      </c>
      <c r="AV2" s="223">
        <v>0</v>
      </c>
      <c r="AW2" s="223">
        <v>0</v>
      </c>
      <c r="AX2" s="223">
        <f>ROUND(data!B225,0)</f>
        <v>250041</v>
      </c>
      <c r="AY2" s="223">
        <f>ROUND(data!C225,0)</f>
        <v>76936</v>
      </c>
      <c r="AZ2" s="223">
        <f>ROUND(data!D225,0)</f>
        <v>0</v>
      </c>
      <c r="BA2" s="223">
        <f>ROUND(data!B226,0)</f>
        <v>5567086</v>
      </c>
      <c r="BB2" s="223">
        <f>ROUND(data!C226,0)</f>
        <v>1712949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1406106</v>
      </c>
      <c r="BK2" s="223">
        <f>ROUND(data!C229,0)</f>
        <v>360337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2454679</v>
      </c>
      <c r="BW2" s="223">
        <f>ROUND(data!C240,0)</f>
        <v>1860356</v>
      </c>
      <c r="BX2" s="223">
        <f>ROUND(data!C241,0)</f>
        <v>0</v>
      </c>
      <c r="BY2" s="223">
        <f>ROUND(data!C242,0)</f>
        <v>16454951</v>
      </c>
      <c r="BZ2" s="223">
        <f>ROUND(data!C243,0)</f>
        <v>2912599</v>
      </c>
      <c r="CA2" s="223">
        <f>ROUND(data!C244,0)</f>
        <v>3155913</v>
      </c>
      <c r="CB2" s="223">
        <f>ROUND(data!C247,0)</f>
        <v>0</v>
      </c>
      <c r="CC2" s="223">
        <f>ROUND(data!C249,0)</f>
        <v>591536</v>
      </c>
      <c r="CD2" s="223">
        <f>ROUND(data!C250,0)</f>
        <v>284868</v>
      </c>
      <c r="CE2" s="223">
        <f>ROUND(data!C254+data!C255,0)</f>
        <v>371327</v>
      </c>
      <c r="CF2" s="223">
        <f>data!D237</f>
        <v>-218816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926</v>
      </c>
      <c r="B2" s="16" t="str">
        <f>RIGHT(data!C96,4)</f>
        <v>2022</v>
      </c>
      <c r="C2" s="16" t="s">
        <v>1122</v>
      </c>
      <c r="D2" s="222">
        <f>ROUND(data!C127,0)</f>
        <v>2034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22283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100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100</v>
      </c>
      <c r="X2" s="222">
        <f>ROUND(data!C145,0)</f>
        <v>0</v>
      </c>
      <c r="Y2" s="222">
        <f>ROUND(data!B154,0)</f>
        <v>123</v>
      </c>
      <c r="Z2" s="222">
        <f>ROUND(data!B155,0)</f>
        <v>2106</v>
      </c>
      <c r="AA2" s="222">
        <f>ROUND(data!B156,0)</f>
        <v>208</v>
      </c>
      <c r="AB2" s="222">
        <f>ROUND(data!B157,0)</f>
        <v>1890011</v>
      </c>
      <c r="AC2" s="222">
        <f>ROUND(data!B158,0)</f>
        <v>49086</v>
      </c>
      <c r="AD2" s="222">
        <f>ROUND(data!C154,0)</f>
        <v>103</v>
      </c>
      <c r="AE2" s="222">
        <f>ROUND(data!C155,0)</f>
        <v>1390</v>
      </c>
      <c r="AF2" s="222">
        <f>ROUND(data!C156,0)</f>
        <v>13</v>
      </c>
      <c r="AG2" s="222">
        <f>ROUND(data!C157,0)</f>
        <v>897692</v>
      </c>
      <c r="AH2" s="222">
        <f>ROUND(data!C158,0)</f>
        <v>91266</v>
      </c>
      <c r="AI2" s="222">
        <f>ROUND(data!D154,0)</f>
        <v>1808</v>
      </c>
      <c r="AJ2" s="222">
        <f>ROUND(data!D155,0)</f>
        <v>18787</v>
      </c>
      <c r="AK2" s="222">
        <f>ROUND(data!D156,0)</f>
        <v>5404</v>
      </c>
      <c r="AL2" s="222">
        <f>ROUND(data!D157,0)</f>
        <v>20408146</v>
      </c>
      <c r="AM2" s="222">
        <f>ROUND(data!D158,0)</f>
        <v>1641485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926</v>
      </c>
      <c r="B2" s="224" t="str">
        <f>RIGHT(data!C96,4)</f>
        <v>2022</v>
      </c>
      <c r="C2" s="16" t="s">
        <v>1122</v>
      </c>
      <c r="D2" s="222">
        <f>ROUND(data!C266,0)</f>
        <v>-262469</v>
      </c>
      <c r="E2" s="222">
        <f>ROUND(data!C267,0)</f>
        <v>0</v>
      </c>
      <c r="F2" s="222">
        <f>ROUND(data!C268,0)</f>
        <v>7760692</v>
      </c>
      <c r="G2" s="222">
        <f>ROUND(data!C269,0)</f>
        <v>3411471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101317</v>
      </c>
      <c r="L2" s="222">
        <f>ROUND(data!C274,0)</f>
        <v>146685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4759217</v>
      </c>
      <c r="R2" s="222">
        <f>ROUND(data!C284,0)</f>
        <v>1154036</v>
      </c>
      <c r="S2" s="222">
        <f>ROUND(data!C285,0)</f>
        <v>34587062</v>
      </c>
      <c r="T2" s="222">
        <f>ROUND(data!C286,0)</f>
        <v>0</v>
      </c>
      <c r="U2" s="222">
        <f>ROUND(data!C287,0)</f>
        <v>0</v>
      </c>
      <c r="V2" s="222">
        <f>ROUND(data!C288,0)</f>
        <v>2260479</v>
      </c>
      <c r="W2" s="222">
        <f>ROUND(data!C289,0)</f>
        <v>0</v>
      </c>
      <c r="X2" s="222">
        <f>ROUND(data!C290,0)</f>
        <v>26226</v>
      </c>
      <c r="Y2" s="222">
        <f>ROUND(data!C291,0)</f>
        <v>0</v>
      </c>
      <c r="Z2" s="222">
        <f>ROUND(data!C292,0)</f>
        <v>9373455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12109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386975</v>
      </c>
      <c r="AK2" s="222">
        <f>ROUND(data!C316,0)</f>
        <v>1166903</v>
      </c>
      <c r="AL2" s="222">
        <f>ROUND(data!C317,0)</f>
        <v>31494590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7826723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-3114762</v>
      </c>
      <c r="BJ2" s="222">
        <f>ROUND(data!C349,0)</f>
        <v>0</v>
      </c>
      <c r="BK2" s="222">
        <f>ROUND(data!CE60,2)</f>
        <v>162.72</v>
      </c>
      <c r="BL2" s="222">
        <f>ROUND(data!C358,0)</f>
        <v>49148251</v>
      </c>
      <c r="BM2" s="222">
        <f>ROUND(data!C359,0)</f>
        <v>3760950</v>
      </c>
      <c r="BN2" s="222">
        <f>ROUND(data!C363,0)</f>
        <v>23681160</v>
      </c>
      <c r="BO2" s="222">
        <f>ROUND(data!C364,0)</f>
        <v>4403644</v>
      </c>
      <c r="BP2" s="222">
        <f>ROUND(data!C365,0)</f>
        <v>0</v>
      </c>
      <c r="BQ2" s="222">
        <f>ROUND(data!D381,0)</f>
        <v>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0</v>
      </c>
      <c r="CC2" s="222">
        <f>ROUND(data!C382,0)</f>
        <v>0</v>
      </c>
      <c r="CD2" s="222">
        <f>ROUND(data!C389,0)</f>
        <v>13272856</v>
      </c>
      <c r="CE2" s="222">
        <f>ROUND(data!C390,0)</f>
        <v>2966697</v>
      </c>
      <c r="CF2" s="222">
        <f>ROUND(data!C391,0)</f>
        <v>3036569</v>
      </c>
      <c r="CG2" s="222">
        <f>ROUND(data!C392,0)</f>
        <v>887655</v>
      </c>
      <c r="CH2" s="222">
        <f>ROUND(data!C393,0)</f>
        <v>96065</v>
      </c>
      <c r="CI2" s="222">
        <f>ROUND(data!C394,0)</f>
        <v>589158</v>
      </c>
      <c r="CJ2" s="222">
        <f>ROUND(data!C395,0)</f>
        <v>2215727</v>
      </c>
      <c r="CK2" s="222">
        <f>ROUND(data!C396,0)</f>
        <v>15561</v>
      </c>
      <c r="CL2" s="222">
        <f>ROUND(data!C397,0)</f>
        <v>0</v>
      </c>
      <c r="CM2" s="222">
        <f>ROUND(data!C398,0)</f>
        <v>0</v>
      </c>
      <c r="CN2" s="222">
        <f>ROUND(data!C399,0)</f>
        <v>0</v>
      </c>
      <c r="CO2" s="222">
        <f>ROUND(data!C362,0)</f>
        <v>-218816</v>
      </c>
      <c r="CP2" s="222">
        <f>ROUND(data!D415,0)</f>
        <v>2915968</v>
      </c>
      <c r="CQ2" s="65">
        <f>ROUND(data!C401,0)</f>
        <v>0</v>
      </c>
      <c r="CR2" s="65">
        <f>ROUND(data!C402,0)</f>
        <v>379621</v>
      </c>
      <c r="CS2" s="65">
        <f>ROUND(data!C403,0)</f>
        <v>0</v>
      </c>
      <c r="CT2" s="65">
        <f>ROUND(data!C404,0)</f>
        <v>264178</v>
      </c>
      <c r="CU2" s="65">
        <f>ROUND(data!C405,0)</f>
        <v>143619</v>
      </c>
      <c r="CV2" s="65">
        <f>ROUND(data!C406,0)</f>
        <v>2244</v>
      </c>
      <c r="CW2" s="65">
        <f>ROUND(data!C407,0)</f>
        <v>57172</v>
      </c>
      <c r="CX2" s="65">
        <f>ROUND(data!C408,0)</f>
        <v>168699</v>
      </c>
      <c r="CY2" s="65">
        <f>ROUND(data!C409,0)</f>
        <v>748348</v>
      </c>
      <c r="CZ2" s="65">
        <f>ROUND(data!C410,0)</f>
        <v>211307</v>
      </c>
      <c r="DA2" s="65">
        <f>ROUND(data!C411,0)</f>
        <v>4908</v>
      </c>
      <c r="DB2" s="65">
        <f>ROUND(data!C412,0)</f>
        <v>670305</v>
      </c>
      <c r="DC2" s="65">
        <f>ROUND(data!C413,0)</f>
        <v>169824</v>
      </c>
      <c r="DD2" s="65">
        <f>ROUND(data!C414,0)</f>
        <v>95742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926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926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926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926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926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926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22283</v>
      </c>
      <c r="F7" s="212">
        <f>ROUND(data!H60,2)</f>
        <v>61.09</v>
      </c>
      <c r="G7" s="222">
        <f>ROUND(data!H61,0)</f>
        <v>5696055</v>
      </c>
      <c r="H7" s="222">
        <f>ROUND(data!H62,0)</f>
        <v>1273160</v>
      </c>
      <c r="I7" s="222">
        <f>ROUND(data!H63,0)</f>
        <v>0</v>
      </c>
      <c r="J7" s="222">
        <f>ROUND(data!H64,0)</f>
        <v>91340</v>
      </c>
      <c r="K7" s="222">
        <f>ROUND(data!H65,0)</f>
        <v>0</v>
      </c>
      <c r="L7" s="222">
        <f>ROUND(data!H66,0)</f>
        <v>13539</v>
      </c>
      <c r="M7" s="66">
        <f>ROUND(data!H67,0)</f>
        <v>880316</v>
      </c>
      <c r="N7" s="222">
        <f>ROUND(data!H68,0)</f>
        <v>2158</v>
      </c>
      <c r="O7" s="222">
        <f>ROUND(data!H69,0)</f>
        <v>382019</v>
      </c>
      <c r="P7" s="222">
        <f>ROUND(data!H70,0)</f>
        <v>0</v>
      </c>
      <c r="Q7" s="222">
        <f>ROUND(data!H71,0)</f>
        <v>379621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2398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25043213</v>
      </c>
      <c r="AF7" s="222">
        <f>ROUND(data!H87,0)</f>
        <v>23416491</v>
      </c>
      <c r="AG7" s="222">
        <f>IF(data!H90&gt;0,ROUND(data!H90,0),0)</f>
        <v>27110</v>
      </c>
      <c r="AH7" s="222">
        <f>IF(data!H91&gt;0,ROUND(data!H91,0),0)</f>
        <v>66849</v>
      </c>
      <c r="AI7" s="222">
        <f>IF(data!H92&gt;0,ROUND(data!H92,0),0)</f>
        <v>8369</v>
      </c>
      <c r="AJ7" s="222">
        <f>IF(data!H93&gt;0,ROUND(data!H93,0),0)</f>
        <v>74425</v>
      </c>
      <c r="AK7" s="212">
        <f>IF(data!H94&gt;0,ROUND(data!H94,2),0)</f>
        <v>61.09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926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926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926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926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926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926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926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926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926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926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926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926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926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0</v>
      </c>
      <c r="M20" s="66">
        <f>ROUND(data!U67,0)</f>
        <v>2111</v>
      </c>
      <c r="N20" s="222">
        <f>ROUND(data!U68,0)</f>
        <v>0</v>
      </c>
      <c r="O20" s="222">
        <f>ROUND(data!U69,0)</f>
        <v>57172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57172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65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926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926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926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926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0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926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926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926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2.2999999999999998</v>
      </c>
      <c r="G27" s="222">
        <f>ROUND(data!AB61,0)</f>
        <v>337010</v>
      </c>
      <c r="H27" s="222">
        <f>ROUND(data!AB62,0)</f>
        <v>75327</v>
      </c>
      <c r="I27" s="222">
        <f>ROUND(data!AB63,0)</f>
        <v>0</v>
      </c>
      <c r="J27" s="222">
        <f>ROUND(data!AB64,0)</f>
        <v>269975</v>
      </c>
      <c r="K27" s="222">
        <f>ROUND(data!AB65,0)</f>
        <v>0</v>
      </c>
      <c r="L27" s="222">
        <f>ROUND(data!AB66,0)</f>
        <v>113441</v>
      </c>
      <c r="M27" s="66">
        <f>ROUND(data!AB67,0)</f>
        <v>24484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754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926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926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926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926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926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926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926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926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926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926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926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3.01</v>
      </c>
      <c r="G38" s="222">
        <f>ROUND(data!AM61,0)</f>
        <v>191663</v>
      </c>
      <c r="H38" s="222">
        <f>ROUND(data!AM62,0)</f>
        <v>42840</v>
      </c>
      <c r="I38" s="222">
        <f>ROUND(data!AM63,0)</f>
        <v>0</v>
      </c>
      <c r="J38" s="222">
        <f>ROUND(data!AM64,0)</f>
        <v>7290</v>
      </c>
      <c r="K38" s="222">
        <f>ROUND(data!AM65,0)</f>
        <v>0</v>
      </c>
      <c r="L38" s="222">
        <f>ROUND(data!AM66,0)</f>
        <v>4560</v>
      </c>
      <c r="M38" s="66">
        <f>ROUND(data!AM67,0)</f>
        <v>844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26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926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926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926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926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926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926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926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926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7.51</v>
      </c>
      <c r="G46" s="222">
        <f>ROUND(data!AU61,0)</f>
        <v>602648</v>
      </c>
      <c r="H46" s="222">
        <f>ROUND(data!AU62,0)</f>
        <v>134701</v>
      </c>
      <c r="I46" s="222">
        <f>ROUND(data!AU63,0)</f>
        <v>0</v>
      </c>
      <c r="J46" s="222">
        <f>ROUND(data!AU64,0)</f>
        <v>5684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926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926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926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926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66849</v>
      </c>
      <c r="F50" s="212">
        <f>ROUND(data!AY60,2)</f>
        <v>6.39</v>
      </c>
      <c r="G50" s="222">
        <f>ROUND(data!AY61,0)</f>
        <v>352892</v>
      </c>
      <c r="H50" s="222">
        <f>ROUND(data!AY62,0)</f>
        <v>78877</v>
      </c>
      <c r="I50" s="222">
        <f>ROUND(data!AY63,0)</f>
        <v>0</v>
      </c>
      <c r="J50" s="222">
        <f>ROUND(data!AY64,0)</f>
        <v>377088</v>
      </c>
      <c r="K50" s="222">
        <f>ROUND(data!AY65,0)</f>
        <v>0</v>
      </c>
      <c r="L50" s="222">
        <f>ROUND(data!AY66,0)</f>
        <v>1619</v>
      </c>
      <c r="M50" s="66">
        <f>ROUND(data!AY67,0)</f>
        <v>86992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2679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926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62996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1940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926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143619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143619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926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9.17</v>
      </c>
      <c r="G53" s="222">
        <f>ROUND(data!BB61,0)</f>
        <v>806294</v>
      </c>
      <c r="H53" s="222">
        <f>ROUND(data!BB62,0)</f>
        <v>180220</v>
      </c>
      <c r="I53" s="222">
        <f>ROUND(data!BB63,0)</f>
        <v>0</v>
      </c>
      <c r="J53" s="222">
        <f>ROUND(data!BB64,0)</f>
        <v>4560</v>
      </c>
      <c r="K53" s="222">
        <f>ROUND(data!BB65,0)</f>
        <v>0</v>
      </c>
      <c r="L53" s="222">
        <f>ROUND(data!BB66,0)</f>
        <v>0</v>
      </c>
      <c r="M53" s="66">
        <f>ROUND(data!BB67,0)</f>
        <v>42506</v>
      </c>
      <c r="N53" s="222">
        <f>ROUND(data!BB68,0)</f>
        <v>0</v>
      </c>
      <c r="O53" s="222">
        <f>ROUND(data!BB69,0)</f>
        <v>720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720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1309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926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53554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926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0.5</v>
      </c>
      <c r="G55" s="222">
        <f>ROUND(data!BD61,0)</f>
        <v>42483</v>
      </c>
      <c r="H55" s="222">
        <f>ROUND(data!BD62,0)</f>
        <v>9496</v>
      </c>
      <c r="I55" s="222">
        <f>ROUND(data!BD63,0)</f>
        <v>0</v>
      </c>
      <c r="J55" s="222">
        <f>ROUND(data!BD64,0)</f>
        <v>16717</v>
      </c>
      <c r="K55" s="222">
        <f>ROUND(data!BD65,0)</f>
        <v>0</v>
      </c>
      <c r="L55" s="222">
        <f>ROUND(data!BD66,0)</f>
        <v>-246</v>
      </c>
      <c r="M55" s="66">
        <f>ROUND(data!BD67,0)</f>
        <v>9384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289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926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68235</v>
      </c>
      <c r="F56" s="212">
        <f>ROUND(data!BE60,2)</f>
        <v>1.92</v>
      </c>
      <c r="G56" s="222">
        <f>ROUND(data!BE61,0)</f>
        <v>201350</v>
      </c>
      <c r="H56" s="222">
        <f>ROUND(data!BE62,0)</f>
        <v>45005</v>
      </c>
      <c r="I56" s="222">
        <f>ROUND(data!BE63,0)</f>
        <v>0</v>
      </c>
      <c r="J56" s="222">
        <f>ROUND(data!BE64,0)</f>
        <v>7893</v>
      </c>
      <c r="K56" s="222">
        <f>ROUND(data!BE65,0)</f>
        <v>10572</v>
      </c>
      <c r="L56" s="222">
        <f>ROUND(data!BE66,0)</f>
        <v>40071</v>
      </c>
      <c r="M56" s="66">
        <f>ROUND(data!BE67,0)</f>
        <v>690095</v>
      </c>
      <c r="N56" s="222">
        <f>ROUND(data!BE68,0)</f>
        <v>12000</v>
      </c>
      <c r="O56" s="222">
        <f>ROUND(data!BE69,0)</f>
        <v>169824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169824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21252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926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4.43</v>
      </c>
      <c r="G57" s="222">
        <f>ROUND(data!BF61,0)</f>
        <v>200542</v>
      </c>
      <c r="H57" s="222">
        <f>ROUND(data!BF62,0)</f>
        <v>44824</v>
      </c>
      <c r="I57" s="222">
        <f>ROUND(data!BF63,0)</f>
        <v>0</v>
      </c>
      <c r="J57" s="222">
        <f>ROUND(data!BF64,0)</f>
        <v>42388</v>
      </c>
      <c r="K57" s="222">
        <f>ROUND(data!BF65,0)</f>
        <v>0</v>
      </c>
      <c r="L57" s="222">
        <f>ROUND(data!BF66,0)</f>
        <v>14949</v>
      </c>
      <c r="M57" s="66">
        <f>ROUND(data!BF67,0)</f>
        <v>41467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1277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926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2.34</v>
      </c>
      <c r="G58" s="222">
        <f>ROUND(data!BG61,0)</f>
        <v>96337</v>
      </c>
      <c r="H58" s="222">
        <f>ROUND(data!BG62,0)</f>
        <v>21533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7436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229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926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0.5</v>
      </c>
      <c r="G59" s="222">
        <f>ROUND(data!BH61,0)</f>
        <v>42483</v>
      </c>
      <c r="H59" s="222">
        <f>ROUND(data!BH62,0)</f>
        <v>9496</v>
      </c>
      <c r="I59" s="222">
        <f>ROUND(data!BH63,0)</f>
        <v>0</v>
      </c>
      <c r="J59" s="222">
        <f>ROUND(data!BH64,0)</f>
        <v>16525</v>
      </c>
      <c r="K59" s="222">
        <f>ROUND(data!BH65,0)</f>
        <v>85493</v>
      </c>
      <c r="L59" s="222">
        <f>ROUND(data!BH66,0)</f>
        <v>76388</v>
      </c>
      <c r="M59" s="66">
        <f>ROUND(data!BH67,0)</f>
        <v>9319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287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926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183534</v>
      </c>
      <c r="M60" s="66">
        <f>ROUND(data!BI67,0)</f>
        <v>0</v>
      </c>
      <c r="N60" s="222">
        <f>ROUND(data!BI68,0)</f>
        <v>0</v>
      </c>
      <c r="O60" s="222">
        <f>ROUND(data!BI69,0)</f>
        <v>168699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168699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926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2.96</v>
      </c>
      <c r="G61" s="222">
        <f>ROUND(data!BJ61,0)</f>
        <v>293928</v>
      </c>
      <c r="H61" s="222">
        <f>ROUND(data!BJ62,0)</f>
        <v>65698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7793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240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926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4.43</v>
      </c>
      <c r="G62" s="222">
        <f>ROUND(data!BK61,0)</f>
        <v>284084</v>
      </c>
      <c r="H62" s="222">
        <f>ROUND(data!BK62,0)</f>
        <v>63497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32543</v>
      </c>
      <c r="M62" s="66">
        <f>ROUND(data!BK67,0)</f>
        <v>8086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249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926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11.5</v>
      </c>
      <c r="G63" s="222">
        <f>ROUND(data!BL61,0)</f>
        <v>1002723</v>
      </c>
      <c r="H63" s="222">
        <f>ROUND(data!BL62,0)</f>
        <v>224125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44324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1365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926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926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2.0699999999999998</v>
      </c>
      <c r="G65" s="222">
        <f>ROUND(data!BN61,0)</f>
        <v>307259</v>
      </c>
      <c r="H65" s="222">
        <f>ROUND(data!BN62,0)</f>
        <v>68677</v>
      </c>
      <c r="I65" s="222">
        <f>ROUND(data!BN63,0)</f>
        <v>0</v>
      </c>
      <c r="J65" s="222">
        <f>ROUND(data!BN64,0)</f>
        <v>598</v>
      </c>
      <c r="K65" s="222">
        <f>ROUND(data!BN65,0)</f>
        <v>0</v>
      </c>
      <c r="L65" s="222">
        <f>ROUND(data!BN66,0)</f>
        <v>12744</v>
      </c>
      <c r="M65" s="66">
        <f>ROUND(data!BN67,0)</f>
        <v>205743</v>
      </c>
      <c r="N65" s="222">
        <f>ROUND(data!BN68,0)</f>
        <v>1403</v>
      </c>
      <c r="O65" s="222">
        <f>ROUND(data!BN69,0)</f>
        <v>1993914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264178</v>
      </c>
      <c r="T65" s="222">
        <f>ROUND(data!BN74,0)</f>
        <v>0</v>
      </c>
      <c r="U65" s="222">
        <f>ROUND(data!BN75,0)</f>
        <v>2244</v>
      </c>
      <c r="V65" s="222">
        <f>ROUND(data!BN76,0)</f>
        <v>0</v>
      </c>
      <c r="W65" s="222">
        <f>ROUND(data!BN77,0)</f>
        <v>0</v>
      </c>
      <c r="X65" s="222">
        <f>ROUND(data!BN78,0)</f>
        <v>748348</v>
      </c>
      <c r="Y65" s="222">
        <f>ROUND(data!BN79,0)</f>
        <v>211307</v>
      </c>
      <c r="Z65" s="222">
        <f>ROUND(data!BN80,0)</f>
        <v>1790</v>
      </c>
      <c r="AA65" s="222">
        <f>ROUND(data!BN81,0)</f>
        <v>670305</v>
      </c>
      <c r="AB65" s="222">
        <f>ROUND(data!BN82,0)</f>
        <v>0</v>
      </c>
      <c r="AC65" s="222">
        <f>ROUND(data!BN83,0)</f>
        <v>95742</v>
      </c>
      <c r="AD65" s="222">
        <f>ROUND(data!BN84,0)</f>
        <v>0</v>
      </c>
      <c r="AE65" s="222"/>
      <c r="AF65" s="222"/>
      <c r="AG65" s="222">
        <f>IF(data!BN90&gt;0,ROUND(data!BN90,0),0)</f>
        <v>6336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926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0.21</v>
      </c>
      <c r="G66" s="222">
        <f>ROUND(data!BO61,0)</f>
        <v>16171</v>
      </c>
      <c r="H66" s="222">
        <f>ROUND(data!BO62,0)</f>
        <v>3614</v>
      </c>
      <c r="I66" s="222">
        <f>ROUND(data!BO63,0)</f>
        <v>0</v>
      </c>
      <c r="J66" s="222">
        <f>ROUND(data!BO64,0)</f>
        <v>28484</v>
      </c>
      <c r="K66" s="222">
        <f>ROUND(data!BO65,0)</f>
        <v>0</v>
      </c>
      <c r="L66" s="222">
        <f>ROUND(data!BO66,0)</f>
        <v>975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926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2.96</v>
      </c>
      <c r="G67" s="222">
        <f>ROUND(data!BP61,0)</f>
        <v>241670</v>
      </c>
      <c r="H67" s="222">
        <f>ROUND(data!BP62,0)</f>
        <v>54017</v>
      </c>
      <c r="I67" s="222">
        <f>ROUND(data!BP63,0)</f>
        <v>0</v>
      </c>
      <c r="J67" s="222">
        <f>ROUND(data!BP64,0)</f>
        <v>124</v>
      </c>
      <c r="K67" s="222">
        <f>ROUND(data!BP65,0)</f>
        <v>0</v>
      </c>
      <c r="L67" s="222">
        <f>ROUND(data!BP66,0)</f>
        <v>2300</v>
      </c>
      <c r="M67" s="66">
        <f>ROUND(data!BP67,0)</f>
        <v>3702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114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926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926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3.13</v>
      </c>
      <c r="G69" s="222">
        <f>ROUND(data!BR61,0)</f>
        <v>227157</v>
      </c>
      <c r="H69" s="222">
        <f>ROUND(data!BR62,0)</f>
        <v>50773</v>
      </c>
      <c r="I69" s="222">
        <f>ROUND(data!BR63,0)</f>
        <v>0</v>
      </c>
      <c r="J69" s="222">
        <f>ROUND(data!BR64,0)</f>
        <v>289</v>
      </c>
      <c r="K69" s="222">
        <f>ROUND(data!BR65,0)</f>
        <v>0</v>
      </c>
      <c r="L69" s="222">
        <f>ROUND(data!BR66,0)</f>
        <v>4125</v>
      </c>
      <c r="M69" s="66">
        <f>ROUND(data!BR67,0)</f>
        <v>6300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194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926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926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926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926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2.15</v>
      </c>
      <c r="G73" s="222">
        <f>ROUND(data!BV61,0)</f>
        <v>131778</v>
      </c>
      <c r="H73" s="222">
        <f>ROUND(data!BV62,0)</f>
        <v>29455</v>
      </c>
      <c r="I73" s="222">
        <f>ROUND(data!BV63,0)</f>
        <v>0</v>
      </c>
      <c r="J73" s="222">
        <f>ROUND(data!BV64,0)</f>
        <v>18700</v>
      </c>
      <c r="K73" s="222">
        <f>ROUND(data!BV65,0)</f>
        <v>0</v>
      </c>
      <c r="L73" s="222">
        <f>ROUND(data!BV66,0)</f>
        <v>1528</v>
      </c>
      <c r="M73" s="66">
        <f>ROUND(data!BV67,0)</f>
        <v>14028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432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926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10.42</v>
      </c>
      <c r="G74" s="222">
        <f>ROUND(data!BW61,0)</f>
        <v>0</v>
      </c>
      <c r="H74" s="222">
        <f>ROUND(data!BW62,0)</f>
        <v>0</v>
      </c>
      <c r="I74" s="222">
        <f>ROUND(data!BW63,0)</f>
        <v>3036569</v>
      </c>
      <c r="J74" s="222">
        <f>ROUND(data!BW64,0)</f>
        <v>0</v>
      </c>
      <c r="K74" s="222">
        <f>ROUND(data!BW65,0)</f>
        <v>0</v>
      </c>
      <c r="L74" s="222">
        <f>ROUND(data!BW66,0)</f>
        <v>15344</v>
      </c>
      <c r="M74" s="66">
        <f>ROUND(data!BW67,0)</f>
        <v>38284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1179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926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2.99</v>
      </c>
      <c r="G75" s="222">
        <f>ROUND(data!BX61,0)</f>
        <v>199579</v>
      </c>
      <c r="H75" s="222">
        <f>ROUND(data!BX62,0)</f>
        <v>44609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10781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332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926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10.76</v>
      </c>
      <c r="G76" s="222">
        <f>ROUND(data!BY61,0)</f>
        <v>1089364</v>
      </c>
      <c r="H76" s="222">
        <f>ROUND(data!BY62,0)</f>
        <v>243490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15554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479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926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926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6.07</v>
      </c>
      <c r="G78" s="222">
        <f>ROUND(data!CA61,0)</f>
        <v>593473</v>
      </c>
      <c r="H78" s="222">
        <f>ROUND(data!CA62,0)</f>
        <v>132651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926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926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3.91</v>
      </c>
      <c r="G80" s="222">
        <f>ROUND(data!CC61,0)</f>
        <v>315913</v>
      </c>
      <c r="H80" s="222">
        <f>ROUND(data!CC62,0)</f>
        <v>70612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18187</v>
      </c>
      <c r="M80" s="66">
        <f>ROUND(data!CC67,0)</f>
        <v>3182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98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Inland Northwest Behavioral Health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H-926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104 W 5th Ave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M94"/>
  <sheetViews>
    <sheetView zoomScaleNormal="100" workbookViewId="0">
      <pane ySplit="14" topLeftCell="A15" activePane="bottomLeft" state="frozen"/>
      <selection pane="bottomLeft" activeCell="A14" sqref="A14"/>
    </sheetView>
  </sheetViews>
  <sheetFormatPr defaultColWidth="8.6640625" defaultRowHeight="14.5" outlineLevelRow="1" x14ac:dyDescent="0.35"/>
  <cols>
    <col min="1" max="1" width="28.75" style="1" customWidth="1"/>
    <col min="2" max="8" width="12.25" style="1" customWidth="1"/>
    <col min="9" max="9" width="46.33203125" style="1" customWidth="1"/>
    <col min="10" max="10" width="40.58203125" style="1" customWidth="1"/>
    <col min="11" max="12" width="8.6640625" style="1" customWidth="1"/>
    <col min="13" max="16384" width="8.6640625" style="1"/>
  </cols>
  <sheetData>
    <row r="1" spans="1:13" hidden="1" outlineLevel="1" x14ac:dyDescent="0.35"/>
    <row r="2" spans="1:13" hidden="1" outlineLevel="1" x14ac:dyDescent="0.35">
      <c r="A2" s="67" t="s">
        <v>693</v>
      </c>
    </row>
    <row r="3" spans="1:13" hidden="1" outlineLevel="1" x14ac:dyDescent="0.35">
      <c r="A3" s="67"/>
    </row>
    <row r="4" spans="1:13" hidden="1" outlineLevel="1" x14ac:dyDescent="0.35">
      <c r="A4" s="163" t="s">
        <v>694</v>
      </c>
    </row>
    <row r="5" spans="1:13" hidden="1" outlineLevel="1" x14ac:dyDescent="0.35">
      <c r="A5" s="163" t="s">
        <v>695</v>
      </c>
    </row>
    <row r="6" spans="1:13" hidden="1" outlineLevel="1" x14ac:dyDescent="0.35">
      <c r="A6" s="163" t="s">
        <v>696</v>
      </c>
    </row>
    <row r="7" spans="1:13" hidden="1" outlineLevel="1" x14ac:dyDescent="0.35">
      <c r="A7" s="163"/>
    </row>
    <row r="8" spans="1:13" hidden="1" outlineLevel="1" x14ac:dyDescent="0.35">
      <c r="A8" s="2" t="s">
        <v>697</v>
      </c>
    </row>
    <row r="9" spans="1:13" hidden="1" outlineLevel="1" x14ac:dyDescent="0.35">
      <c r="A9" s="163" t="s">
        <v>17</v>
      </c>
    </row>
    <row r="10" spans="1:13" hidden="1" outlineLevel="1" x14ac:dyDescent="0.35"/>
    <row r="11" spans="1:13" hidden="1" outlineLevel="1" x14ac:dyDescent="0.35"/>
    <row r="12" spans="1:13" collapsed="1" x14ac:dyDescent="0.35">
      <c r="A12" s="1" t="str">
        <f>data!C97</f>
        <v>926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>IF(B15=0,"",IF(C15=0,"",IF(D15=0,"",IF(E15=0,"",IF(G15/F15-1&lt;-0.25,G15/F15-1,IF(G15/F15-1&gt;0.25,G15/F15-1,""))))))</f>
        <v/>
      </c>
      <c r="I15" s="274" t="str">
        <f>IF(H15="","",IF(H15&gt;ABS(25%),"Please provide explanation for the fluctuation noted here",""))</f>
        <v/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ref="H16:H79" si="2">IF(B16=0,"",IF(C16=0,"",IF(D16=0,"",IF(E16=0,"",IF(G16/F16-1&lt;-0.25,G16/F16-1,IF(G16/F16-1&gt;0.25,G16/F16-1,""))))))</f>
        <v/>
      </c>
      <c r="I16" s="274" t="str">
        <f t="shared" ref="I16:I79" si="3">IF(H16="","",IF(H16&gt;ABS(25%),"Please provide explanation for the fluctuation noted here",""))</f>
        <v/>
      </c>
      <c r="M16" s="7"/>
    </row>
    <row r="17" spans="1:13" x14ac:dyDescent="0.35">
      <c r="A17" s="1" t="s">
        <v>710</v>
      </c>
      <c r="B17" s="274">
        <f>'Prior Year'!E86</f>
        <v>0</v>
      </c>
      <c r="C17" s="274">
        <f>data!E85</f>
        <v>0</v>
      </c>
      <c r="D17" s="274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4" t="str">
        <f t="shared" si="3"/>
        <v/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/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/>
      </c>
      <c r="M19" s="7"/>
    </row>
    <row r="20" spans="1:13" x14ac:dyDescent="0.35">
      <c r="A20" s="1" t="s">
        <v>713</v>
      </c>
      <c r="B20" s="274">
        <f>'Prior Year'!H86</f>
        <v>7370452</v>
      </c>
      <c r="C20" s="274">
        <f>data!H85</f>
        <v>8338587.7199999997</v>
      </c>
      <c r="D20" s="274">
        <f>'Prior Year'!H60</f>
        <v>22674</v>
      </c>
      <c r="E20" s="1">
        <f>data!H59</f>
        <v>22283</v>
      </c>
      <c r="F20" s="238">
        <f t="shared" si="0"/>
        <v>325.06183293640294</v>
      </c>
      <c r="G20" s="238">
        <f t="shared" si="1"/>
        <v>374.21297491361128</v>
      </c>
      <c r="H20" s="6" t="str">
        <f t="shared" si="2"/>
        <v/>
      </c>
      <c r="I20" s="274" t="str">
        <f t="shared" si="3"/>
        <v/>
      </c>
      <c r="L20" s="364"/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/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/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/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/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/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/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/>
      </c>
      <c r="M27" s="7"/>
    </row>
    <row r="28" spans="1:13" x14ac:dyDescent="0.35">
      <c r="A28" s="1" t="s">
        <v>721</v>
      </c>
      <c r="B28" s="274">
        <f>'Prior Year'!P86</f>
        <v>0</v>
      </c>
      <c r="C28" s="274">
        <f>data!P85</f>
        <v>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/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/>
      </c>
      <c r="M29" s="7"/>
    </row>
    <row r="30" spans="1:13" x14ac:dyDescent="0.35">
      <c r="A30" s="1" t="s">
        <v>723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/>
      </c>
      <c r="M30" s="7"/>
    </row>
    <row r="31" spans="1:13" x14ac:dyDescent="0.35">
      <c r="A31" s="1" t="s">
        <v>724</v>
      </c>
      <c r="B31" s="274">
        <f>'Prior Year'!S86</f>
        <v>0</v>
      </c>
      <c r="C31" s="274">
        <f>data!S85</f>
        <v>0</v>
      </c>
      <c r="D31" s="274">
        <v>0</v>
      </c>
      <c r="E31" s="363">
        <v>0</v>
      </c>
      <c r="F31" s="238" t="str">
        <f t="shared" si="0"/>
        <v/>
      </c>
      <c r="G31" s="238" t="str">
        <f>IFERROR(IF(C31=0,"",IF(E31=0,"",C31/E31)),"")</f>
        <v/>
      </c>
      <c r="H31" s="6" t="str">
        <f t="shared" si="2"/>
        <v/>
      </c>
      <c r="I31" s="274" t="str">
        <f t="shared" si="3"/>
        <v/>
      </c>
      <c r="M31" s="7"/>
    </row>
    <row r="32" spans="1:13" x14ac:dyDescent="0.35">
      <c r="A32" s="1" t="s">
        <v>725</v>
      </c>
      <c r="B32" s="274">
        <f>'Prior Year'!T86</f>
        <v>0</v>
      </c>
      <c r="C32" s="274">
        <f>data!T85</f>
        <v>0</v>
      </c>
      <c r="D32" s="274">
        <v>0</v>
      </c>
      <c r="E32" s="363">
        <v>0</v>
      </c>
      <c r="F32" s="238" t="str">
        <f t="shared" si="0"/>
        <v/>
      </c>
      <c r="G32" s="238" t="str">
        <f>IFERROR(IF(C32=0,"",IF(E32=0,"",C32/E32)),"")</f>
        <v/>
      </c>
      <c r="H32" s="6" t="str">
        <f t="shared" si="2"/>
        <v/>
      </c>
      <c r="I32" s="274" t="str">
        <f t="shared" si="3"/>
        <v/>
      </c>
      <c r="M32" s="7"/>
    </row>
    <row r="33" spans="1:13" x14ac:dyDescent="0.35">
      <c r="A33" s="1" t="s">
        <v>726</v>
      </c>
      <c r="B33" s="274">
        <f>'Prior Year'!U86</f>
        <v>64941</v>
      </c>
      <c r="C33" s="274">
        <f>data!U85</f>
        <v>59283</v>
      </c>
      <c r="D33" s="274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4" t="str">
        <f t="shared" si="3"/>
        <v/>
      </c>
      <c r="M33" s="7"/>
    </row>
    <row r="34" spans="1:13" x14ac:dyDescent="0.35">
      <c r="A34" s="1" t="s">
        <v>727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4" t="str">
        <f t="shared" si="3"/>
        <v/>
      </c>
      <c r="M34" s="7"/>
    </row>
    <row r="35" spans="1:13" x14ac:dyDescent="0.35">
      <c r="A35" s="1" t="s">
        <v>728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4" t="str">
        <f t="shared" si="3"/>
        <v/>
      </c>
      <c r="M35" s="7"/>
    </row>
    <row r="36" spans="1:13" x14ac:dyDescent="0.35">
      <c r="A36" s="1" t="s">
        <v>729</v>
      </c>
      <c r="B36" s="274">
        <f>'Prior Year'!X86</f>
        <v>0</v>
      </c>
      <c r="C36" s="274">
        <f>data!X85</f>
        <v>0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4" t="str">
        <f t="shared" si="3"/>
        <v/>
      </c>
      <c r="M36" s="7"/>
    </row>
    <row r="37" spans="1:13" x14ac:dyDescent="0.35">
      <c r="A37" s="1" t="s">
        <v>730</v>
      </c>
      <c r="B37" s="274">
        <f>'Prior Year'!Y86</f>
        <v>0</v>
      </c>
      <c r="C37" s="274">
        <f>data!Y85</f>
        <v>0</v>
      </c>
      <c r="D37" s="274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4" t="str">
        <f t="shared" si="3"/>
        <v/>
      </c>
      <c r="M37" s="7"/>
    </row>
    <row r="38" spans="1:13" x14ac:dyDescent="0.35">
      <c r="A38" s="1" t="s">
        <v>731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4" t="str">
        <f t="shared" si="3"/>
        <v/>
      </c>
      <c r="M38" s="7"/>
    </row>
    <row r="39" spans="1:13" x14ac:dyDescent="0.35">
      <c r="A39" s="1" t="s">
        <v>732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4" t="str">
        <f t="shared" si="3"/>
        <v/>
      </c>
      <c r="M39" s="7"/>
    </row>
    <row r="40" spans="1:13" x14ac:dyDescent="0.35">
      <c r="A40" s="1" t="s">
        <v>733</v>
      </c>
      <c r="B40" s="274">
        <f>'Prior Year'!AB86</f>
        <v>754570</v>
      </c>
      <c r="C40" s="274">
        <f>data!AB85</f>
        <v>820237.23</v>
      </c>
      <c r="D40" s="274">
        <v>0</v>
      </c>
      <c r="E40" s="363">
        <v>0</v>
      </c>
      <c r="F40" s="238" t="str">
        <f t="shared" si="0"/>
        <v/>
      </c>
      <c r="G40" s="238" t="str">
        <f>IFERROR(IF(C40=0,"",IF(E40=0,"",C40/E40)),"")</f>
        <v/>
      </c>
      <c r="H40" s="6" t="str">
        <f t="shared" si="2"/>
        <v/>
      </c>
      <c r="I40" s="274" t="str">
        <f t="shared" si="3"/>
        <v/>
      </c>
      <c r="M40" s="7"/>
    </row>
    <row r="41" spans="1:13" x14ac:dyDescent="0.35">
      <c r="A41" s="1" t="s">
        <v>734</v>
      </c>
      <c r="B41" s="274">
        <f>'Prior Year'!AC86</f>
        <v>0</v>
      </c>
      <c r="C41" s="274">
        <f>data!AC85</f>
        <v>0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4" t="str">
        <f t="shared" si="3"/>
        <v/>
      </c>
      <c r="M41" s="7"/>
    </row>
    <row r="42" spans="1:13" x14ac:dyDescent="0.35">
      <c r="A42" s="1" t="s">
        <v>735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4" t="str">
        <f t="shared" si="3"/>
        <v/>
      </c>
      <c r="M42" s="7"/>
    </row>
    <row r="43" spans="1:13" x14ac:dyDescent="0.35">
      <c r="A43" s="1" t="s">
        <v>736</v>
      </c>
      <c r="B43" s="274">
        <f>'Prior Year'!AE86</f>
        <v>0</v>
      </c>
      <c r="C43" s="274">
        <f>data!AE85</f>
        <v>0</v>
      </c>
      <c r="D43" s="274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4" t="str">
        <f t="shared" si="3"/>
        <v/>
      </c>
      <c r="M43" s="7"/>
    </row>
    <row r="44" spans="1:13" x14ac:dyDescent="0.35">
      <c r="A44" s="1" t="s">
        <v>737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4" t="str">
        <f t="shared" si="3"/>
        <v/>
      </c>
      <c r="M44" s="7"/>
    </row>
    <row r="45" spans="1:13" x14ac:dyDescent="0.35">
      <c r="A45" s="1" t="s">
        <v>738</v>
      </c>
      <c r="B45" s="274">
        <f>'Prior Year'!AG86</f>
        <v>0</v>
      </c>
      <c r="C45" s="274">
        <f>data!AG85</f>
        <v>0</v>
      </c>
      <c r="D45" s="274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4" t="str">
        <f t="shared" si="3"/>
        <v/>
      </c>
      <c r="M45" s="7"/>
    </row>
    <row r="46" spans="1:13" x14ac:dyDescent="0.35">
      <c r="A46" s="1" t="s">
        <v>739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4" t="str">
        <f t="shared" si="3"/>
        <v/>
      </c>
      <c r="M46" s="7"/>
    </row>
    <row r="47" spans="1:13" x14ac:dyDescent="0.35">
      <c r="A47" s="1" t="s">
        <v>740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4" t="str">
        <f t="shared" si="3"/>
        <v/>
      </c>
      <c r="M47" s="7"/>
    </row>
    <row r="48" spans="1:13" x14ac:dyDescent="0.35">
      <c r="A48" s="1" t="s">
        <v>741</v>
      </c>
      <c r="B48" s="274">
        <f>'Prior Year'!AJ86</f>
        <v>0</v>
      </c>
      <c r="C48" s="274">
        <f>data!AJ85</f>
        <v>0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4" t="str">
        <f t="shared" si="3"/>
        <v/>
      </c>
      <c r="M48" s="7"/>
    </row>
    <row r="49" spans="1:13" x14ac:dyDescent="0.35">
      <c r="A49" s="1" t="s">
        <v>742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4" t="str">
        <f t="shared" si="3"/>
        <v/>
      </c>
      <c r="M49" s="7"/>
    </row>
    <row r="50" spans="1:13" x14ac:dyDescent="0.35">
      <c r="A50" s="1" t="s">
        <v>743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4" t="str">
        <f t="shared" si="3"/>
        <v/>
      </c>
      <c r="M50" s="7"/>
    </row>
    <row r="51" spans="1:13" x14ac:dyDescent="0.35">
      <c r="A51" s="1" t="s">
        <v>744</v>
      </c>
      <c r="B51" s="274">
        <f>'Prior Year'!AM86</f>
        <v>285805</v>
      </c>
      <c r="C51" s="274">
        <f>data!AM85</f>
        <v>247197.26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4" t="str">
        <f t="shared" si="3"/>
        <v/>
      </c>
      <c r="M51" s="7"/>
    </row>
    <row r="52" spans="1:13" x14ac:dyDescent="0.35">
      <c r="A52" s="1" t="s">
        <v>745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4" t="str">
        <f t="shared" si="3"/>
        <v/>
      </c>
      <c r="M52" s="7"/>
    </row>
    <row r="53" spans="1:13" x14ac:dyDescent="0.35">
      <c r="A53" s="1" t="s">
        <v>746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4" t="str">
        <f t="shared" si="3"/>
        <v/>
      </c>
      <c r="M53" s="7"/>
    </row>
    <row r="54" spans="1:13" x14ac:dyDescent="0.35">
      <c r="A54" s="1" t="s">
        <v>747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4" t="str">
        <f t="shared" si="3"/>
        <v/>
      </c>
      <c r="M54" s="7"/>
    </row>
    <row r="55" spans="1:13" x14ac:dyDescent="0.35">
      <c r="A55" s="1" t="s">
        <v>748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4" t="str">
        <f t="shared" si="3"/>
        <v/>
      </c>
      <c r="M55" s="7"/>
    </row>
    <row r="56" spans="1:13" x14ac:dyDescent="0.35">
      <c r="A56" s="1" t="s">
        <v>749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4" t="str">
        <f t="shared" si="3"/>
        <v/>
      </c>
      <c r="M56" s="7"/>
    </row>
    <row r="57" spans="1:13" x14ac:dyDescent="0.35">
      <c r="A57" s="1" t="s">
        <v>750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4" t="str">
        <f t="shared" si="3"/>
        <v/>
      </c>
      <c r="M57" s="7"/>
    </row>
    <row r="58" spans="1:13" x14ac:dyDescent="0.35">
      <c r="A58" s="1" t="s">
        <v>751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4" t="str">
        <f t="shared" si="3"/>
        <v/>
      </c>
      <c r="M58" s="7"/>
    </row>
    <row r="59" spans="1:13" x14ac:dyDescent="0.35">
      <c r="A59" s="1" t="s">
        <v>752</v>
      </c>
      <c r="B59" s="274">
        <f>'Prior Year'!AU86</f>
        <v>406563</v>
      </c>
      <c r="C59" s="274">
        <f>data!AU85</f>
        <v>743032.51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4" t="str">
        <f t="shared" si="3"/>
        <v/>
      </c>
      <c r="M59" s="7"/>
    </row>
    <row r="60" spans="1:13" x14ac:dyDescent="0.35">
      <c r="A60" s="1" t="s">
        <v>753</v>
      </c>
      <c r="B60" s="274">
        <f>'Prior Year'!AV86</f>
        <v>0</v>
      </c>
      <c r="C60" s="274">
        <f>data!AV85</f>
        <v>0</v>
      </c>
      <c r="D60" s="274">
        <v>0</v>
      </c>
      <c r="E60" s="363">
        <v>0</v>
      </c>
      <c r="F60" s="238"/>
      <c r="G60" s="238"/>
      <c r="H60" s="6" t="str">
        <f t="shared" si="2"/>
        <v/>
      </c>
      <c r="I60" s="274" t="str">
        <f t="shared" si="3"/>
        <v/>
      </c>
      <c r="M60" s="7"/>
    </row>
    <row r="61" spans="1:13" x14ac:dyDescent="0.35">
      <c r="A61" s="1" t="s">
        <v>754</v>
      </c>
      <c r="B61" s="274">
        <f>'Prior Year'!AW86</f>
        <v>0</v>
      </c>
      <c r="C61" s="274">
        <f>data!AW85</f>
        <v>0</v>
      </c>
      <c r="D61" s="274">
        <v>0</v>
      </c>
      <c r="E61" s="363">
        <v>0</v>
      </c>
      <c r="F61" s="238"/>
      <c r="G61" s="238"/>
      <c r="H61" s="6" t="str">
        <f t="shared" si="2"/>
        <v/>
      </c>
      <c r="I61" s="274" t="str">
        <f t="shared" si="3"/>
        <v/>
      </c>
      <c r="M61" s="7"/>
    </row>
    <row r="62" spans="1:13" x14ac:dyDescent="0.35">
      <c r="A62" s="1" t="s">
        <v>755</v>
      </c>
      <c r="B62" s="274">
        <f>'Prior Year'!AX86</f>
        <v>0</v>
      </c>
      <c r="C62" s="274">
        <f>data!AX85</f>
        <v>0</v>
      </c>
      <c r="D62" s="274">
        <v>0</v>
      </c>
      <c r="E62" s="363">
        <v>0</v>
      </c>
      <c r="F62" s="238"/>
      <c r="G62" s="238"/>
      <c r="H62" s="6" t="str">
        <f t="shared" si="2"/>
        <v/>
      </c>
      <c r="I62" s="274" t="str">
        <f t="shared" si="3"/>
        <v/>
      </c>
      <c r="M62" s="7"/>
    </row>
    <row r="63" spans="1:13" x14ac:dyDescent="0.35">
      <c r="A63" s="1" t="s">
        <v>756</v>
      </c>
      <c r="B63" s="274">
        <f>'Prior Year'!AY86</f>
        <v>747704</v>
      </c>
      <c r="C63" s="274">
        <f>data!AY85</f>
        <v>897468.17</v>
      </c>
      <c r="D63" s="274">
        <f>'Prior Year'!AY60</f>
        <v>68022</v>
      </c>
      <c r="E63" s="1">
        <f>data!AY59</f>
        <v>66849</v>
      </c>
      <c r="F63" s="238">
        <f>IF(B63=0,"",IF(D63=0,"",B63/D63))</f>
        <v>10.992090794154832</v>
      </c>
      <c r="G63" s="238">
        <f t="shared" si="4"/>
        <v>13.425304342622926</v>
      </c>
      <c r="H63" s="6" t="str">
        <f t="shared" si="2"/>
        <v/>
      </c>
      <c r="I63" s="274" t="str">
        <f t="shared" si="3"/>
        <v/>
      </c>
      <c r="M63" s="7"/>
    </row>
    <row r="64" spans="1:13" x14ac:dyDescent="0.35">
      <c r="A64" s="1" t="s">
        <v>757</v>
      </c>
      <c r="B64" s="274">
        <f>'Prior Year'!AZ86</f>
        <v>64608</v>
      </c>
      <c r="C64" s="274">
        <f>data!AZ85</f>
        <v>62996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 t="shared" si="2"/>
        <v/>
      </c>
      <c r="I64" s="274" t="str">
        <f t="shared" si="3"/>
        <v/>
      </c>
      <c r="M64" s="7"/>
    </row>
    <row r="65" spans="1:13" x14ac:dyDescent="0.35">
      <c r="A65" s="1" t="s">
        <v>758</v>
      </c>
      <c r="B65" s="274">
        <f>'Prior Year'!BA86</f>
        <v>110636</v>
      </c>
      <c r="C65" s="274">
        <f>data!BA85</f>
        <v>143619.35999999999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 t="shared" si="2"/>
        <v/>
      </c>
      <c r="I65" s="274" t="str">
        <f t="shared" si="3"/>
        <v/>
      </c>
      <c r="M65" s="7"/>
    </row>
    <row r="66" spans="1:13" x14ac:dyDescent="0.35">
      <c r="A66" s="1" t="s">
        <v>759</v>
      </c>
      <c r="B66" s="274">
        <f>'Prior Year'!BB86</f>
        <v>953373</v>
      </c>
      <c r="C66" s="274">
        <f>data!BB85</f>
        <v>1034300.2000000001</v>
      </c>
      <c r="D66" s="274">
        <v>0</v>
      </c>
      <c r="E66" s="363">
        <v>0</v>
      </c>
      <c r="F66" s="238"/>
      <c r="G66" s="238" t="str">
        <f>IFERROR(IF(C66=0,"",IF(E66=0,"",C66/E66)),"")</f>
        <v/>
      </c>
      <c r="H66" s="6" t="str">
        <f t="shared" si="2"/>
        <v/>
      </c>
      <c r="I66" s="274" t="str">
        <f t="shared" si="3"/>
        <v/>
      </c>
      <c r="M66" s="7"/>
    </row>
    <row r="67" spans="1:13" x14ac:dyDescent="0.35">
      <c r="A67" s="1" t="s">
        <v>760</v>
      </c>
      <c r="B67" s="274">
        <f>'Prior Year'!BC86</f>
        <v>50103</v>
      </c>
      <c r="C67" s="274">
        <f>data!BC85</f>
        <v>53553.99</v>
      </c>
      <c r="D67" s="274">
        <v>0</v>
      </c>
      <c r="E67" s="363">
        <v>0</v>
      </c>
      <c r="F67" s="238"/>
      <c r="G67" s="238" t="str">
        <f>IFERROR(IF(C67=0,"",IF(E67=0,"",C67/E67)),"")</f>
        <v/>
      </c>
      <c r="H67" s="6" t="str">
        <f t="shared" si="2"/>
        <v/>
      </c>
      <c r="I67" s="274" t="str">
        <f t="shared" si="3"/>
        <v/>
      </c>
      <c r="M67" s="7"/>
    </row>
    <row r="68" spans="1:13" x14ac:dyDescent="0.35">
      <c r="A68" s="1" t="s">
        <v>761</v>
      </c>
      <c r="B68" s="274">
        <f>'Prior Year'!BD86</f>
        <v>88929.5</v>
      </c>
      <c r="C68" s="274">
        <f>data!BD85</f>
        <v>77833.81</v>
      </c>
      <c r="D68" s="274">
        <v>0</v>
      </c>
      <c r="E68" s="363">
        <v>0</v>
      </c>
      <c r="F68" s="238"/>
      <c r="G68" s="238" t="str">
        <f>IFERROR(IF(C68=0,"",IF(E68=0,"",C68/E68)),"")</f>
        <v/>
      </c>
      <c r="H68" s="6" t="str">
        <f t="shared" si="2"/>
        <v/>
      </c>
      <c r="I68" s="274" t="str">
        <f t="shared" si="3"/>
        <v/>
      </c>
      <c r="M68" s="7"/>
    </row>
    <row r="69" spans="1:13" x14ac:dyDescent="0.35">
      <c r="A69" s="1" t="s">
        <v>762</v>
      </c>
      <c r="B69" s="274">
        <f>'Prior Year'!BE86</f>
        <v>1194612</v>
      </c>
      <c r="C69" s="274">
        <f>data!BE85</f>
        <v>1176810.31</v>
      </c>
      <c r="D69" s="274">
        <f>'Prior Year'!BE60</f>
        <v>68235</v>
      </c>
      <c r="E69" s="1">
        <f>data!BE59</f>
        <v>68235</v>
      </c>
      <c r="F69" s="238">
        <f>IF(B69=0,"",IF(D69=0,"",B69/D69))</f>
        <v>17.507320290173663</v>
      </c>
      <c r="G69" s="238">
        <f t="shared" si="4"/>
        <v>17.246432329449696</v>
      </c>
      <c r="H69" s="6" t="str">
        <f t="shared" si="2"/>
        <v/>
      </c>
      <c r="I69" s="274" t="str">
        <f t="shared" si="3"/>
        <v/>
      </c>
      <c r="M69" s="7"/>
    </row>
    <row r="70" spans="1:13" x14ac:dyDescent="0.35">
      <c r="A70" s="1" t="s">
        <v>763</v>
      </c>
      <c r="B70" s="274">
        <f>'Prior Year'!BF86</f>
        <v>331498</v>
      </c>
      <c r="C70" s="274">
        <f>data!BF85</f>
        <v>344170.03</v>
      </c>
      <c r="D70" s="274">
        <v>0</v>
      </c>
      <c r="E70" s="363">
        <v>0</v>
      </c>
      <c r="F70" s="238" t="str">
        <f t="shared" ref="F70:F94" si="5">IFERROR(IF(B70=0,"",IF(D70=0,"",B70/D70)),"")</f>
        <v/>
      </c>
      <c r="G70" s="238" t="str">
        <f t="shared" ref="G70:G94" si="6">IFERROR(IF(C70=0,"",IF(E70=0,"",C70/E70)),"")</f>
        <v/>
      </c>
      <c r="H70" s="6" t="str">
        <f t="shared" si="2"/>
        <v/>
      </c>
      <c r="I70" s="274" t="str">
        <f t="shared" si="3"/>
        <v/>
      </c>
      <c r="M70" s="7"/>
    </row>
    <row r="71" spans="1:13" x14ac:dyDescent="0.35">
      <c r="A71" s="1" t="s">
        <v>764</v>
      </c>
      <c r="B71" s="274">
        <f>'Prior Year'!BG86</f>
        <v>149012</v>
      </c>
      <c r="C71" s="274">
        <f>data!BG85</f>
        <v>125306.04</v>
      </c>
      <c r="D71" s="274">
        <v>0</v>
      </c>
      <c r="E71" s="363">
        <v>0</v>
      </c>
      <c r="F71" s="238" t="str">
        <f t="shared" si="5"/>
        <v/>
      </c>
      <c r="G71" s="238" t="str">
        <f t="shared" si="6"/>
        <v/>
      </c>
      <c r="H71" s="6" t="str">
        <f t="shared" si="2"/>
        <v/>
      </c>
      <c r="I71" s="274" t="str">
        <f t="shared" si="3"/>
        <v/>
      </c>
      <c r="M71" s="7"/>
    </row>
    <row r="72" spans="1:13" x14ac:dyDescent="0.35">
      <c r="A72" s="1" t="s">
        <v>765</v>
      </c>
      <c r="B72" s="274">
        <f>'Prior Year'!BH86</f>
        <v>242070.5</v>
      </c>
      <c r="C72" s="274">
        <f>data!BH85</f>
        <v>239704.53999999998</v>
      </c>
      <c r="D72" s="274">
        <v>0</v>
      </c>
      <c r="E72" s="363">
        <v>0</v>
      </c>
      <c r="F72" s="238" t="str">
        <f t="shared" si="5"/>
        <v/>
      </c>
      <c r="G72" s="238" t="str">
        <f t="shared" si="6"/>
        <v/>
      </c>
      <c r="H72" s="6" t="str">
        <f t="shared" si="2"/>
        <v/>
      </c>
      <c r="I72" s="274" t="str">
        <f t="shared" si="3"/>
        <v/>
      </c>
      <c r="M72" s="7"/>
    </row>
    <row r="73" spans="1:13" x14ac:dyDescent="0.35">
      <c r="A73" s="1" t="s">
        <v>766</v>
      </c>
      <c r="B73" s="274">
        <f>'Prior Year'!BI86</f>
        <v>191217</v>
      </c>
      <c r="C73" s="274">
        <f>data!BI85</f>
        <v>352233.39</v>
      </c>
      <c r="D73" s="274">
        <v>0</v>
      </c>
      <c r="E73" s="363">
        <v>0</v>
      </c>
      <c r="F73" s="238" t="str">
        <f t="shared" si="5"/>
        <v/>
      </c>
      <c r="G73" s="238" t="str">
        <f t="shared" si="6"/>
        <v/>
      </c>
      <c r="H73" s="6" t="str">
        <f t="shared" si="2"/>
        <v/>
      </c>
      <c r="I73" s="274" t="str">
        <f t="shared" si="3"/>
        <v/>
      </c>
      <c r="M73" s="7"/>
    </row>
    <row r="74" spans="1:13" x14ac:dyDescent="0.35">
      <c r="A74" s="1" t="s">
        <v>767</v>
      </c>
      <c r="B74" s="274">
        <f>'Prior Year'!BJ86</f>
        <v>329573</v>
      </c>
      <c r="C74" s="274">
        <f>data!BJ85</f>
        <v>367419.05</v>
      </c>
      <c r="D74" s="274">
        <v>0</v>
      </c>
      <c r="E74" s="363">
        <v>0</v>
      </c>
      <c r="F74" s="238" t="str">
        <f t="shared" si="5"/>
        <v/>
      </c>
      <c r="G74" s="238" t="str">
        <f t="shared" si="6"/>
        <v/>
      </c>
      <c r="H74" s="6" t="str">
        <f t="shared" si="2"/>
        <v/>
      </c>
      <c r="I74" s="274" t="str">
        <f t="shared" si="3"/>
        <v/>
      </c>
      <c r="M74" s="7"/>
    </row>
    <row r="75" spans="1:13" x14ac:dyDescent="0.35">
      <c r="A75" s="1" t="s">
        <v>768</v>
      </c>
      <c r="B75" s="274">
        <f>'Prior Year'!BK86</f>
        <v>472458</v>
      </c>
      <c r="C75" s="274">
        <f>data!BK85</f>
        <v>388209.81</v>
      </c>
      <c r="D75" s="274">
        <v>0</v>
      </c>
      <c r="E75" s="363">
        <v>0</v>
      </c>
      <c r="F75" s="238" t="str">
        <f t="shared" si="5"/>
        <v/>
      </c>
      <c r="G75" s="238" t="str">
        <f t="shared" si="6"/>
        <v/>
      </c>
      <c r="H75" s="6" t="str">
        <f t="shared" si="2"/>
        <v/>
      </c>
      <c r="I75" s="274" t="str">
        <f t="shared" si="3"/>
        <v/>
      </c>
      <c r="M75" s="7"/>
    </row>
    <row r="76" spans="1:13" x14ac:dyDescent="0.35">
      <c r="A76" s="1" t="s">
        <v>769</v>
      </c>
      <c r="B76" s="274">
        <f>'Prior Year'!BL86</f>
        <v>1258078</v>
      </c>
      <c r="C76" s="274">
        <f>data!BL85</f>
        <v>1271172.29</v>
      </c>
      <c r="D76" s="274">
        <v>0</v>
      </c>
      <c r="E76" s="363">
        <v>0</v>
      </c>
      <c r="F76" s="238" t="str">
        <f t="shared" si="5"/>
        <v/>
      </c>
      <c r="G76" s="238" t="str">
        <f t="shared" si="6"/>
        <v/>
      </c>
      <c r="H76" s="6" t="str">
        <f t="shared" si="2"/>
        <v/>
      </c>
      <c r="I76" s="274" t="str">
        <f t="shared" si="3"/>
        <v/>
      </c>
      <c r="M76" s="7"/>
    </row>
    <row r="77" spans="1:13" x14ac:dyDescent="0.35">
      <c r="A77" s="1" t="s">
        <v>770</v>
      </c>
      <c r="B77" s="274">
        <f>'Prior Year'!BM86</f>
        <v>0</v>
      </c>
      <c r="C77" s="274">
        <f>data!BM85</f>
        <v>0</v>
      </c>
      <c r="D77" s="274">
        <v>0</v>
      </c>
      <c r="E77" s="363">
        <v>0</v>
      </c>
      <c r="F77" s="238" t="str">
        <f t="shared" si="5"/>
        <v/>
      </c>
      <c r="G77" s="238" t="str">
        <f t="shared" si="6"/>
        <v/>
      </c>
      <c r="H77" s="6" t="str">
        <f t="shared" si="2"/>
        <v/>
      </c>
      <c r="I77" s="274" t="str">
        <f t="shared" si="3"/>
        <v/>
      </c>
      <c r="M77" s="7"/>
    </row>
    <row r="78" spans="1:13" x14ac:dyDescent="0.35">
      <c r="A78" s="1" t="s">
        <v>771</v>
      </c>
      <c r="B78" s="274">
        <f>'Prior Year'!BN86</f>
        <v>644504</v>
      </c>
      <c r="C78" s="274">
        <f>data!BN85</f>
        <v>2590337.98</v>
      </c>
      <c r="D78" s="274">
        <v>0</v>
      </c>
      <c r="E78" s="363">
        <v>0</v>
      </c>
      <c r="F78" s="238" t="str">
        <f t="shared" si="5"/>
        <v/>
      </c>
      <c r="G78" s="238" t="str">
        <f t="shared" si="6"/>
        <v/>
      </c>
      <c r="H78" s="6" t="str">
        <f t="shared" si="2"/>
        <v/>
      </c>
      <c r="I78" s="274" t="str">
        <f t="shared" si="3"/>
        <v/>
      </c>
      <c r="M78" s="7"/>
    </row>
    <row r="79" spans="1:13" x14ac:dyDescent="0.35">
      <c r="A79" s="1" t="s">
        <v>772</v>
      </c>
      <c r="B79" s="274">
        <f>'Prior Year'!BO86</f>
        <v>100821</v>
      </c>
      <c r="C79" s="274">
        <f>data!BO85</f>
        <v>49243.7</v>
      </c>
      <c r="D79" s="274">
        <v>0</v>
      </c>
      <c r="E79" s="363">
        <v>0</v>
      </c>
      <c r="F79" s="238" t="str">
        <f t="shared" si="5"/>
        <v/>
      </c>
      <c r="G79" s="238" t="str">
        <f t="shared" si="6"/>
        <v/>
      </c>
      <c r="H79" s="6" t="str">
        <f t="shared" si="2"/>
        <v/>
      </c>
      <c r="I79" s="274" t="str">
        <f t="shared" si="3"/>
        <v/>
      </c>
      <c r="M79" s="7"/>
    </row>
    <row r="80" spans="1:13" x14ac:dyDescent="0.35">
      <c r="A80" s="1" t="s">
        <v>773</v>
      </c>
      <c r="B80" s="274">
        <f>'Prior Year'!BP86</f>
        <v>372399</v>
      </c>
      <c r="C80" s="274">
        <f>data!BP85</f>
        <v>301813.16000000003</v>
      </c>
      <c r="D80" s="274">
        <v>0</v>
      </c>
      <c r="E80" s="363">
        <v>0</v>
      </c>
      <c r="F80" s="238" t="str">
        <f t="shared" si="5"/>
        <v/>
      </c>
      <c r="G80" s="238" t="str">
        <f t="shared" si="6"/>
        <v/>
      </c>
      <c r="H80" s="6" t="str">
        <f t="shared" ref="H80:H94" si="7">IF(B80=0,"",IF(C80=0,"",IF(D80=0,"",IF(E80=0,"",IF(G80/F80-1&lt;-0.25,G80/F80-1,IF(G80/F80-1&gt;0.25,G80/F80-1,""))))))</f>
        <v/>
      </c>
      <c r="I80" s="274" t="str">
        <f t="shared" ref="I80:I94" si="8">IF(H80="","",IF(H80&gt;ABS(25%),"Please provide explanation for the fluctuation noted here",""))</f>
        <v/>
      </c>
      <c r="M80" s="7"/>
    </row>
    <row r="81" spans="1:13" x14ac:dyDescent="0.35">
      <c r="A81" s="1" t="s">
        <v>774</v>
      </c>
      <c r="B81" s="274">
        <f>'Prior Year'!BQ86</f>
        <v>0</v>
      </c>
      <c r="C81" s="274">
        <f>data!BQ85</f>
        <v>0</v>
      </c>
      <c r="D81" s="274">
        <v>0</v>
      </c>
      <c r="E81" s="363">
        <v>0</v>
      </c>
      <c r="F81" s="238" t="str">
        <f t="shared" si="5"/>
        <v/>
      </c>
      <c r="G81" s="238" t="str">
        <f t="shared" si="6"/>
        <v/>
      </c>
      <c r="H81" s="6" t="str">
        <f t="shared" si="7"/>
        <v/>
      </c>
      <c r="I81" s="274" t="str">
        <f t="shared" si="8"/>
        <v/>
      </c>
      <c r="M81" s="7"/>
    </row>
    <row r="82" spans="1:13" x14ac:dyDescent="0.35">
      <c r="A82" s="1" t="s">
        <v>775</v>
      </c>
      <c r="B82" s="274">
        <f>'Prior Year'!BR86</f>
        <v>417791</v>
      </c>
      <c r="C82" s="274">
        <f>data!BR85</f>
        <v>288644.03000000003</v>
      </c>
      <c r="D82" s="274">
        <v>0</v>
      </c>
      <c r="E82" s="363">
        <v>0</v>
      </c>
      <c r="F82" s="238" t="str">
        <f t="shared" si="5"/>
        <v/>
      </c>
      <c r="G82" s="238" t="str">
        <f t="shared" si="6"/>
        <v/>
      </c>
      <c r="H82" s="6" t="str">
        <f t="shared" si="7"/>
        <v/>
      </c>
      <c r="I82" s="274" t="str">
        <f t="shared" si="8"/>
        <v/>
      </c>
      <c r="M82" s="7"/>
    </row>
    <row r="83" spans="1:13" x14ac:dyDescent="0.35">
      <c r="A83" s="1" t="s">
        <v>776</v>
      </c>
      <c r="B83" s="274">
        <f>'Prior Year'!BS86</f>
        <v>0</v>
      </c>
      <c r="C83" s="274">
        <f>data!BS85</f>
        <v>0</v>
      </c>
      <c r="D83" s="274">
        <v>0</v>
      </c>
      <c r="E83" s="363">
        <v>0</v>
      </c>
      <c r="F83" s="238" t="str">
        <f t="shared" si="5"/>
        <v/>
      </c>
      <c r="G83" s="238" t="str">
        <f t="shared" si="6"/>
        <v/>
      </c>
      <c r="H83" s="6" t="str">
        <f t="shared" si="7"/>
        <v/>
      </c>
      <c r="I83" s="274" t="str">
        <f t="shared" si="8"/>
        <v/>
      </c>
      <c r="M83" s="7"/>
    </row>
    <row r="84" spans="1:13" x14ac:dyDescent="0.35">
      <c r="A84" s="1" t="s">
        <v>777</v>
      </c>
      <c r="B84" s="274">
        <f>'Prior Year'!BT86</f>
        <v>0</v>
      </c>
      <c r="C84" s="274">
        <f>data!BT85</f>
        <v>0</v>
      </c>
      <c r="D84" s="274">
        <v>0</v>
      </c>
      <c r="E84" s="363">
        <v>0</v>
      </c>
      <c r="F84" s="238" t="str">
        <f t="shared" si="5"/>
        <v/>
      </c>
      <c r="G84" s="238" t="str">
        <f t="shared" si="6"/>
        <v/>
      </c>
      <c r="H84" s="6" t="str">
        <f t="shared" si="7"/>
        <v/>
      </c>
      <c r="I84" s="274" t="str">
        <f t="shared" si="8"/>
        <v/>
      </c>
      <c r="M84" s="7"/>
    </row>
    <row r="85" spans="1:13" x14ac:dyDescent="0.35">
      <c r="A85" s="1" t="s">
        <v>778</v>
      </c>
      <c r="B85" s="274">
        <f>'Prior Year'!BU86</f>
        <v>0</v>
      </c>
      <c r="C85" s="274">
        <f>data!BU85</f>
        <v>0</v>
      </c>
      <c r="D85" s="274">
        <v>0</v>
      </c>
      <c r="E85" s="363">
        <v>0</v>
      </c>
      <c r="F85" s="238" t="str">
        <f t="shared" si="5"/>
        <v/>
      </c>
      <c r="G85" s="238" t="str">
        <f t="shared" si="6"/>
        <v/>
      </c>
      <c r="H85" s="6" t="str">
        <f t="shared" si="7"/>
        <v/>
      </c>
      <c r="I85" s="274" t="str">
        <f t="shared" si="8"/>
        <v/>
      </c>
      <c r="M85" s="7"/>
    </row>
    <row r="86" spans="1:13" x14ac:dyDescent="0.35">
      <c r="A86" s="1" t="s">
        <v>779</v>
      </c>
      <c r="B86" s="274">
        <f>'Prior Year'!BV86</f>
        <v>191354</v>
      </c>
      <c r="C86" s="274">
        <f>data!BV85</f>
        <v>195489.32</v>
      </c>
      <c r="D86" s="274">
        <v>0</v>
      </c>
      <c r="E86" s="363">
        <v>0</v>
      </c>
      <c r="F86" s="238" t="str">
        <f t="shared" si="5"/>
        <v/>
      </c>
      <c r="G86" s="238" t="str">
        <f t="shared" si="6"/>
        <v/>
      </c>
      <c r="H86" s="6" t="str">
        <f t="shared" si="7"/>
        <v/>
      </c>
      <c r="I86" s="274" t="str">
        <f t="shared" si="8"/>
        <v/>
      </c>
      <c r="M86" s="7"/>
    </row>
    <row r="87" spans="1:13" x14ac:dyDescent="0.35">
      <c r="A87" s="1" t="s">
        <v>780</v>
      </c>
      <c r="B87" s="274">
        <f>'Prior Year'!BW86</f>
        <v>3300223</v>
      </c>
      <c r="C87" s="274">
        <f>data!BW85</f>
        <v>3090197.89</v>
      </c>
      <c r="D87" s="274">
        <v>0</v>
      </c>
      <c r="E87" s="363">
        <v>0</v>
      </c>
      <c r="F87" s="238" t="str">
        <f t="shared" si="5"/>
        <v/>
      </c>
      <c r="G87" s="238" t="str">
        <f t="shared" si="6"/>
        <v/>
      </c>
      <c r="H87" s="6" t="str">
        <f t="shared" si="7"/>
        <v/>
      </c>
      <c r="I87" s="274" t="str">
        <f t="shared" si="8"/>
        <v/>
      </c>
      <c r="M87" s="7"/>
    </row>
    <row r="88" spans="1:13" x14ac:dyDescent="0.35">
      <c r="A88" s="1" t="s">
        <v>781</v>
      </c>
      <c r="B88" s="274">
        <f>'Prior Year'!BX86</f>
        <v>313543</v>
      </c>
      <c r="C88" s="274">
        <f>data!BX85</f>
        <v>254968.63999999998</v>
      </c>
      <c r="D88" s="274">
        <v>0</v>
      </c>
      <c r="E88" s="363">
        <v>0</v>
      </c>
      <c r="F88" s="238" t="str">
        <f t="shared" si="5"/>
        <v/>
      </c>
      <c r="G88" s="238" t="str">
        <f t="shared" si="6"/>
        <v/>
      </c>
      <c r="H88" s="6" t="str">
        <f t="shared" si="7"/>
        <v/>
      </c>
      <c r="I88" s="274" t="str">
        <f t="shared" si="8"/>
        <v/>
      </c>
      <c r="M88" s="7"/>
    </row>
    <row r="89" spans="1:13" x14ac:dyDescent="0.35">
      <c r="A89" s="1" t="s">
        <v>782</v>
      </c>
      <c r="B89" s="274">
        <f>'Prior Year'!BY86</f>
        <v>1087170</v>
      </c>
      <c r="C89" s="274">
        <f>data!BY85</f>
        <v>1348408.02</v>
      </c>
      <c r="D89" s="274">
        <v>0</v>
      </c>
      <c r="E89" s="363">
        <v>0</v>
      </c>
      <c r="F89" s="238" t="str">
        <f t="shared" si="5"/>
        <v/>
      </c>
      <c r="G89" s="238" t="str">
        <f t="shared" si="6"/>
        <v/>
      </c>
      <c r="H89" s="6" t="str">
        <f t="shared" si="7"/>
        <v/>
      </c>
      <c r="I89" s="274" t="str">
        <f t="shared" si="8"/>
        <v/>
      </c>
      <c r="M89" s="7"/>
    </row>
    <row r="90" spans="1:13" x14ac:dyDescent="0.35">
      <c r="A90" s="1" t="s">
        <v>783</v>
      </c>
      <c r="B90" s="274">
        <f>'Prior Year'!BZ86</f>
        <v>0</v>
      </c>
      <c r="C90" s="274">
        <f>data!BZ85</f>
        <v>0</v>
      </c>
      <c r="D90" s="274">
        <v>0</v>
      </c>
      <c r="E90" s="363">
        <v>0</v>
      </c>
      <c r="F90" s="238" t="str">
        <f t="shared" si="5"/>
        <v/>
      </c>
      <c r="G90" s="238" t="str">
        <f t="shared" si="6"/>
        <v/>
      </c>
      <c r="H90" s="6" t="str">
        <f t="shared" si="7"/>
        <v/>
      </c>
      <c r="I90" s="274" t="str">
        <f t="shared" si="8"/>
        <v/>
      </c>
      <c r="M90" s="7"/>
    </row>
    <row r="91" spans="1:13" x14ac:dyDescent="0.35">
      <c r="A91" s="1" t="s">
        <v>784</v>
      </c>
      <c r="B91" s="274">
        <f>'Prior Year'!CA86</f>
        <v>375832</v>
      </c>
      <c r="C91" s="274">
        <f>data!CA85</f>
        <v>726123.89</v>
      </c>
      <c r="D91" s="274">
        <v>0</v>
      </c>
      <c r="E91" s="363">
        <v>0</v>
      </c>
      <c r="F91" s="238" t="str">
        <f t="shared" si="5"/>
        <v/>
      </c>
      <c r="G91" s="238" t="str">
        <f t="shared" si="6"/>
        <v/>
      </c>
      <c r="H91" s="6" t="str">
        <f t="shared" si="7"/>
        <v/>
      </c>
      <c r="I91" s="274" t="str">
        <f t="shared" si="8"/>
        <v/>
      </c>
      <c r="M91" s="7"/>
    </row>
    <row r="92" spans="1:13" x14ac:dyDescent="0.35">
      <c r="A92" s="1" t="s">
        <v>785</v>
      </c>
      <c r="B92" s="274">
        <f>'Prior Year'!CB86</f>
        <v>0</v>
      </c>
      <c r="C92" s="274">
        <f>data!CB85</f>
        <v>0</v>
      </c>
      <c r="D92" s="274">
        <v>0</v>
      </c>
      <c r="E92" s="363">
        <v>0</v>
      </c>
      <c r="F92" s="238" t="str">
        <f t="shared" si="5"/>
        <v/>
      </c>
      <c r="G92" s="238" t="str">
        <f t="shared" si="6"/>
        <v/>
      </c>
      <c r="H92" s="6" t="str">
        <f t="shared" si="7"/>
        <v/>
      </c>
      <c r="I92" s="274" t="str">
        <f t="shared" si="8"/>
        <v/>
      </c>
      <c r="M92" s="7"/>
    </row>
    <row r="93" spans="1:13" x14ac:dyDescent="0.35">
      <c r="A93" s="1" t="s">
        <v>786</v>
      </c>
      <c r="B93" s="274">
        <f>'Prior Year'!CC86</f>
        <v>345000</v>
      </c>
      <c r="C93" s="274">
        <f>data!CC85</f>
        <v>407894.76999999996</v>
      </c>
      <c r="D93" s="274">
        <v>0</v>
      </c>
      <c r="E93" s="363">
        <v>0</v>
      </c>
      <c r="F93" s="238" t="str">
        <f t="shared" si="5"/>
        <v/>
      </c>
      <c r="G93" s="238" t="str">
        <f t="shared" si="6"/>
        <v/>
      </c>
      <c r="H93" s="6" t="str">
        <f t="shared" si="7"/>
        <v/>
      </c>
      <c r="I93" s="274" t="str">
        <f t="shared" si="8"/>
        <v/>
      </c>
      <c r="M93" s="7"/>
    </row>
    <row r="94" spans="1:13" x14ac:dyDescent="0.35">
      <c r="A94" s="1" t="s">
        <v>787</v>
      </c>
      <c r="B94" s="274">
        <f>'Prior Year'!CD86</f>
        <v>731351</v>
      </c>
      <c r="C94" s="274">
        <f>data!CD85</f>
        <v>0</v>
      </c>
      <c r="D94" s="274">
        <v>0</v>
      </c>
      <c r="E94" s="363">
        <v>0</v>
      </c>
      <c r="F94" s="238" t="str">
        <f t="shared" si="5"/>
        <v/>
      </c>
      <c r="G94" s="238" t="str">
        <f t="shared" si="6"/>
        <v/>
      </c>
      <c r="H94" s="6" t="str">
        <f t="shared" si="7"/>
        <v/>
      </c>
      <c r="I94" s="274" t="str">
        <f t="shared" si="8"/>
        <v/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1347</v>
      </c>
    </row>
    <row r="3" spans="1:4" x14ac:dyDescent="0.35">
      <c r="A3" s="11" t="s">
        <v>788</v>
      </c>
    </row>
    <row r="4" spans="1:4" x14ac:dyDescent="0.35">
      <c r="A4" s="329" t="s">
        <v>1345</v>
      </c>
    </row>
    <row r="5" spans="1:4" x14ac:dyDescent="0.35">
      <c r="A5" s="330" t="s">
        <v>1343</v>
      </c>
    </row>
    <row r="6" spans="1:4" x14ac:dyDescent="0.35">
      <c r="A6" s="328"/>
    </row>
    <row r="7" spans="1:4" x14ac:dyDescent="0.35">
      <c r="A7" s="329" t="s">
        <v>1346</v>
      </c>
    </row>
    <row r="8" spans="1:4" x14ac:dyDescent="0.35">
      <c r="A8" s="330" t="s">
        <v>1344</v>
      </c>
    </row>
    <row r="11" spans="1:4" x14ac:dyDescent="0.35">
      <c r="A11" s="13" t="s">
        <v>789</v>
      </c>
      <c r="D11" s="275">
        <f>data!C380</f>
        <v>0</v>
      </c>
    </row>
    <row r="12" spans="1:4" x14ac:dyDescent="0.35">
      <c r="A12" s="13" t="s">
        <v>790</v>
      </c>
      <c r="D12" s="275" t="str">
        <f>IF(OR(data!C380&gt;1000000,data!C380/(data!D360+data!D383)&gt;0.01),"Yes","No")</f>
        <v>No</v>
      </c>
    </row>
    <row r="14" spans="1:4" x14ac:dyDescent="0.35">
      <c r="A14" s="13" t="s">
        <v>791</v>
      </c>
      <c r="D14" s="14" t="s">
        <v>792</v>
      </c>
    </row>
    <row r="15" spans="1:4" x14ac:dyDescent="0.35">
      <c r="A15" s="12" t="s">
        <v>793</v>
      </c>
      <c r="D15" s="15"/>
    </row>
    <row r="16" spans="1:4" x14ac:dyDescent="0.35">
      <c r="A16" s="12" t="s">
        <v>793</v>
      </c>
      <c r="D16" s="15"/>
    </row>
    <row r="17" spans="1:4" x14ac:dyDescent="0.35">
      <c r="A17" s="12" t="s">
        <v>793</v>
      </c>
      <c r="D17" s="15"/>
    </row>
    <row r="18" spans="1:4" x14ac:dyDescent="0.35">
      <c r="A18" s="12" t="s">
        <v>793</v>
      </c>
      <c r="D18" s="15"/>
    </row>
    <row r="19" spans="1:4" x14ac:dyDescent="0.35">
      <c r="A19" s="12" t="s">
        <v>793</v>
      </c>
      <c r="D19" s="15"/>
    </row>
    <row r="20" spans="1:4" x14ac:dyDescent="0.35">
      <c r="A20" s="12" t="s">
        <v>793</v>
      </c>
      <c r="D20" s="15"/>
    </row>
    <row r="21" spans="1:4" x14ac:dyDescent="0.35">
      <c r="A21" s="12" t="s">
        <v>793</v>
      </c>
      <c r="D21" s="15"/>
    </row>
    <row r="25" spans="1:4" x14ac:dyDescent="0.35">
      <c r="A25" s="13" t="s">
        <v>794</v>
      </c>
      <c r="D25" s="276">
        <f>data!C414</f>
        <v>95742</v>
      </c>
    </row>
    <row r="26" spans="1:4" x14ac:dyDescent="0.35">
      <c r="A26" s="13" t="s">
        <v>790</v>
      </c>
      <c r="D26" s="276" t="str">
        <f>IF(OR(data!C414&gt;1000000,data!C414/(data!D416)&gt;0.01),"Yes","No")</f>
        <v>No</v>
      </c>
    </row>
    <row r="28" spans="1:4" x14ac:dyDescent="0.35">
      <c r="A28" s="13" t="s">
        <v>791</v>
      </c>
      <c r="D28" s="14" t="s">
        <v>792</v>
      </c>
    </row>
    <row r="29" spans="1:4" x14ac:dyDescent="0.35">
      <c r="A29" s="12" t="s">
        <v>795</v>
      </c>
      <c r="D29" s="15"/>
    </row>
    <row r="30" spans="1:4" x14ac:dyDescent="0.35">
      <c r="A30" s="12" t="s">
        <v>795</v>
      </c>
      <c r="D30" s="15"/>
    </row>
    <row r="31" spans="1:4" x14ac:dyDescent="0.35">
      <c r="A31" s="12" t="s">
        <v>795</v>
      </c>
      <c r="D31" s="15"/>
    </row>
    <row r="32" spans="1:4" x14ac:dyDescent="0.35">
      <c r="A32" s="12" t="s">
        <v>795</v>
      </c>
      <c r="D32" s="15"/>
    </row>
    <row r="33" spans="1:4" x14ac:dyDescent="0.35">
      <c r="A33" s="12" t="s">
        <v>795</v>
      </c>
      <c r="D33" s="15"/>
    </row>
    <row r="34" spans="1:4" x14ac:dyDescent="0.35">
      <c r="A34" s="12" t="s">
        <v>795</v>
      </c>
      <c r="D34" s="15"/>
    </row>
    <row r="35" spans="1:4" x14ac:dyDescent="0.35">
      <c r="A35" s="12" t="s">
        <v>795</v>
      </c>
      <c r="D3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/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H-926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Inland Northwest Behavioral Health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99204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"&amp;data!C103</f>
        <v xml:space="preserve">  Spokane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"&amp;data!C104</f>
        <v xml:space="preserve">  Rlynn Wickel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"&amp;data!C105</f>
        <v xml:space="preserve">  Troy Cherry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509-992-1888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 xml:space="preserve"> X</v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2034</v>
      </c>
      <c r="G23" s="81">
        <f>data!D127</f>
        <v>22283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0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100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100</v>
      </c>
      <c r="E36" s="78" t="s">
        <v>325</v>
      </c>
      <c r="F36" s="81"/>
      <c r="G36" s="81">
        <f>data!C144</f>
        <v>100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Inland Northwest Behavioral Health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123</v>
      </c>
      <c r="C7" s="141">
        <f>data!B155</f>
        <v>2106</v>
      </c>
      <c r="D7" s="141">
        <f>data!B156</f>
        <v>208</v>
      </c>
      <c r="E7" s="141">
        <f>data!B157</f>
        <v>1890011</v>
      </c>
      <c r="F7" s="141">
        <f>data!B158</f>
        <v>49086</v>
      </c>
      <c r="G7" s="141">
        <f>data!B157+data!B158</f>
        <v>1939097</v>
      </c>
    </row>
    <row r="8" spans="1:7" ht="20.149999999999999" customHeight="1" x14ac:dyDescent="0.35">
      <c r="A8" s="77" t="s">
        <v>331</v>
      </c>
      <c r="B8" s="141">
        <f>data!C154</f>
        <v>103</v>
      </c>
      <c r="C8" s="141">
        <f>data!C155</f>
        <v>1390</v>
      </c>
      <c r="D8" s="141">
        <f>data!C156</f>
        <v>13</v>
      </c>
      <c r="E8" s="141">
        <f>data!C157</f>
        <v>897692</v>
      </c>
      <c r="F8" s="141">
        <f>data!C158</f>
        <v>91266</v>
      </c>
      <c r="G8" s="141">
        <f>data!C157+data!C158</f>
        <v>988958</v>
      </c>
    </row>
    <row r="9" spans="1:7" ht="20.149999999999999" customHeight="1" x14ac:dyDescent="0.35">
      <c r="A9" s="77" t="s">
        <v>828</v>
      </c>
      <c r="B9" s="141">
        <f>data!D154</f>
        <v>1808</v>
      </c>
      <c r="C9" s="141">
        <f>data!D155</f>
        <v>18787</v>
      </c>
      <c r="D9" s="141">
        <f>data!D156</f>
        <v>5404</v>
      </c>
      <c r="E9" s="141">
        <f>data!D157</f>
        <v>20408146</v>
      </c>
      <c r="F9" s="141">
        <f>data!D158</f>
        <v>1641485</v>
      </c>
      <c r="G9" s="141">
        <f>data!D157+data!D158</f>
        <v>22049631</v>
      </c>
    </row>
    <row r="10" spans="1:7" ht="20.149999999999999" customHeight="1" x14ac:dyDescent="0.35">
      <c r="A10" s="92" t="s">
        <v>215</v>
      </c>
      <c r="B10" s="141">
        <f>data!E154</f>
        <v>2034</v>
      </c>
      <c r="C10" s="141">
        <f>data!E155</f>
        <v>22283</v>
      </c>
      <c r="D10" s="141">
        <f>data!E156</f>
        <v>5625</v>
      </c>
      <c r="E10" s="141">
        <f>data!E157</f>
        <v>23195849</v>
      </c>
      <c r="F10" s="141">
        <f>data!E158</f>
        <v>1781837</v>
      </c>
      <c r="G10" s="141">
        <f>E10+F10</f>
        <v>24977686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828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Inland Northwest Behavioral Health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1148160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122259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486121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597624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97115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176025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54423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284970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2966697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12000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3561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15561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163832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94421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258253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92486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285343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377829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abSelected="1" topLeftCell="A3" workbookViewId="0">
      <selection activeCell="I14" sqref="I1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Inland Northwest Behavioral Health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4759216.5199999996</v>
      </c>
      <c r="D7" s="81">
        <f>data!C211</f>
        <v>0</v>
      </c>
      <c r="E7" s="81">
        <f>data!D211</f>
        <v>0</v>
      </c>
      <c r="F7" s="81">
        <f>data!E211</f>
        <v>4759216.5199999996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1154035.92</v>
      </c>
      <c r="D8" s="81">
        <f>data!C212</f>
        <v>0</v>
      </c>
      <c r="E8" s="81">
        <f>data!D212</f>
        <v>0</v>
      </c>
      <c r="F8" s="81">
        <f>data!E212</f>
        <v>1154035.92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34587062.380000003</v>
      </c>
      <c r="D9" s="81">
        <f>data!C213</f>
        <v>0</v>
      </c>
      <c r="E9" s="81">
        <f>data!D213</f>
        <v>0</v>
      </c>
      <c r="F9" s="81">
        <f>data!E213</f>
        <v>34587062.380000003</v>
      </c>
    </row>
    <row r="10" spans="1:6" ht="20.149999999999999" customHeight="1" x14ac:dyDescent="0.35">
      <c r="A10" s="77">
        <v>4</v>
      </c>
      <c r="B10" s="81" t="s">
        <v>853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2192653.86</v>
      </c>
      <c r="D12" s="81">
        <f>data!C216</f>
        <v>58455.409999999996</v>
      </c>
      <c r="E12" s="81">
        <f>data!D216</f>
        <v>0</v>
      </c>
      <c r="F12" s="81">
        <f>data!E216</f>
        <v>2251109.27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17867.46</v>
      </c>
      <c r="D15" s="81">
        <f>data!C219</f>
        <v>35595.490000000005</v>
      </c>
      <c r="E15" s="81">
        <f>data!D219</f>
        <v>17867</v>
      </c>
      <c r="F15" s="81">
        <f>data!E219</f>
        <v>35595.950000000004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42710836.140000001</v>
      </c>
      <c r="D16" s="81">
        <f>data!C220</f>
        <v>94050.9</v>
      </c>
      <c r="E16" s="81">
        <f>data!D220</f>
        <v>17867</v>
      </c>
      <c r="F16" s="81">
        <f>data!E220</f>
        <v>42787020.040000007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250041</v>
      </c>
      <c r="D24" s="81">
        <f>data!C225</f>
        <v>76935.72</v>
      </c>
      <c r="E24" s="81">
        <f>data!D225</f>
        <v>0</v>
      </c>
      <c r="F24" s="81">
        <f>data!E225</f>
        <v>326976.71999999997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5567086</v>
      </c>
      <c r="D25" s="81">
        <f>data!C226</f>
        <v>1712949</v>
      </c>
      <c r="E25" s="81">
        <f>data!D226</f>
        <v>0</v>
      </c>
      <c r="F25" s="81">
        <f>data!E226</f>
        <v>7280035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1406106</v>
      </c>
      <c r="D28" s="81">
        <f>data!C229</f>
        <v>360337</v>
      </c>
      <c r="E28" s="81">
        <f>data!D229</f>
        <v>0</v>
      </c>
      <c r="F28" s="81">
        <f>data!E229</f>
        <v>1766443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7223233</v>
      </c>
      <c r="D32" s="81">
        <f>data!C233</f>
        <v>2150221.7199999997</v>
      </c>
      <c r="E32" s="81">
        <f>data!D233</f>
        <v>0</v>
      </c>
      <c r="F32" s="81">
        <f>data!E233</f>
        <v>9373454.7199999988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Inland Northwest Behavioral Health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-218816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2454679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1860356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16454951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2912599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3155913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26838498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591536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284868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876404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14382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356945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data!D256</f>
        <v>371327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2023-06-27T14:29:58Z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