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End\YearEnd_2020\"/>
    </mc:Choice>
  </mc:AlternateContent>
  <xr:revisionPtr revIDLastSave="0" documentId="13_ncr:1_{0DADFA13-74BA-4968-A54A-A2637961A942}" xr6:coauthVersionLast="47" xr6:coauthVersionMax="47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4" i="8" l="1"/>
  <c r="B141" i="1" l="1"/>
  <c r="L612" i="10" l="1"/>
  <c r="I612" i="10"/>
  <c r="D612" i="10"/>
  <c r="B575" i="10"/>
  <c r="B574" i="10"/>
  <c r="B573" i="10"/>
  <c r="B572" i="10"/>
  <c r="B571" i="10"/>
  <c r="C570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F546" i="10" s="1"/>
  <c r="H545" i="10"/>
  <c r="E545" i="10"/>
  <c r="D545" i="10"/>
  <c r="B545" i="10"/>
  <c r="F545" i="10" s="1"/>
  <c r="E544" i="10"/>
  <c r="D544" i="10"/>
  <c r="B544" i="10"/>
  <c r="B543" i="10"/>
  <c r="B542" i="10"/>
  <c r="B541" i="10"/>
  <c r="H540" i="10"/>
  <c r="E540" i="10"/>
  <c r="D540" i="10"/>
  <c r="B540" i="10"/>
  <c r="F540" i="10" s="1"/>
  <c r="E539" i="10"/>
  <c r="D539" i="10"/>
  <c r="B539" i="10"/>
  <c r="H539" i="10" s="1"/>
  <c r="F538" i="10"/>
  <c r="E538" i="10"/>
  <c r="D538" i="10"/>
  <c r="B538" i="10"/>
  <c r="H538" i="10" s="1"/>
  <c r="D537" i="10"/>
  <c r="B537" i="10"/>
  <c r="F537" i="10" s="1"/>
  <c r="H536" i="10"/>
  <c r="E536" i="10"/>
  <c r="D536" i="10"/>
  <c r="B536" i="10"/>
  <c r="F536" i="10" s="1"/>
  <c r="E535" i="10"/>
  <c r="D535" i="10"/>
  <c r="B535" i="10"/>
  <c r="H535" i="10" s="1"/>
  <c r="F534" i="10"/>
  <c r="E534" i="10"/>
  <c r="D534" i="10"/>
  <c r="B534" i="10"/>
  <c r="H534" i="10" s="1"/>
  <c r="H533" i="10"/>
  <c r="E533" i="10"/>
  <c r="D533" i="10"/>
  <c r="B533" i="10"/>
  <c r="F533" i="10" s="1"/>
  <c r="H532" i="10"/>
  <c r="E532" i="10"/>
  <c r="D532" i="10"/>
  <c r="B532" i="10"/>
  <c r="F532" i="10" s="1"/>
  <c r="E531" i="10"/>
  <c r="D531" i="10"/>
  <c r="B531" i="10"/>
  <c r="H531" i="10" s="1"/>
  <c r="F530" i="10"/>
  <c r="E530" i="10"/>
  <c r="D530" i="10"/>
  <c r="B530" i="10"/>
  <c r="H530" i="10" s="1"/>
  <c r="E529" i="10"/>
  <c r="D529" i="10"/>
  <c r="B529" i="10"/>
  <c r="F529" i="10" s="1"/>
  <c r="E528" i="10"/>
  <c r="D528" i="10"/>
  <c r="B528" i="10"/>
  <c r="E527" i="10"/>
  <c r="D527" i="10"/>
  <c r="B527" i="10"/>
  <c r="H527" i="10" s="1"/>
  <c r="F526" i="10"/>
  <c r="E526" i="10"/>
  <c r="D526" i="10"/>
  <c r="B526" i="10"/>
  <c r="H525" i="10"/>
  <c r="E525" i="10"/>
  <c r="D525" i="10"/>
  <c r="B525" i="10"/>
  <c r="F525" i="10" s="1"/>
  <c r="E524" i="10"/>
  <c r="D524" i="10"/>
  <c r="B524" i="10"/>
  <c r="E523" i="10"/>
  <c r="D523" i="10"/>
  <c r="B523" i="10"/>
  <c r="H523" i="10" s="1"/>
  <c r="F522" i="10"/>
  <c r="E522" i="10"/>
  <c r="D522" i="10"/>
  <c r="B522" i="10"/>
  <c r="B521" i="10"/>
  <c r="F521" i="10" s="1"/>
  <c r="F520" i="10"/>
  <c r="E520" i="10"/>
  <c r="D520" i="10"/>
  <c r="B520" i="10"/>
  <c r="H519" i="10"/>
  <c r="E519" i="10"/>
  <c r="D519" i="10"/>
  <c r="B519" i="10"/>
  <c r="F519" i="10" s="1"/>
  <c r="E518" i="10"/>
  <c r="D518" i="10"/>
  <c r="B518" i="10"/>
  <c r="F518" i="10" s="1"/>
  <c r="E517" i="10"/>
  <c r="D517" i="10"/>
  <c r="B517" i="10"/>
  <c r="F516" i="10"/>
  <c r="E516" i="10"/>
  <c r="D516" i="10"/>
  <c r="B516" i="10"/>
  <c r="E515" i="10"/>
  <c r="D515" i="10"/>
  <c r="B515" i="10"/>
  <c r="E514" i="10"/>
  <c r="D514" i="10"/>
  <c r="B514" i="10"/>
  <c r="F514" i="10" s="1"/>
  <c r="F513" i="10"/>
  <c r="B513" i="10"/>
  <c r="H513" i="10" s="1"/>
  <c r="B512" i="10"/>
  <c r="F512" i="10" s="1"/>
  <c r="E511" i="10"/>
  <c r="D511" i="10"/>
  <c r="B511" i="10"/>
  <c r="E510" i="10"/>
  <c r="D510" i="10"/>
  <c r="B510" i="10"/>
  <c r="F510" i="10" s="1"/>
  <c r="E509" i="10"/>
  <c r="D509" i="10"/>
  <c r="B509" i="10"/>
  <c r="F508" i="10"/>
  <c r="E508" i="10"/>
  <c r="D508" i="10"/>
  <c r="B508" i="10"/>
  <c r="E507" i="10"/>
  <c r="D507" i="10"/>
  <c r="B507" i="10"/>
  <c r="H506" i="10"/>
  <c r="E506" i="10"/>
  <c r="D506" i="10"/>
  <c r="B506" i="10"/>
  <c r="F506" i="10" s="1"/>
  <c r="E505" i="10"/>
  <c r="D505" i="10"/>
  <c r="B505" i="10"/>
  <c r="F504" i="10"/>
  <c r="E504" i="10"/>
  <c r="D504" i="10"/>
  <c r="B504" i="10"/>
  <c r="H504" i="10" s="1"/>
  <c r="E503" i="10"/>
  <c r="D503" i="10"/>
  <c r="B503" i="10"/>
  <c r="H502" i="10"/>
  <c r="E502" i="10"/>
  <c r="D502" i="10"/>
  <c r="B502" i="10"/>
  <c r="F502" i="10" s="1"/>
  <c r="E501" i="10"/>
  <c r="D501" i="10"/>
  <c r="B501" i="10"/>
  <c r="H501" i="10" s="1"/>
  <c r="F500" i="10"/>
  <c r="E500" i="10"/>
  <c r="D500" i="10"/>
  <c r="B500" i="10"/>
  <c r="H500" i="10" s="1"/>
  <c r="H499" i="10"/>
  <c r="E499" i="10"/>
  <c r="D499" i="10"/>
  <c r="B499" i="10"/>
  <c r="F499" i="10" s="1"/>
  <c r="D498" i="10"/>
  <c r="B498" i="10"/>
  <c r="F498" i="10" s="1"/>
  <c r="E497" i="10"/>
  <c r="D497" i="10"/>
  <c r="B497" i="10"/>
  <c r="H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5" i="10"/>
  <c r="B474" i="10"/>
  <c r="C472" i="10"/>
  <c r="B472" i="10"/>
  <c r="B471" i="10"/>
  <c r="C470" i="10"/>
  <c r="B470" i="10"/>
  <c r="B469" i="10"/>
  <c r="C468" i="10"/>
  <c r="B468" i="10"/>
  <c r="B464" i="10"/>
  <c r="B463" i="10"/>
  <c r="C459" i="10"/>
  <c r="B459" i="10"/>
  <c r="C458" i="10"/>
  <c r="B455" i="10"/>
  <c r="B454" i="10"/>
  <c r="B453" i="10"/>
  <c r="C447" i="10"/>
  <c r="B447" i="10"/>
  <c r="C446" i="10"/>
  <c r="C445" i="10"/>
  <c r="C444" i="10"/>
  <c r="C439" i="10"/>
  <c r="B439" i="10"/>
  <c r="B438" i="10"/>
  <c r="B440" i="10" s="1"/>
  <c r="B437" i="10"/>
  <c r="B436" i="10"/>
  <c r="D435" i="10"/>
  <c r="B435" i="10"/>
  <c r="C434" i="10"/>
  <c r="B434" i="10"/>
  <c r="B433" i="10"/>
  <c r="C432" i="10"/>
  <c r="B432" i="10"/>
  <c r="B431" i="10"/>
  <c r="C430" i="10"/>
  <c r="B430" i="10"/>
  <c r="B429" i="10"/>
  <c r="B428" i="10"/>
  <c r="C427" i="10"/>
  <c r="B427" i="10"/>
  <c r="D424" i="10"/>
  <c r="B424" i="10"/>
  <c r="B423" i="10"/>
  <c r="D421" i="10"/>
  <c r="B421" i="10"/>
  <c r="C420" i="10"/>
  <c r="B420" i="10"/>
  <c r="D418" i="10"/>
  <c r="B418" i="10"/>
  <c r="C417" i="10"/>
  <c r="B417" i="10"/>
  <c r="B415" i="10"/>
  <c r="B414" i="10"/>
  <c r="A412" i="10"/>
  <c r="C392" i="10"/>
  <c r="D390" i="10"/>
  <c r="B441" i="10" s="1"/>
  <c r="C389" i="10"/>
  <c r="C370" i="10"/>
  <c r="B458" i="10" s="1"/>
  <c r="D367" i="10"/>
  <c r="C448" i="10" s="1"/>
  <c r="D361" i="10"/>
  <c r="D368" i="10" s="1"/>
  <c r="D329" i="10"/>
  <c r="D328" i="10"/>
  <c r="D330" i="10" s="1"/>
  <c r="C325" i="10"/>
  <c r="D319" i="10"/>
  <c r="D314" i="10"/>
  <c r="D290" i="10"/>
  <c r="D283" i="10"/>
  <c r="D275" i="10"/>
  <c r="C272" i="10"/>
  <c r="B473" i="10" s="1"/>
  <c r="D265" i="10"/>
  <c r="C252" i="10"/>
  <c r="D260" i="10" s="1"/>
  <c r="D240" i="10"/>
  <c r="D236" i="10"/>
  <c r="B446" i="10" s="1"/>
  <c r="D229" i="10"/>
  <c r="B445" i="10" s="1"/>
  <c r="D221" i="10"/>
  <c r="D242" i="10" s="1"/>
  <c r="B448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C474" i="10" s="1"/>
  <c r="E201" i="10"/>
  <c r="E200" i="10"/>
  <c r="E199" i="10"/>
  <c r="E198" i="10"/>
  <c r="C471" i="10" s="1"/>
  <c r="E197" i="10"/>
  <c r="E196" i="10"/>
  <c r="C469" i="10" s="1"/>
  <c r="E195" i="10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D142" i="10"/>
  <c r="E142" i="10" s="1"/>
  <c r="D464" i="10" s="1"/>
  <c r="E141" i="10"/>
  <c r="D463" i="10" s="1"/>
  <c r="D465" i="10" s="1"/>
  <c r="D141" i="10"/>
  <c r="E140" i="10"/>
  <c r="E139" i="10"/>
  <c r="C415" i="10" s="1"/>
  <c r="E138" i="10"/>
  <c r="C414" i="10" s="1"/>
  <c r="D138" i="10"/>
  <c r="E127" i="10"/>
  <c r="CE80" i="10"/>
  <c r="CF79" i="10"/>
  <c r="CE79" i="10"/>
  <c r="J612" i="10" s="1"/>
  <c r="CE78" i="10"/>
  <c r="CE77" i="10"/>
  <c r="CE76" i="10"/>
  <c r="CF76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E75" i="10" s="1"/>
  <c r="C75" i="10"/>
  <c r="CE74" i="10"/>
  <c r="C464" i="10" s="1"/>
  <c r="CE73" i="10"/>
  <c r="C463" i="10" s="1"/>
  <c r="CE70" i="10"/>
  <c r="CD70" i="10"/>
  <c r="CD69" i="10"/>
  <c r="CE68" i="10"/>
  <c r="BY67" i="10"/>
  <c r="BX67" i="10"/>
  <c r="BQ67" i="10"/>
  <c r="BM67" i="10"/>
  <c r="BI67" i="10"/>
  <c r="BE67" i="10"/>
  <c r="BA67" i="10"/>
  <c r="AW67" i="10"/>
  <c r="AS67" i="10"/>
  <c r="AO67" i="10"/>
  <c r="AK67" i="10"/>
  <c r="AG67" i="10"/>
  <c r="AC67" i="10"/>
  <c r="Y67" i="10"/>
  <c r="U67" i="10"/>
  <c r="Q67" i="10"/>
  <c r="M67" i="10"/>
  <c r="I67" i="10"/>
  <c r="E67" i="10"/>
  <c r="CE66" i="10"/>
  <c r="CE65" i="10"/>
  <c r="C431" i="10" s="1"/>
  <c r="CE64" i="10"/>
  <c r="F612" i="10" s="1"/>
  <c r="CE63" i="10"/>
  <c r="C429" i="10" s="1"/>
  <c r="CC62" i="10"/>
  <c r="BY62" i="10"/>
  <c r="BY71" i="10" s="1"/>
  <c r="C645" i="10" s="1"/>
  <c r="BU62" i="10"/>
  <c r="BQ62" i="10"/>
  <c r="BQ71" i="10" s="1"/>
  <c r="C623" i="10" s="1"/>
  <c r="BM62" i="10"/>
  <c r="BM71" i="10" s="1"/>
  <c r="BI62" i="10"/>
  <c r="BI71" i="10" s="1"/>
  <c r="C634" i="10" s="1"/>
  <c r="BE62" i="10"/>
  <c r="BE71" i="10" s="1"/>
  <c r="BA62" i="10"/>
  <c r="BA71" i="10" s="1"/>
  <c r="AW62" i="10"/>
  <c r="AW71" i="10" s="1"/>
  <c r="AS62" i="10"/>
  <c r="AS71" i="10" s="1"/>
  <c r="AO62" i="10"/>
  <c r="AO71" i="10" s="1"/>
  <c r="AK62" i="10"/>
  <c r="AK71" i="10" s="1"/>
  <c r="AG62" i="10"/>
  <c r="AG71" i="10" s="1"/>
  <c r="AC62" i="10"/>
  <c r="AC71" i="10" s="1"/>
  <c r="Y62" i="10"/>
  <c r="Y71" i="10" s="1"/>
  <c r="U62" i="10"/>
  <c r="U71" i="10" s="1"/>
  <c r="Q62" i="10"/>
  <c r="Q71" i="10" s="1"/>
  <c r="M62" i="10"/>
  <c r="M71" i="10" s="1"/>
  <c r="I62" i="10"/>
  <c r="I71" i="10" s="1"/>
  <c r="E62" i="10"/>
  <c r="E71" i="10" s="1"/>
  <c r="CE61" i="10"/>
  <c r="BZ48" i="10" s="1"/>
  <c r="BZ62" i="10" s="1"/>
  <c r="BZ71" i="10" s="1"/>
  <c r="CE60" i="10"/>
  <c r="H612" i="10" s="1"/>
  <c r="AR59" i="10"/>
  <c r="E537" i="10" s="1"/>
  <c r="E59" i="10"/>
  <c r="B53" i="10"/>
  <c r="CC52" i="10"/>
  <c r="CC67" i="10" s="1"/>
  <c r="CB52" i="10"/>
  <c r="CB67" i="10" s="1"/>
  <c r="CB71" i="10" s="1"/>
  <c r="CA52" i="10"/>
  <c r="CA67" i="10" s="1"/>
  <c r="BZ52" i="10"/>
  <c r="BZ67" i="10" s="1"/>
  <c r="BY52" i="10"/>
  <c r="BX52" i="10"/>
  <c r="BW52" i="10"/>
  <c r="BW67" i="10" s="1"/>
  <c r="BV52" i="10"/>
  <c r="BV67" i="10" s="1"/>
  <c r="BU52" i="10"/>
  <c r="BU67" i="10" s="1"/>
  <c r="BT52" i="10"/>
  <c r="BT67" i="10" s="1"/>
  <c r="BS52" i="10"/>
  <c r="BS67" i="10" s="1"/>
  <c r="BR52" i="10"/>
  <c r="BR67" i="10" s="1"/>
  <c r="BQ52" i="10"/>
  <c r="BP52" i="10"/>
  <c r="BP67" i="10" s="1"/>
  <c r="BO52" i="10"/>
  <c r="BO67" i="10" s="1"/>
  <c r="BN52" i="10"/>
  <c r="BN67" i="10" s="1"/>
  <c r="BM52" i="10"/>
  <c r="BL52" i="10"/>
  <c r="BL67" i="10" s="1"/>
  <c r="BK52" i="10"/>
  <c r="BK67" i="10" s="1"/>
  <c r="BJ52" i="10"/>
  <c r="BJ67" i="10" s="1"/>
  <c r="BI52" i="10"/>
  <c r="BH52" i="10"/>
  <c r="BH67" i="10" s="1"/>
  <c r="BG52" i="10"/>
  <c r="BG67" i="10" s="1"/>
  <c r="BF52" i="10"/>
  <c r="BF67" i="10" s="1"/>
  <c r="BE52" i="10"/>
  <c r="BD52" i="10"/>
  <c r="BD67" i="10" s="1"/>
  <c r="BC52" i="10"/>
  <c r="BC67" i="10" s="1"/>
  <c r="BB52" i="10"/>
  <c r="BB67" i="10" s="1"/>
  <c r="BA52" i="10"/>
  <c r="AZ52" i="10"/>
  <c r="AZ67" i="10" s="1"/>
  <c r="AY52" i="10"/>
  <c r="AY67" i="10" s="1"/>
  <c r="AX52" i="10"/>
  <c r="AX67" i="10" s="1"/>
  <c r="AW52" i="10"/>
  <c r="AV52" i="10"/>
  <c r="AV67" i="10" s="1"/>
  <c r="AV71" i="10" s="1"/>
  <c r="AU52" i="10"/>
  <c r="AU67" i="10" s="1"/>
  <c r="AT52" i="10"/>
  <c r="AT67" i="10" s="1"/>
  <c r="AS52" i="10"/>
  <c r="AR52" i="10"/>
  <c r="AR67" i="10" s="1"/>
  <c r="AQ52" i="10"/>
  <c r="AQ67" i="10" s="1"/>
  <c r="AP52" i="10"/>
  <c r="AP67" i="10" s="1"/>
  <c r="AO52" i="10"/>
  <c r="AN52" i="10"/>
  <c r="AN67" i="10" s="1"/>
  <c r="AM52" i="10"/>
  <c r="AM67" i="10" s="1"/>
  <c r="AL52" i="10"/>
  <c r="AL67" i="10" s="1"/>
  <c r="AK52" i="10"/>
  <c r="AJ52" i="10"/>
  <c r="AJ67" i="10" s="1"/>
  <c r="AI52" i="10"/>
  <c r="AI67" i="10" s="1"/>
  <c r="AH52" i="10"/>
  <c r="AH67" i="10" s="1"/>
  <c r="AG52" i="10"/>
  <c r="AF52" i="10"/>
  <c r="AF67" i="10" s="1"/>
  <c r="AE52" i="10"/>
  <c r="AE67" i="10" s="1"/>
  <c r="AD52" i="10"/>
  <c r="AD67" i="10" s="1"/>
  <c r="AC52" i="10"/>
  <c r="AB52" i="10"/>
  <c r="AB67" i="10" s="1"/>
  <c r="AA52" i="10"/>
  <c r="AA67" i="10" s="1"/>
  <c r="Z52" i="10"/>
  <c r="Z67" i="10" s="1"/>
  <c r="Y52" i="10"/>
  <c r="X52" i="10"/>
  <c r="X67" i="10" s="1"/>
  <c r="W52" i="10"/>
  <c r="W67" i="10" s="1"/>
  <c r="V52" i="10"/>
  <c r="V67" i="10" s="1"/>
  <c r="U52" i="10"/>
  <c r="T52" i="10"/>
  <c r="T67" i="10" s="1"/>
  <c r="S52" i="10"/>
  <c r="S67" i="10" s="1"/>
  <c r="R52" i="10"/>
  <c r="R67" i="10" s="1"/>
  <c r="Q52" i="10"/>
  <c r="P52" i="10"/>
  <c r="P67" i="10" s="1"/>
  <c r="P71" i="10" s="1"/>
  <c r="O52" i="10"/>
  <c r="O67" i="10" s="1"/>
  <c r="N52" i="10"/>
  <c r="N67" i="10" s="1"/>
  <c r="M52" i="10"/>
  <c r="L52" i="10"/>
  <c r="L67" i="10" s="1"/>
  <c r="K52" i="10"/>
  <c r="K67" i="10" s="1"/>
  <c r="J52" i="10"/>
  <c r="J67" i="10" s="1"/>
  <c r="I52" i="10"/>
  <c r="H52" i="10"/>
  <c r="H67" i="10" s="1"/>
  <c r="G52" i="10"/>
  <c r="G67" i="10" s="1"/>
  <c r="F52" i="10"/>
  <c r="F67" i="10" s="1"/>
  <c r="E52" i="10"/>
  <c r="D52" i="10"/>
  <c r="D67" i="10" s="1"/>
  <c r="C52" i="10"/>
  <c r="C67" i="10" s="1"/>
  <c r="CE51" i="10"/>
  <c r="B49" i="10"/>
  <c r="CC48" i="10"/>
  <c r="CB48" i="10"/>
  <c r="CB62" i="10" s="1"/>
  <c r="CA48" i="10"/>
  <c r="CA62" i="10" s="1"/>
  <c r="CA71" i="10" s="1"/>
  <c r="BY48" i="10"/>
  <c r="BX48" i="10"/>
  <c r="BX62" i="10" s="1"/>
  <c r="BX71" i="10" s="1"/>
  <c r="C569" i="10" s="1"/>
  <c r="BW48" i="10"/>
  <c r="BW62" i="10" s="1"/>
  <c r="BW71" i="10" s="1"/>
  <c r="BU48" i="10"/>
  <c r="BT48" i="10"/>
  <c r="BT62" i="10" s="1"/>
  <c r="BT71" i="10" s="1"/>
  <c r="BS48" i="10"/>
  <c r="BS62" i="10" s="1"/>
  <c r="BS71" i="10" s="1"/>
  <c r="BQ48" i="10"/>
  <c r="BP48" i="10"/>
  <c r="BP62" i="10" s="1"/>
  <c r="BO48" i="10"/>
  <c r="BO62" i="10" s="1"/>
  <c r="BM48" i="10"/>
  <c r="BL48" i="10"/>
  <c r="BL62" i="10" s="1"/>
  <c r="BL71" i="10" s="1"/>
  <c r="BK48" i="10"/>
  <c r="BK62" i="10" s="1"/>
  <c r="BK71" i="10" s="1"/>
  <c r="BI48" i="10"/>
  <c r="BH48" i="10"/>
  <c r="BH62" i="10" s="1"/>
  <c r="BH71" i="10" s="1"/>
  <c r="BG48" i="10"/>
  <c r="BG62" i="10" s="1"/>
  <c r="BG71" i="10" s="1"/>
  <c r="C552" i="10" s="1"/>
  <c r="BE48" i="10"/>
  <c r="BD48" i="10"/>
  <c r="BD62" i="10" s="1"/>
  <c r="BD71" i="10" s="1"/>
  <c r="BC48" i="10"/>
  <c r="BC62" i="10" s="1"/>
  <c r="BC71" i="10" s="1"/>
  <c r="BA48" i="10"/>
  <c r="AZ48" i="10"/>
  <c r="AZ62" i="10" s="1"/>
  <c r="AY48" i="10"/>
  <c r="AY62" i="10" s="1"/>
  <c r="AW48" i="10"/>
  <c r="AV48" i="10"/>
  <c r="AV62" i="10" s="1"/>
  <c r="AU48" i="10"/>
  <c r="AU62" i="10" s="1"/>
  <c r="AU71" i="10" s="1"/>
  <c r="C712" i="10" s="1"/>
  <c r="AS48" i="10"/>
  <c r="AR48" i="10"/>
  <c r="AR62" i="10" s="1"/>
  <c r="AR71" i="10" s="1"/>
  <c r="AQ48" i="10"/>
  <c r="AQ62" i="10" s="1"/>
  <c r="AQ71" i="10" s="1"/>
  <c r="C708" i="10" s="1"/>
  <c r="AO48" i="10"/>
  <c r="AN48" i="10"/>
  <c r="AN62" i="10" s="1"/>
  <c r="AN71" i="10" s="1"/>
  <c r="AM48" i="10"/>
  <c r="AM62" i="10" s="1"/>
  <c r="AM71" i="10" s="1"/>
  <c r="C704" i="10" s="1"/>
  <c r="AK48" i="10"/>
  <c r="AJ48" i="10"/>
  <c r="AJ62" i="10" s="1"/>
  <c r="AI48" i="10"/>
  <c r="AI62" i="10" s="1"/>
  <c r="AG48" i="10"/>
  <c r="AF48" i="10"/>
  <c r="AF62" i="10" s="1"/>
  <c r="AF71" i="10" s="1"/>
  <c r="AE48" i="10"/>
  <c r="AE62" i="10" s="1"/>
  <c r="AE71" i="10" s="1"/>
  <c r="C696" i="10" s="1"/>
  <c r="AC48" i="10"/>
  <c r="AB48" i="10"/>
  <c r="AB62" i="10" s="1"/>
  <c r="AB71" i="10" s="1"/>
  <c r="AA48" i="10"/>
  <c r="AA62" i="10" s="1"/>
  <c r="AA71" i="10" s="1"/>
  <c r="Y48" i="10"/>
  <c r="X48" i="10"/>
  <c r="X62" i="10" s="1"/>
  <c r="X71" i="10" s="1"/>
  <c r="W48" i="10"/>
  <c r="W62" i="10" s="1"/>
  <c r="W71" i="10" s="1"/>
  <c r="U48" i="10"/>
  <c r="T48" i="10"/>
  <c r="T62" i="10" s="1"/>
  <c r="S48" i="10"/>
  <c r="S62" i="10" s="1"/>
  <c r="Q48" i="10"/>
  <c r="P48" i="10"/>
  <c r="P62" i="10" s="1"/>
  <c r="O48" i="10"/>
  <c r="O62" i="10" s="1"/>
  <c r="O71" i="10" s="1"/>
  <c r="M48" i="10"/>
  <c r="L48" i="10"/>
  <c r="L62" i="10" s="1"/>
  <c r="L71" i="10" s="1"/>
  <c r="K48" i="10"/>
  <c r="K62" i="10" s="1"/>
  <c r="K71" i="10" s="1"/>
  <c r="C504" i="10" s="1"/>
  <c r="G504" i="10" s="1"/>
  <c r="I48" i="10"/>
  <c r="H48" i="10"/>
  <c r="H62" i="10" s="1"/>
  <c r="H71" i="10" s="1"/>
  <c r="G48" i="10"/>
  <c r="G62" i="10" s="1"/>
  <c r="G71" i="10" s="1"/>
  <c r="E48" i="10"/>
  <c r="D48" i="10"/>
  <c r="D62" i="10" s="1"/>
  <c r="C48" i="10"/>
  <c r="C62" i="10" s="1"/>
  <c r="CE47" i="10"/>
  <c r="C697" i="10" l="1"/>
  <c r="C525" i="10"/>
  <c r="G525" i="10" s="1"/>
  <c r="C557" i="10"/>
  <c r="C637" i="10"/>
  <c r="C681" i="10"/>
  <c r="C509" i="10"/>
  <c r="G509" i="10" s="1"/>
  <c r="C713" i="10"/>
  <c r="C541" i="10"/>
  <c r="C573" i="10"/>
  <c r="C622" i="10"/>
  <c r="C673" i="10"/>
  <c r="C501" i="10"/>
  <c r="G501" i="10" s="1"/>
  <c r="C689" i="10"/>
  <c r="C517" i="10"/>
  <c r="G517" i="10" s="1"/>
  <c r="C705" i="10"/>
  <c r="C533" i="10"/>
  <c r="G533" i="10" s="1"/>
  <c r="C549" i="10"/>
  <c r="C624" i="10"/>
  <c r="C565" i="10"/>
  <c r="C640" i="10"/>
  <c r="C693" i="10"/>
  <c r="C521" i="10"/>
  <c r="C553" i="10"/>
  <c r="C636" i="10"/>
  <c r="C702" i="10"/>
  <c r="C530" i="10"/>
  <c r="G530" i="10" s="1"/>
  <c r="K612" i="10"/>
  <c r="C465" i="10"/>
  <c r="B476" i="10"/>
  <c r="D277" i="10"/>
  <c r="D292" i="10" s="1"/>
  <c r="D341" i="10" s="1"/>
  <c r="C481" i="10" s="1"/>
  <c r="C71" i="10"/>
  <c r="B496" i="1" s="1"/>
  <c r="S71" i="10"/>
  <c r="AI71" i="10"/>
  <c r="AY71" i="10"/>
  <c r="BO71" i="10"/>
  <c r="B560" i="1" s="1"/>
  <c r="C674" i="10"/>
  <c r="C502" i="10"/>
  <c r="G502" i="10" s="1"/>
  <c r="C690" i="10"/>
  <c r="C518" i="10"/>
  <c r="C706" i="10"/>
  <c r="C534" i="10"/>
  <c r="G534" i="10" s="1"/>
  <c r="C550" i="10"/>
  <c r="C614" i="10"/>
  <c r="BU71" i="10"/>
  <c r="C540" i="10"/>
  <c r="G540" i="10" s="1"/>
  <c r="C618" i="10"/>
  <c r="C676" i="10"/>
  <c r="C677" i="10"/>
  <c r="C505" i="10"/>
  <c r="G505" i="10" s="1"/>
  <c r="C709" i="10"/>
  <c r="C537" i="10"/>
  <c r="C633" i="10"/>
  <c r="C548" i="10"/>
  <c r="C639" i="10"/>
  <c r="C564" i="10"/>
  <c r="C670" i="10"/>
  <c r="C498" i="10"/>
  <c r="C546" i="10"/>
  <c r="C630" i="10"/>
  <c r="D71" i="10"/>
  <c r="T71" i="10"/>
  <c r="AJ71" i="10"/>
  <c r="AZ71" i="10"/>
  <c r="C635" i="10"/>
  <c r="C556" i="10"/>
  <c r="BP71" i="10"/>
  <c r="C647" i="10"/>
  <c r="C572" i="10"/>
  <c r="CE52" i="10"/>
  <c r="C678" i="10"/>
  <c r="C506" i="10"/>
  <c r="G506" i="10" s="1"/>
  <c r="C694" i="10"/>
  <c r="C522" i="10"/>
  <c r="G522" i="10" s="1"/>
  <c r="C710" i="10"/>
  <c r="C538" i="10"/>
  <c r="G538" i="10" s="1"/>
  <c r="G612" i="10"/>
  <c r="CF77" i="10"/>
  <c r="C524" i="10"/>
  <c r="C532" i="10"/>
  <c r="G532" i="10" s="1"/>
  <c r="C536" i="10"/>
  <c r="G536" i="10" s="1"/>
  <c r="C554" i="10"/>
  <c r="C500" i="10"/>
  <c r="G500" i="10" s="1"/>
  <c r="C672" i="10"/>
  <c r="C688" i="10"/>
  <c r="C516" i="10"/>
  <c r="G516" i="10" s="1"/>
  <c r="C686" i="10"/>
  <c r="C514" i="10"/>
  <c r="C680" i="10"/>
  <c r="C508" i="10"/>
  <c r="G508" i="10" s="1"/>
  <c r="C692" i="10"/>
  <c r="C520" i="10"/>
  <c r="G520" i="10" s="1"/>
  <c r="C643" i="10"/>
  <c r="C568" i="10"/>
  <c r="CE67" i="10"/>
  <c r="C433" i="10" s="1"/>
  <c r="C646" i="10"/>
  <c r="C571" i="10"/>
  <c r="C682" i="10"/>
  <c r="C510" i="10"/>
  <c r="C698" i="10"/>
  <c r="C526" i="10"/>
  <c r="G526" i="10" s="1"/>
  <c r="C631" i="10"/>
  <c r="C542" i="10"/>
  <c r="C638" i="10"/>
  <c r="C558" i="10"/>
  <c r="CC71" i="10"/>
  <c r="C562" i="10"/>
  <c r="C644" i="10"/>
  <c r="CD71" i="10"/>
  <c r="C575" i="10" s="1"/>
  <c r="C615" i="10"/>
  <c r="C438" i="10"/>
  <c r="E204" i="10"/>
  <c r="C476" i="10" s="1"/>
  <c r="D339" i="10"/>
  <c r="C482" i="10" s="1"/>
  <c r="H522" i="10"/>
  <c r="F523" i="10"/>
  <c r="H526" i="10"/>
  <c r="F527" i="10"/>
  <c r="F531" i="10"/>
  <c r="F535" i="10"/>
  <c r="F539" i="10"/>
  <c r="F544" i="10"/>
  <c r="F48" i="10"/>
  <c r="F62" i="10" s="1"/>
  <c r="F71" i="10" s="1"/>
  <c r="J48" i="10"/>
  <c r="J62" i="10" s="1"/>
  <c r="J71" i="10" s="1"/>
  <c r="N48" i="10"/>
  <c r="N62" i="10" s="1"/>
  <c r="N71" i="10" s="1"/>
  <c r="R48" i="10"/>
  <c r="R62" i="10" s="1"/>
  <c r="R71" i="10" s="1"/>
  <c r="V48" i="10"/>
  <c r="V62" i="10" s="1"/>
  <c r="V71" i="10" s="1"/>
  <c r="Z48" i="10"/>
  <c r="Z62" i="10" s="1"/>
  <c r="Z71" i="10" s="1"/>
  <c r="AD48" i="10"/>
  <c r="AD62" i="10" s="1"/>
  <c r="AD71" i="10" s="1"/>
  <c r="AH48" i="10"/>
  <c r="AH62" i="10" s="1"/>
  <c r="AH71" i="10" s="1"/>
  <c r="AL48" i="10"/>
  <c r="AL62" i="10" s="1"/>
  <c r="AL71" i="10" s="1"/>
  <c r="AP48" i="10"/>
  <c r="AP62" i="10" s="1"/>
  <c r="AP71" i="10" s="1"/>
  <c r="AT48" i="10"/>
  <c r="AT62" i="10" s="1"/>
  <c r="AT71" i="10" s="1"/>
  <c r="AX48" i="10"/>
  <c r="AX62" i="10" s="1"/>
  <c r="AX71" i="10" s="1"/>
  <c r="BB48" i="10"/>
  <c r="BB62" i="10" s="1"/>
  <c r="BB71" i="10" s="1"/>
  <c r="BF48" i="10"/>
  <c r="BF62" i="10" s="1"/>
  <c r="BF71" i="10" s="1"/>
  <c r="BJ48" i="10"/>
  <c r="BJ62" i="10" s="1"/>
  <c r="BJ71" i="10" s="1"/>
  <c r="BN48" i="10"/>
  <c r="BN62" i="10" s="1"/>
  <c r="BN71" i="10" s="1"/>
  <c r="BR48" i="10"/>
  <c r="BR62" i="10" s="1"/>
  <c r="BR71" i="10" s="1"/>
  <c r="BV48" i="10"/>
  <c r="BV62" i="10" s="1"/>
  <c r="BV71" i="10" s="1"/>
  <c r="E498" i="10"/>
  <c r="D415" i="10"/>
  <c r="CE69" i="10"/>
  <c r="C440" i="10" s="1"/>
  <c r="D438" i="10"/>
  <c r="C473" i="10"/>
  <c r="D372" i="10"/>
  <c r="F501" i="10"/>
  <c r="F503" i="10"/>
  <c r="H505" i="10"/>
  <c r="F505" i="10"/>
  <c r="F507" i="10"/>
  <c r="H508" i="10"/>
  <c r="H509" i="10"/>
  <c r="F509" i="10"/>
  <c r="F511" i="10"/>
  <c r="F515" i="10"/>
  <c r="H516" i="10"/>
  <c r="F517" i="10"/>
  <c r="H517" i="10" s="1"/>
  <c r="H520" i="10"/>
  <c r="D373" i="10"/>
  <c r="D391" i="10" s="1"/>
  <c r="D393" i="10" s="1"/>
  <c r="D396" i="10" s="1"/>
  <c r="B465" i="10"/>
  <c r="F497" i="10"/>
  <c r="F524" i="10"/>
  <c r="F528" i="10"/>
  <c r="B444" i="10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8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F493" i="1"/>
  <c r="D493" i="1"/>
  <c r="B493" i="1"/>
  <c r="C543" i="10" l="1"/>
  <c r="C616" i="10"/>
  <c r="C559" i="10"/>
  <c r="C619" i="10"/>
  <c r="C683" i="10"/>
  <c r="C511" i="10"/>
  <c r="G510" i="10"/>
  <c r="H510" i="10" s="1"/>
  <c r="G524" i="10"/>
  <c r="H524" i="10"/>
  <c r="G537" i="10"/>
  <c r="H537" i="10" s="1"/>
  <c r="D615" i="10"/>
  <c r="G518" i="10"/>
  <c r="H518" i="10" s="1"/>
  <c r="CE62" i="10"/>
  <c r="B511" i="1"/>
  <c r="B543" i="1"/>
  <c r="B559" i="1"/>
  <c r="CE48" i="10"/>
  <c r="C711" i="10"/>
  <c r="C539" i="10"/>
  <c r="G539" i="10" s="1"/>
  <c r="C695" i="10"/>
  <c r="C523" i="10"/>
  <c r="G523" i="10" s="1"/>
  <c r="C679" i="10"/>
  <c r="C507" i="10"/>
  <c r="C620" i="10"/>
  <c r="C574" i="10"/>
  <c r="C561" i="10"/>
  <c r="C621" i="10"/>
  <c r="C701" i="10"/>
  <c r="C529" i="10"/>
  <c r="C567" i="10"/>
  <c r="C642" i="10"/>
  <c r="C551" i="10"/>
  <c r="C629" i="10"/>
  <c r="C707" i="10"/>
  <c r="C535" i="10"/>
  <c r="G535" i="10" s="1"/>
  <c r="C691" i="10"/>
  <c r="C519" i="10"/>
  <c r="G519" i="10" s="1"/>
  <c r="C675" i="10"/>
  <c r="C503" i="10"/>
  <c r="C685" i="10"/>
  <c r="C513" i="10"/>
  <c r="G513" i="10" s="1"/>
  <c r="G498" i="10"/>
  <c r="H498" i="10" s="1"/>
  <c r="C700" i="10"/>
  <c r="C528" i="10"/>
  <c r="G521" i="10"/>
  <c r="H521" i="10"/>
  <c r="C699" i="10"/>
  <c r="C527" i="10"/>
  <c r="G527" i="10" s="1"/>
  <c r="C628" i="10"/>
  <c r="C545" i="10"/>
  <c r="G545" i="10" s="1"/>
  <c r="C627" i="10"/>
  <c r="C560" i="10"/>
  <c r="B527" i="1"/>
  <c r="C555" i="10"/>
  <c r="C617" i="10"/>
  <c r="C715" i="10" s="1"/>
  <c r="G546" i="10"/>
  <c r="H546" i="10"/>
  <c r="H550" i="10"/>
  <c r="G550" i="10"/>
  <c r="C544" i="10"/>
  <c r="C625" i="10"/>
  <c r="C496" i="10"/>
  <c r="C668" i="10"/>
  <c r="B544" i="1"/>
  <c r="B529" i="1"/>
  <c r="B545" i="1"/>
  <c r="B561" i="1"/>
  <c r="C563" i="10"/>
  <c r="C626" i="10"/>
  <c r="C547" i="10"/>
  <c r="C632" i="10"/>
  <c r="C703" i="10"/>
  <c r="C531" i="10"/>
  <c r="G531" i="10" s="1"/>
  <c r="C687" i="10"/>
  <c r="C515" i="10"/>
  <c r="C499" i="10"/>
  <c r="G499" i="10" s="1"/>
  <c r="C671" i="10"/>
  <c r="H514" i="10"/>
  <c r="G514" i="10"/>
  <c r="C669" i="10"/>
  <c r="C497" i="10"/>
  <c r="G497" i="10" s="1"/>
  <c r="C641" i="10"/>
  <c r="C566" i="10"/>
  <c r="C684" i="10"/>
  <c r="C512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431" i="1" s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N751" i="1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S48" i="1"/>
  <c r="AS62" i="1" s="1"/>
  <c r="AS71" i="1" s="1"/>
  <c r="C710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4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815" i="1" s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815" i="1" s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X71" i="1" s="1"/>
  <c r="L48" i="1"/>
  <c r="L62" i="1" s="1"/>
  <c r="E743" i="1" s="1"/>
  <c r="D48" i="1"/>
  <c r="D62" i="1" s="1"/>
  <c r="D368" i="1"/>
  <c r="D330" i="1"/>
  <c r="C86" i="8" s="1"/>
  <c r="N766" i="1"/>
  <c r="N760" i="1"/>
  <c r="N769" i="1"/>
  <c r="N758" i="1"/>
  <c r="N753" i="1"/>
  <c r="C16" i="8"/>
  <c r="F12" i="6"/>
  <c r="C469" i="1"/>
  <c r="F8" i="6"/>
  <c r="I377" i="9"/>
  <c r="C464" i="1"/>
  <c r="G122" i="9"/>
  <c r="I26" i="9"/>
  <c r="N740" i="1"/>
  <c r="H58" i="9"/>
  <c r="F90" i="9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C204" i="9"/>
  <c r="G48" i="1"/>
  <c r="G62" i="1" s="1"/>
  <c r="AU48" i="1"/>
  <c r="AU62" i="1" s="1"/>
  <c r="AU71" i="1" s="1"/>
  <c r="C540" i="1" s="1"/>
  <c r="G540" i="1" s="1"/>
  <c r="BS48" i="1"/>
  <c r="BS62" i="1" s="1"/>
  <c r="E802" i="1" s="1"/>
  <c r="AE48" i="1"/>
  <c r="AE62" i="1" s="1"/>
  <c r="AE71" i="1" s="1"/>
  <c r="C524" i="1" s="1"/>
  <c r="G524" i="1" s="1"/>
  <c r="O48" i="1"/>
  <c r="O62" i="1" s="1"/>
  <c r="BI48" i="1"/>
  <c r="BI62" i="1" s="1"/>
  <c r="E268" i="9" s="1"/>
  <c r="CD722" i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Q71" i="1" s="1"/>
  <c r="I48" i="1"/>
  <c r="I62" i="1" s="1"/>
  <c r="CC48" i="1"/>
  <c r="CC6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K71" i="1" s="1"/>
  <c r="C676" i="1" s="1"/>
  <c r="N765" i="1"/>
  <c r="K816" i="1"/>
  <c r="C615" i="1"/>
  <c r="B440" i="1"/>
  <c r="C48" i="1"/>
  <c r="C62" i="1" s="1"/>
  <c r="E734" i="1" s="1"/>
  <c r="C120" i="8"/>
  <c r="O816" i="1"/>
  <c r="E372" i="9"/>
  <c r="E44" i="9"/>
  <c r="E75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L71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C236" i="9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/>
  <c r="E757" i="1" s="1"/>
  <c r="V48" i="1"/>
  <c r="V62" i="1" s="1"/>
  <c r="R48" i="1"/>
  <c r="R62" i="1" s="1"/>
  <c r="D76" i="9" s="1"/>
  <c r="N48" i="1"/>
  <c r="N62" i="1" s="1"/>
  <c r="J48" i="1"/>
  <c r="J62" i="1" s="1"/>
  <c r="J71" i="1" s="1"/>
  <c r="F48" i="1"/>
  <c r="H300" i="9"/>
  <c r="P816" i="1"/>
  <c r="B10" i="4"/>
  <c r="C430" i="1"/>
  <c r="I381" i="9"/>
  <c r="E800" i="1"/>
  <c r="E812" i="1"/>
  <c r="BG71" i="1"/>
  <c r="C277" i="9" s="1"/>
  <c r="BA71" i="1"/>
  <c r="C546" i="1" s="1"/>
  <c r="G546" i="1" s="1"/>
  <c r="F62" i="1"/>
  <c r="F71" i="1" s="1"/>
  <c r="F21" i="9" s="1"/>
  <c r="E763" i="1"/>
  <c r="E767" i="1"/>
  <c r="E300" i="9"/>
  <c r="BT71" i="1"/>
  <c r="AO71" i="1"/>
  <c r="F181" i="9" s="1"/>
  <c r="BP71" i="1"/>
  <c r="L71" i="1"/>
  <c r="BS71" i="1"/>
  <c r="C639" i="1" s="1"/>
  <c r="E737" i="1"/>
  <c r="U71" i="1"/>
  <c r="G85" i="9" s="1"/>
  <c r="AK71" i="1"/>
  <c r="C530" i="1" s="1"/>
  <c r="G530" i="1" s="1"/>
  <c r="BU71" i="1"/>
  <c r="C641" i="1" s="1"/>
  <c r="BE71" i="1"/>
  <c r="C614" i="1" s="1"/>
  <c r="M816" i="1" l="1"/>
  <c r="I372" i="9"/>
  <c r="E10" i="4"/>
  <c r="N762" i="1"/>
  <c r="N761" i="1"/>
  <c r="N745" i="1"/>
  <c r="N755" i="1"/>
  <c r="N777" i="1"/>
  <c r="N752" i="1"/>
  <c r="N736" i="1"/>
  <c r="N768" i="1"/>
  <c r="N757" i="1"/>
  <c r="N747" i="1"/>
  <c r="N743" i="1"/>
  <c r="N773" i="1"/>
  <c r="D186" i="9"/>
  <c r="C141" i="8"/>
  <c r="C473" i="1"/>
  <c r="G10" i="4"/>
  <c r="I366" i="9"/>
  <c r="G816" i="1"/>
  <c r="BI71" i="1"/>
  <c r="C554" i="1" s="1"/>
  <c r="C213" i="9"/>
  <c r="I300" i="9"/>
  <c r="E108" i="9"/>
  <c r="C71" i="1"/>
  <c r="E792" i="1"/>
  <c r="BQ71" i="1"/>
  <c r="F309" i="9" s="1"/>
  <c r="E790" i="1"/>
  <c r="E776" i="1"/>
  <c r="G12" i="9"/>
  <c r="E787" i="1"/>
  <c r="Z71" i="1"/>
  <c r="C691" i="1" s="1"/>
  <c r="G612" i="1"/>
  <c r="Q816" i="1"/>
  <c r="C341" i="9"/>
  <c r="C514" i="1"/>
  <c r="G514" i="1" s="1"/>
  <c r="C712" i="1"/>
  <c r="E791" i="1"/>
  <c r="D268" i="9"/>
  <c r="BH71" i="1"/>
  <c r="C636" i="1" s="1"/>
  <c r="C85" i="9"/>
  <c r="C682" i="1"/>
  <c r="C510" i="1"/>
  <c r="G510" i="1" s="1"/>
  <c r="E807" i="1"/>
  <c r="BX71" i="1"/>
  <c r="C644" i="1" s="1"/>
  <c r="F332" i="9"/>
  <c r="I172" i="9"/>
  <c r="E775" i="1"/>
  <c r="AR71" i="1"/>
  <c r="C686" i="1"/>
  <c r="R71" i="1"/>
  <c r="D85" i="9" s="1"/>
  <c r="E749" i="1"/>
  <c r="C12" i="9"/>
  <c r="I140" i="9"/>
  <c r="E788" i="1"/>
  <c r="AW71" i="1"/>
  <c r="G213" i="9" s="1"/>
  <c r="E783" i="1"/>
  <c r="G544" i="10"/>
  <c r="H544" i="10"/>
  <c r="G503" i="10"/>
  <c r="H503" i="10"/>
  <c r="C428" i="10"/>
  <c r="C441" i="10" s="1"/>
  <c r="CE71" i="10"/>
  <c r="C648" i="10"/>
  <c r="M716" i="10" s="1"/>
  <c r="G512" i="10"/>
  <c r="H512" i="10"/>
  <c r="G529" i="10"/>
  <c r="H529" i="10" s="1"/>
  <c r="D710" i="10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2" i="10"/>
  <c r="D678" i="10"/>
  <c r="D674" i="10"/>
  <c r="D670" i="10"/>
  <c r="D647" i="10"/>
  <c r="D646" i="10"/>
  <c r="D645" i="10"/>
  <c r="D705" i="10"/>
  <c r="D689" i="10"/>
  <c r="D683" i="10"/>
  <c r="D679" i="10"/>
  <c r="D675" i="10"/>
  <c r="D671" i="10"/>
  <c r="D644" i="10"/>
  <c r="D643" i="10"/>
  <c r="D642" i="10"/>
  <c r="D641" i="10"/>
  <c r="D709" i="10"/>
  <c r="D693" i="10"/>
  <c r="D686" i="10"/>
  <c r="D684" i="10"/>
  <c r="D680" i="10"/>
  <c r="D676" i="10"/>
  <c r="D672" i="10"/>
  <c r="D697" i="10"/>
  <c r="D677" i="10"/>
  <c r="D669" i="10"/>
  <c r="D629" i="10"/>
  <c r="D626" i="10"/>
  <c r="D623" i="10"/>
  <c r="D621" i="10"/>
  <c r="D619" i="10"/>
  <c r="D617" i="10"/>
  <c r="D713" i="10"/>
  <c r="D681" i="10"/>
  <c r="D668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20" i="10"/>
  <c r="D616" i="10"/>
  <c r="D627" i="10"/>
  <c r="D685" i="10"/>
  <c r="D628" i="10"/>
  <c r="D622" i="10"/>
  <c r="D618" i="10"/>
  <c r="D673" i="10"/>
  <c r="G515" i="10"/>
  <c r="H515" i="10"/>
  <c r="G511" i="10"/>
  <c r="H511" i="10"/>
  <c r="P814" i="10"/>
  <c r="F814" i="10"/>
  <c r="G496" i="10"/>
  <c r="H496" i="10" s="1"/>
  <c r="G528" i="10"/>
  <c r="H528" i="10"/>
  <c r="G507" i="10"/>
  <c r="H507" i="10"/>
  <c r="C557" i="1"/>
  <c r="C637" i="1"/>
  <c r="H277" i="9"/>
  <c r="C675" i="1"/>
  <c r="C503" i="1"/>
  <c r="G503" i="1" s="1"/>
  <c r="C117" i="9"/>
  <c r="C517" i="1"/>
  <c r="G517" i="1" s="1"/>
  <c r="D140" i="9"/>
  <c r="AF71" i="1"/>
  <c r="I268" i="9"/>
  <c r="BM71" i="1"/>
  <c r="C638" i="1" s="1"/>
  <c r="C566" i="1"/>
  <c r="AN71" i="1"/>
  <c r="C44" i="9"/>
  <c r="E741" i="1"/>
  <c r="E779" i="1"/>
  <c r="AV71" i="1"/>
  <c r="F204" i="9"/>
  <c r="I332" i="9"/>
  <c r="CA71" i="1"/>
  <c r="E810" i="1"/>
  <c r="E742" i="1"/>
  <c r="D44" i="9"/>
  <c r="C332" i="9"/>
  <c r="E804" i="1"/>
  <c r="E373" i="9"/>
  <c r="C575" i="1"/>
  <c r="C677" i="1"/>
  <c r="E53" i="9"/>
  <c r="E762" i="1"/>
  <c r="C140" i="9"/>
  <c r="E752" i="10"/>
  <c r="C53" i="9"/>
  <c r="E277" i="9"/>
  <c r="AZ71" i="1"/>
  <c r="E771" i="1"/>
  <c r="D53" i="9"/>
  <c r="C504" i="1"/>
  <c r="G504" i="1" s="1"/>
  <c r="C496" i="1"/>
  <c r="G496" i="1" s="1"/>
  <c r="C668" i="1"/>
  <c r="C21" i="9"/>
  <c r="H140" i="9"/>
  <c r="AJ71" i="1"/>
  <c r="E764" i="1"/>
  <c r="AG71" i="1"/>
  <c r="C14" i="5"/>
  <c r="D428" i="1"/>
  <c r="D612" i="1"/>
  <c r="CF76" i="1"/>
  <c r="H52" i="1" s="1"/>
  <c r="H67" i="1" s="1"/>
  <c r="C634" i="1"/>
  <c r="H245" i="9"/>
  <c r="C550" i="1"/>
  <c r="G550" i="1" s="1"/>
  <c r="C640" i="1"/>
  <c r="C565" i="1"/>
  <c r="I309" i="9"/>
  <c r="D245" i="9"/>
  <c r="C630" i="1"/>
  <c r="E796" i="1"/>
  <c r="E795" i="1"/>
  <c r="H268" i="9"/>
  <c r="I71" i="1"/>
  <c r="E740" i="1"/>
  <c r="I12" i="9"/>
  <c r="BD71" i="1"/>
  <c r="C618" i="1"/>
  <c r="C552" i="1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C553" i="1"/>
  <c r="E772" i="1"/>
  <c r="F172" i="9"/>
  <c r="F11" i="6"/>
  <c r="C475" i="1"/>
  <c r="D300" i="9"/>
  <c r="E798" i="1"/>
  <c r="E759" i="1"/>
  <c r="AB71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CE62" i="1" s="1"/>
  <c r="P48" i="1"/>
  <c r="P62" i="1" s="1"/>
  <c r="BZ48" i="1"/>
  <c r="BZ62" i="1" s="1"/>
  <c r="AC48" i="1"/>
  <c r="AC62" i="1" s="1"/>
  <c r="H108" i="9" s="1"/>
  <c r="M48" i="1"/>
  <c r="M62" i="1" s="1"/>
  <c r="M71" i="1" s="1"/>
  <c r="BC48" i="1"/>
  <c r="BC62" i="1" s="1"/>
  <c r="AM48" i="1"/>
  <c r="AM62" i="1" s="1"/>
  <c r="C427" i="1"/>
  <c r="Y48" i="1"/>
  <c r="Y62" i="1" s="1"/>
  <c r="Y71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AH71" i="1"/>
  <c r="F140" i="9"/>
  <c r="D12" i="9"/>
  <c r="E735" i="1"/>
  <c r="D71" i="1"/>
  <c r="I108" i="9"/>
  <c r="E761" i="1"/>
  <c r="AD71" i="1"/>
  <c r="AT71" i="1"/>
  <c r="D204" i="9"/>
  <c r="E777" i="1"/>
  <c r="BJ71" i="1"/>
  <c r="F268" i="9"/>
  <c r="E793" i="1"/>
  <c r="G332" i="9"/>
  <c r="E808" i="1"/>
  <c r="BY71" i="1"/>
  <c r="E797" i="1"/>
  <c r="BN71" i="1"/>
  <c r="C300" i="9"/>
  <c r="E753" i="1"/>
  <c r="V71" i="1"/>
  <c r="H76" i="9"/>
  <c r="G172" i="9"/>
  <c r="E773" i="1"/>
  <c r="AP71" i="1"/>
  <c r="E789" i="1"/>
  <c r="BF71" i="1"/>
  <c r="I236" i="9"/>
  <c r="D332" i="9"/>
  <c r="E805" i="1"/>
  <c r="BV71" i="1"/>
  <c r="E781" i="1"/>
  <c r="AX71" i="1"/>
  <c r="H204" i="9"/>
  <c r="G44" i="9"/>
  <c r="E745" i="1"/>
  <c r="N71" i="1"/>
  <c r="C172" i="9"/>
  <c r="E769" i="1"/>
  <c r="AL71" i="1"/>
  <c r="E236" i="9"/>
  <c r="BB71" i="1"/>
  <c r="E785" i="1"/>
  <c r="E801" i="1"/>
  <c r="G300" i="9"/>
  <c r="BR71" i="1"/>
  <c r="E744" i="1"/>
  <c r="H44" i="9"/>
  <c r="O71" i="1"/>
  <c r="B446" i="1"/>
  <c r="D242" i="1"/>
  <c r="E779" i="10"/>
  <c r="E795" i="10"/>
  <c r="C702" i="1"/>
  <c r="C499" i="1"/>
  <c r="G499" i="1" s="1"/>
  <c r="AA71" i="1"/>
  <c r="F12" i="9"/>
  <c r="C561" i="1"/>
  <c r="C621" i="1"/>
  <c r="G140" i="9"/>
  <c r="AI71" i="1"/>
  <c r="E332" i="9"/>
  <c r="BW71" i="1"/>
  <c r="E12" i="9"/>
  <c r="E736" i="1"/>
  <c r="E71" i="1"/>
  <c r="E738" i="1"/>
  <c r="G71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D615" i="1"/>
  <c r="I149" i="9"/>
  <c r="C671" i="1"/>
  <c r="C505" i="1"/>
  <c r="G505" i="1" s="1"/>
  <c r="H309" i="9"/>
  <c r="C696" i="1"/>
  <c r="C149" i="9"/>
  <c r="C538" i="1"/>
  <c r="G538" i="1" s="1"/>
  <c r="AY71" i="1"/>
  <c r="E213" i="9"/>
  <c r="C689" i="1"/>
  <c r="E758" i="1"/>
  <c r="E806" i="1"/>
  <c r="G204" i="9"/>
  <c r="E778" i="1"/>
  <c r="E204" i="9"/>
  <c r="F7" i="6"/>
  <c r="E204" i="1"/>
  <c r="C468" i="1"/>
  <c r="I383" i="9"/>
  <c r="S816" i="1"/>
  <c r="D22" i="7"/>
  <c r="C40" i="5"/>
  <c r="N815" i="10"/>
  <c r="I76" i="9"/>
  <c r="E754" i="1"/>
  <c r="W71" i="1"/>
  <c r="C420" i="1"/>
  <c r="B28" i="4"/>
  <c r="N772" i="1"/>
  <c r="F186" i="9"/>
  <c r="E763" i="10"/>
  <c r="C564" i="1"/>
  <c r="E309" i="9"/>
  <c r="C534" i="1"/>
  <c r="G534" i="1" s="1"/>
  <c r="C706" i="1"/>
  <c r="E746" i="1"/>
  <c r="I204" i="9"/>
  <c r="H172" i="9"/>
  <c r="AQ71" i="1"/>
  <c r="AM52" i="1"/>
  <c r="AM67" i="1" s="1"/>
  <c r="BF52" i="1"/>
  <c r="BF67" i="1" s="1"/>
  <c r="BQ52" i="1"/>
  <c r="BQ67" i="1" s="1"/>
  <c r="BY52" i="1"/>
  <c r="BY67" i="1" s="1"/>
  <c r="AY52" i="1"/>
  <c r="AY67" i="1" s="1"/>
  <c r="BM52" i="1"/>
  <c r="BM67" i="1" s="1"/>
  <c r="AW52" i="1"/>
  <c r="AW67" i="1" s="1"/>
  <c r="T52" i="1"/>
  <c r="T67" i="1" s="1"/>
  <c r="BN52" i="1"/>
  <c r="BN67" i="1" s="1"/>
  <c r="AK52" i="1"/>
  <c r="AK67" i="1" s="1"/>
  <c r="BV52" i="1"/>
  <c r="BV67" i="1" s="1"/>
  <c r="D52" i="1"/>
  <c r="D67" i="1" s="1"/>
  <c r="BE52" i="1"/>
  <c r="BE67" i="1" s="1"/>
  <c r="AX52" i="1"/>
  <c r="AX67" i="1" s="1"/>
  <c r="G52" i="1"/>
  <c r="G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CC71" i="1"/>
  <c r="D464" i="1"/>
  <c r="K815" i="1"/>
  <c r="H154" i="9"/>
  <c r="N767" i="1"/>
  <c r="I367" i="9"/>
  <c r="H816" i="1"/>
  <c r="M815" i="1"/>
  <c r="E733" i="10"/>
  <c r="BO71" i="1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C562" i="1" l="1"/>
  <c r="C623" i="1"/>
  <c r="E117" i="9"/>
  <c r="F44" i="9"/>
  <c r="E756" i="1"/>
  <c r="C519" i="1"/>
  <c r="G519" i="1" s="1"/>
  <c r="H71" i="1"/>
  <c r="D108" i="9"/>
  <c r="I364" i="9"/>
  <c r="E816" i="1"/>
  <c r="CE71" i="1"/>
  <c r="C716" i="1" s="1"/>
  <c r="C428" i="1"/>
  <c r="C441" i="1" s="1"/>
  <c r="CE48" i="1"/>
  <c r="I277" i="9"/>
  <c r="C558" i="1"/>
  <c r="C631" i="1"/>
  <c r="C542" i="1"/>
  <c r="BR52" i="1"/>
  <c r="BR67" i="1" s="1"/>
  <c r="AA52" i="1"/>
  <c r="AA67" i="1" s="1"/>
  <c r="J758" i="1" s="1"/>
  <c r="M52" i="1"/>
  <c r="M67" i="1" s="1"/>
  <c r="F49" i="9" s="1"/>
  <c r="CB52" i="1"/>
  <c r="CB67" i="1" s="1"/>
  <c r="F52" i="1"/>
  <c r="F67" i="1" s="1"/>
  <c r="BD52" i="1"/>
  <c r="BD67" i="1" s="1"/>
  <c r="J787" i="1" s="1"/>
  <c r="D277" i="9"/>
  <c r="BP52" i="1"/>
  <c r="BP67" i="1" s="1"/>
  <c r="AN52" i="1"/>
  <c r="AN67" i="1" s="1"/>
  <c r="J771" i="1" s="1"/>
  <c r="J52" i="1"/>
  <c r="J67" i="1" s="1"/>
  <c r="AG52" i="1"/>
  <c r="AG67" i="1" s="1"/>
  <c r="AH52" i="1"/>
  <c r="AH67" i="1" s="1"/>
  <c r="F145" i="9" s="1"/>
  <c r="BO52" i="1"/>
  <c r="BO67" i="1" s="1"/>
  <c r="AF52" i="1"/>
  <c r="AF67" i="1" s="1"/>
  <c r="D145" i="9" s="1"/>
  <c r="BX52" i="1"/>
  <c r="BX67" i="1" s="1"/>
  <c r="J807" i="1" s="1"/>
  <c r="P52" i="1"/>
  <c r="P67" i="1" s="1"/>
  <c r="BT52" i="1"/>
  <c r="BT67" i="1" s="1"/>
  <c r="AJ52" i="1"/>
  <c r="AJ67" i="1" s="1"/>
  <c r="H145" i="9" s="1"/>
  <c r="AB52" i="1"/>
  <c r="AB67" i="1" s="1"/>
  <c r="G113" i="9" s="1"/>
  <c r="V52" i="1"/>
  <c r="V67" i="1" s="1"/>
  <c r="J753" i="1" s="1"/>
  <c r="C511" i="1"/>
  <c r="G511" i="1" s="1"/>
  <c r="C683" i="1"/>
  <c r="C537" i="1"/>
  <c r="G537" i="1" s="1"/>
  <c r="C709" i="1"/>
  <c r="I181" i="9"/>
  <c r="C569" i="1"/>
  <c r="F341" i="9"/>
  <c r="E811" i="1"/>
  <c r="E612" i="10"/>
  <c r="D715" i="10"/>
  <c r="C716" i="10"/>
  <c r="M815" i="10"/>
  <c r="E623" i="10"/>
  <c r="F76" i="9"/>
  <c r="E751" i="1"/>
  <c r="T71" i="1"/>
  <c r="C549" i="1"/>
  <c r="G245" i="9"/>
  <c r="C624" i="1"/>
  <c r="I49" i="9"/>
  <c r="J747" i="1"/>
  <c r="J798" i="1"/>
  <c r="D305" i="9"/>
  <c r="H17" i="9"/>
  <c r="J739" i="1"/>
  <c r="C698" i="1"/>
  <c r="C526" i="1"/>
  <c r="G526" i="1" s="1"/>
  <c r="E149" i="9"/>
  <c r="C572" i="1"/>
  <c r="I341" i="9"/>
  <c r="C647" i="1"/>
  <c r="C705" i="1"/>
  <c r="E181" i="9"/>
  <c r="C533" i="1"/>
  <c r="G533" i="1" s="1"/>
  <c r="J806" i="10"/>
  <c r="J776" i="10"/>
  <c r="J755" i="10"/>
  <c r="N815" i="1"/>
  <c r="J759" i="1"/>
  <c r="F511" i="1"/>
  <c r="H501" i="1"/>
  <c r="F501" i="1"/>
  <c r="F497" i="1"/>
  <c r="H497" i="1"/>
  <c r="E750" i="1"/>
  <c r="E76" i="9"/>
  <c r="S71" i="1"/>
  <c r="AM71" i="1"/>
  <c r="D172" i="9"/>
  <c r="E770" i="1"/>
  <c r="H332" i="9"/>
  <c r="BZ71" i="1"/>
  <c r="E809" i="1"/>
  <c r="BC52" i="1"/>
  <c r="BC67" i="1" s="1"/>
  <c r="AP52" i="1"/>
  <c r="AP67" i="1" s="1"/>
  <c r="AU52" i="1"/>
  <c r="AU67" i="1" s="1"/>
  <c r="U52" i="1"/>
  <c r="U67" i="1" s="1"/>
  <c r="Y52" i="1"/>
  <c r="Y67" i="1" s="1"/>
  <c r="S52" i="1"/>
  <c r="S67" i="1" s="1"/>
  <c r="R52" i="1"/>
  <c r="R67" i="1" s="1"/>
  <c r="Z52" i="1"/>
  <c r="Z67" i="1" s="1"/>
  <c r="BB52" i="1"/>
  <c r="BB67" i="1" s="1"/>
  <c r="L52" i="1"/>
  <c r="L67" i="1" s="1"/>
  <c r="BA52" i="1"/>
  <c r="BA67" i="1" s="1"/>
  <c r="AV52" i="1"/>
  <c r="AV67" i="1" s="1"/>
  <c r="AL52" i="1"/>
  <c r="AL67" i="1" s="1"/>
  <c r="CC52" i="1"/>
  <c r="CC67" i="1" s="1"/>
  <c r="AC52" i="1"/>
  <c r="AC67" i="1" s="1"/>
  <c r="BS52" i="1"/>
  <c r="BS67" i="1" s="1"/>
  <c r="AO52" i="1"/>
  <c r="AO67" i="1" s="1"/>
  <c r="AI52" i="1"/>
  <c r="AI67" i="1" s="1"/>
  <c r="W52" i="1"/>
  <c r="W67" i="1" s="1"/>
  <c r="AS52" i="1"/>
  <c r="AS67" i="1" s="1"/>
  <c r="AQ52" i="1"/>
  <c r="AQ67" i="1" s="1"/>
  <c r="AR52" i="1"/>
  <c r="AR67" i="1" s="1"/>
  <c r="AZ52" i="1"/>
  <c r="AZ67" i="1" s="1"/>
  <c r="N52" i="1"/>
  <c r="N67" i="1" s="1"/>
  <c r="CA52" i="1"/>
  <c r="CA67" i="1" s="1"/>
  <c r="BU52" i="1"/>
  <c r="BU67" i="1" s="1"/>
  <c r="AD52" i="1"/>
  <c r="AD67" i="1" s="1"/>
  <c r="AT52" i="1"/>
  <c r="AT67" i="1" s="1"/>
  <c r="E760" i="1"/>
  <c r="F236" i="9"/>
  <c r="E786" i="1"/>
  <c r="BC71" i="1"/>
  <c r="I44" i="9"/>
  <c r="E747" i="1"/>
  <c r="P71" i="1"/>
  <c r="G268" i="9"/>
  <c r="E794" i="1"/>
  <c r="BK71" i="1"/>
  <c r="F337" i="9"/>
  <c r="BG52" i="1"/>
  <c r="BG67" i="1" s="1"/>
  <c r="Q52" i="1"/>
  <c r="Q67" i="1" s="1"/>
  <c r="BK52" i="1"/>
  <c r="BK67" i="1" s="1"/>
  <c r="O52" i="1"/>
  <c r="O67" i="1" s="1"/>
  <c r="BW52" i="1"/>
  <c r="BW67" i="1" s="1"/>
  <c r="BI52" i="1"/>
  <c r="BI67" i="1" s="1"/>
  <c r="K52" i="1"/>
  <c r="K67" i="1" s="1"/>
  <c r="H149" i="9"/>
  <c r="C701" i="1"/>
  <c r="C529" i="1"/>
  <c r="G529" i="1" s="1"/>
  <c r="C245" i="9"/>
  <c r="C628" i="1"/>
  <c r="C545" i="1"/>
  <c r="G545" i="1" s="1"/>
  <c r="D465" i="1"/>
  <c r="AC71" i="1"/>
  <c r="C522" i="1" s="1"/>
  <c r="G522" i="1" s="1"/>
  <c r="CB71" i="1"/>
  <c r="C622" i="1" s="1"/>
  <c r="F505" i="1"/>
  <c r="H505" i="1"/>
  <c r="F499" i="1"/>
  <c r="H499" i="1"/>
  <c r="C518" i="1"/>
  <c r="G518" i="1" s="1"/>
  <c r="D117" i="9"/>
  <c r="C690" i="1"/>
  <c r="E739" i="1"/>
  <c r="E815" i="1" s="1"/>
  <c r="H12" i="9"/>
  <c r="C521" i="1"/>
  <c r="G521" i="1" s="1"/>
  <c r="G117" i="9"/>
  <c r="C693" i="1"/>
  <c r="C502" i="1"/>
  <c r="G502" i="1" s="1"/>
  <c r="C674" i="1"/>
  <c r="I21" i="9"/>
  <c r="E52" i="1"/>
  <c r="E67" i="1" s="1"/>
  <c r="X52" i="1"/>
  <c r="X67" i="1" s="1"/>
  <c r="BH52" i="1"/>
  <c r="BH67" i="1" s="1"/>
  <c r="I52" i="1"/>
  <c r="I67" i="1" s="1"/>
  <c r="BJ52" i="1"/>
  <c r="BJ67" i="1" s="1"/>
  <c r="BZ52" i="1"/>
  <c r="BZ67" i="1" s="1"/>
  <c r="C52" i="1"/>
  <c r="AE52" i="1"/>
  <c r="AE67" i="1" s="1"/>
  <c r="BL52" i="1"/>
  <c r="BL67" i="1" s="1"/>
  <c r="C541" i="1"/>
  <c r="C713" i="1"/>
  <c r="F213" i="9"/>
  <c r="C697" i="1"/>
  <c r="D149" i="9"/>
  <c r="C525" i="1"/>
  <c r="G525" i="1" s="1"/>
  <c r="E758" i="10"/>
  <c r="E774" i="10"/>
  <c r="E798" i="10"/>
  <c r="J738" i="1"/>
  <c r="G17" i="9"/>
  <c r="I273" i="9"/>
  <c r="J796" i="1"/>
  <c r="D672" i="1"/>
  <c r="D687" i="1"/>
  <c r="D684" i="1"/>
  <c r="D629" i="1"/>
  <c r="D710" i="1"/>
  <c r="D644" i="1"/>
  <c r="D632" i="1"/>
  <c r="D671" i="1"/>
  <c r="D626" i="1"/>
  <c r="D692" i="1"/>
  <c r="D642" i="1"/>
  <c r="D620" i="1"/>
  <c r="D668" i="1"/>
  <c r="D645" i="1"/>
  <c r="D617" i="1"/>
  <c r="D634" i="1"/>
  <c r="D641" i="1"/>
  <c r="D622" i="1"/>
  <c r="D674" i="1"/>
  <c r="D669" i="1"/>
  <c r="D680" i="1"/>
  <c r="D704" i="1"/>
  <c r="D697" i="1"/>
  <c r="D638" i="1"/>
  <c r="D633" i="1"/>
  <c r="D700" i="1"/>
  <c r="D716" i="1"/>
  <c r="D691" i="1"/>
  <c r="D643" i="1"/>
  <c r="D639" i="1"/>
  <c r="D685" i="1"/>
  <c r="D703" i="1"/>
  <c r="D646" i="1"/>
  <c r="D623" i="1"/>
  <c r="D709" i="1"/>
  <c r="D673" i="1"/>
  <c r="D619" i="1"/>
  <c r="D628" i="1"/>
  <c r="D690" i="1"/>
  <c r="D670" i="1"/>
  <c r="D708" i="1"/>
  <c r="D686" i="1"/>
  <c r="D636" i="1"/>
  <c r="D677" i="1"/>
  <c r="D695" i="1"/>
  <c r="D705" i="1"/>
  <c r="D707" i="1"/>
  <c r="D627" i="1"/>
  <c r="D688" i="1"/>
  <c r="D699" i="1"/>
  <c r="D702" i="1"/>
  <c r="D640" i="1"/>
  <c r="D683" i="1"/>
  <c r="D711" i="1"/>
  <c r="D637" i="1"/>
  <c r="D621" i="1"/>
  <c r="D679" i="1"/>
  <c r="D675" i="1"/>
  <c r="D713" i="1"/>
  <c r="D689" i="1"/>
  <c r="D624" i="1"/>
  <c r="D631" i="1"/>
  <c r="D694" i="1"/>
  <c r="D712" i="1"/>
  <c r="D693" i="1"/>
  <c r="D630" i="1"/>
  <c r="D698" i="1"/>
  <c r="D701" i="1"/>
  <c r="D625" i="1"/>
  <c r="D706" i="1"/>
  <c r="D647" i="1"/>
  <c r="D678" i="1"/>
  <c r="D618" i="1"/>
  <c r="D682" i="1"/>
  <c r="D616" i="1"/>
  <c r="D696" i="1"/>
  <c r="D681" i="1"/>
  <c r="D676" i="1"/>
  <c r="D635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F520" i="1"/>
  <c r="D341" i="1"/>
  <c r="C481" i="1" s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H117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C536" i="1"/>
  <c r="G536" i="1" s="1"/>
  <c r="H181" i="9"/>
  <c r="C708" i="1"/>
  <c r="J748" i="10"/>
  <c r="J763" i="10"/>
  <c r="J795" i="10"/>
  <c r="C102" i="8"/>
  <c r="C482" i="1"/>
  <c r="C498" i="1"/>
  <c r="G498" i="1" s="1"/>
  <c r="E21" i="9"/>
  <c r="C670" i="1"/>
  <c r="C687" i="1"/>
  <c r="C515" i="1"/>
  <c r="G515" i="1" s="1"/>
  <c r="H85" i="9"/>
  <c r="E760" i="10"/>
  <c r="E770" i="10"/>
  <c r="E786" i="10"/>
  <c r="E802" i="10"/>
  <c r="E810" i="10"/>
  <c r="F498" i="1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E782" i="10"/>
  <c r="E806" i="10"/>
  <c r="F516" i="1"/>
  <c r="H516" i="1"/>
  <c r="J735" i="1"/>
  <c r="D17" i="9"/>
  <c r="J800" i="1"/>
  <c r="F305" i="9"/>
  <c r="J771" i="10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H524" i="1"/>
  <c r="F524" i="1"/>
  <c r="F550" i="1"/>
  <c r="H550" i="1"/>
  <c r="E815" i="10"/>
  <c r="G305" i="9"/>
  <c r="J801" i="1"/>
  <c r="F113" i="9"/>
  <c r="C369" i="9"/>
  <c r="J811" i="1"/>
  <c r="F17" i="9"/>
  <c r="J737" i="1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I373" i="9" l="1"/>
  <c r="E623" i="1"/>
  <c r="G241" i="9"/>
  <c r="C373" i="9"/>
  <c r="E177" i="9"/>
  <c r="J744" i="1"/>
  <c r="J763" i="1"/>
  <c r="C694" i="1"/>
  <c r="D715" i="1"/>
  <c r="J767" i="1"/>
  <c r="J765" i="1"/>
  <c r="H81" i="9"/>
  <c r="J799" i="1"/>
  <c r="E305" i="9"/>
  <c r="J803" i="1"/>
  <c r="I305" i="9"/>
  <c r="C49" i="9"/>
  <c r="J741" i="1"/>
  <c r="H520" i="1"/>
  <c r="J764" i="1"/>
  <c r="E145" i="9"/>
  <c r="H511" i="1"/>
  <c r="H498" i="1"/>
  <c r="H528" i="1"/>
  <c r="H544" i="1"/>
  <c r="E716" i="10"/>
  <c r="E711" i="10"/>
  <c r="E707" i="10"/>
  <c r="E703" i="10"/>
  <c r="E699" i="10"/>
  <c r="E695" i="10"/>
  <c r="E691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87" i="10"/>
  <c r="E683" i="10"/>
  <c r="E679" i="10"/>
  <c r="E675" i="10"/>
  <c r="E671" i="10"/>
  <c r="E644" i="10"/>
  <c r="E643" i="10"/>
  <c r="E642" i="10"/>
  <c r="E641" i="10"/>
  <c r="E702" i="10"/>
  <c r="E686" i="10"/>
  <c r="E684" i="10"/>
  <c r="E680" i="10"/>
  <c r="E676" i="10"/>
  <c r="E672" i="10"/>
  <c r="E668" i="10"/>
  <c r="E706" i="10"/>
  <c r="E690" i="10"/>
  <c r="E681" i="10"/>
  <c r="E677" i="10"/>
  <c r="E673" i="10"/>
  <c r="E674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78" i="10"/>
  <c r="E628" i="10"/>
  <c r="E670" i="10"/>
  <c r="E647" i="10"/>
  <c r="E645" i="10"/>
  <c r="E627" i="10"/>
  <c r="E710" i="10"/>
  <c r="E694" i="10"/>
  <c r="E682" i="10"/>
  <c r="E646" i="10"/>
  <c r="E669" i="10"/>
  <c r="E629" i="10"/>
  <c r="E626" i="10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H510" i="1"/>
  <c r="F513" i="1"/>
  <c r="H513" i="1"/>
  <c r="C142" i="8"/>
  <c r="D393" i="1"/>
  <c r="E716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C715" i="1" l="1"/>
  <c r="E612" i="1"/>
  <c r="E639" i="1" s="1"/>
  <c r="C648" i="1"/>
  <c r="M716" i="1" s="1"/>
  <c r="Y816" i="1" s="1"/>
  <c r="H512" i="1"/>
  <c r="E715" i="10"/>
  <c r="F624" i="10"/>
  <c r="J734" i="1"/>
  <c r="J815" i="1" s="1"/>
  <c r="CE67" i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E632" i="1" l="1"/>
  <c r="E672" i="1"/>
  <c r="E689" i="1"/>
  <c r="E637" i="1"/>
  <c r="E706" i="1"/>
  <c r="E691" i="1"/>
  <c r="E679" i="1"/>
  <c r="E644" i="1"/>
  <c r="E686" i="1"/>
  <c r="E697" i="1"/>
  <c r="E709" i="1"/>
  <c r="E673" i="1"/>
  <c r="E668" i="1"/>
  <c r="E694" i="1"/>
  <c r="E678" i="1"/>
  <c r="E625" i="1"/>
  <c r="E669" i="1"/>
  <c r="E645" i="1"/>
  <c r="E712" i="1"/>
  <c r="E677" i="1"/>
  <c r="E641" i="1"/>
  <c r="E640" i="1"/>
  <c r="E628" i="1"/>
  <c r="E681" i="1"/>
  <c r="E683" i="1"/>
  <c r="E670" i="1"/>
  <c r="E705" i="1"/>
  <c r="E704" i="1"/>
  <c r="E676" i="1"/>
  <c r="E634" i="1"/>
  <c r="E626" i="1"/>
  <c r="E627" i="1"/>
  <c r="E708" i="1"/>
  <c r="E682" i="1"/>
  <c r="E688" i="1"/>
  <c r="E698" i="1"/>
  <c r="E633" i="1"/>
  <c r="E680" i="1"/>
  <c r="E642" i="1"/>
  <c r="E636" i="1"/>
  <c r="E693" i="1"/>
  <c r="E711" i="1"/>
  <c r="E707" i="1"/>
  <c r="E696" i="1"/>
  <c r="E643" i="1"/>
  <c r="E703" i="1"/>
  <c r="E685" i="1"/>
  <c r="E700" i="1"/>
  <c r="E647" i="1"/>
  <c r="E646" i="1"/>
  <c r="E690" i="1"/>
  <c r="E671" i="1"/>
  <c r="E675" i="1"/>
  <c r="E692" i="1"/>
  <c r="E631" i="1"/>
  <c r="E630" i="1"/>
  <c r="E699" i="1"/>
  <c r="E687" i="1"/>
  <c r="E713" i="1"/>
  <c r="E624" i="1"/>
  <c r="F624" i="1" s="1"/>
  <c r="E684" i="1"/>
  <c r="E701" i="1"/>
  <c r="E674" i="1"/>
  <c r="E702" i="1"/>
  <c r="E695" i="1"/>
  <c r="E635" i="1"/>
  <c r="E638" i="1"/>
  <c r="E629" i="1"/>
  <c r="E710" i="1"/>
  <c r="F712" i="10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4" i="10"/>
  <c r="F680" i="10"/>
  <c r="F676" i="10"/>
  <c r="F672" i="10"/>
  <c r="F668" i="10"/>
  <c r="F716" i="10"/>
  <c r="F699" i="10"/>
  <c r="F681" i="10"/>
  <c r="F677" i="10"/>
  <c r="F673" i="10"/>
  <c r="F669" i="10"/>
  <c r="F703" i="10"/>
  <c r="F682" i="10"/>
  <c r="F678" i="10"/>
  <c r="F674" i="10"/>
  <c r="F691" i="10"/>
  <c r="F671" i="10"/>
  <c r="F628" i="10"/>
  <c r="F707" i="10"/>
  <c r="F675" i="10"/>
  <c r="F670" i="10"/>
  <c r="F647" i="10"/>
  <c r="F646" i="10"/>
  <c r="F645" i="10"/>
  <c r="F627" i="10"/>
  <c r="F643" i="10"/>
  <c r="F641" i="10"/>
  <c r="F687" i="10"/>
  <c r="F683" i="10"/>
  <c r="F625" i="10"/>
  <c r="F679" i="10"/>
  <c r="F644" i="10"/>
  <c r="F642" i="10"/>
  <c r="F629" i="10"/>
  <c r="F626" i="10"/>
  <c r="F638" i="10"/>
  <c r="F634" i="10"/>
  <c r="F630" i="10"/>
  <c r="F637" i="10"/>
  <c r="F633" i="10"/>
  <c r="F640" i="10"/>
  <c r="F636" i="10"/>
  <c r="F632" i="10"/>
  <c r="F639" i="10"/>
  <c r="F635" i="10"/>
  <c r="F631" i="10"/>
  <c r="C433" i="1"/>
  <c r="J816" i="1"/>
  <c r="I369" i="9"/>
  <c r="J815" i="10"/>
  <c r="F632" i="1" l="1"/>
  <c r="F707" i="1"/>
  <c r="F641" i="1"/>
  <c r="F693" i="1"/>
  <c r="F629" i="1"/>
  <c r="F642" i="1"/>
  <c r="F626" i="1"/>
  <c r="F672" i="1"/>
  <c r="F637" i="1"/>
  <c r="F644" i="1"/>
  <c r="F678" i="1"/>
  <c r="F694" i="1"/>
  <c r="F677" i="1"/>
  <c r="F639" i="1"/>
  <c r="F635" i="1"/>
  <c r="F673" i="1"/>
  <c r="F705" i="1"/>
  <c r="F685" i="1"/>
  <c r="F716" i="1"/>
  <c r="F689" i="1"/>
  <c r="F675" i="1"/>
  <c r="F711" i="1"/>
  <c r="F634" i="1"/>
  <c r="F676" i="1"/>
  <c r="F704" i="1"/>
  <c r="F627" i="1"/>
  <c r="F700" i="1"/>
  <c r="F674" i="1"/>
  <c r="F713" i="1"/>
  <c r="F709" i="1"/>
  <c r="F683" i="1"/>
  <c r="F625" i="1"/>
  <c r="F643" i="1"/>
  <c r="F681" i="1"/>
  <c r="F680" i="1"/>
  <c r="F703" i="1"/>
  <c r="F631" i="1"/>
  <c r="F687" i="1"/>
  <c r="F696" i="1"/>
  <c r="F640" i="1"/>
  <c r="F646" i="1"/>
  <c r="F645" i="1"/>
  <c r="F695" i="1"/>
  <c r="F706" i="1"/>
  <c r="F691" i="1"/>
  <c r="F636" i="1"/>
  <c r="F638" i="1"/>
  <c r="F710" i="1"/>
  <c r="F670" i="1"/>
  <c r="F684" i="1"/>
  <c r="F697" i="1"/>
  <c r="F668" i="1"/>
  <c r="F628" i="1"/>
  <c r="F671" i="1"/>
  <c r="F688" i="1"/>
  <c r="F708" i="1"/>
  <c r="F679" i="1"/>
  <c r="F682" i="1"/>
  <c r="F630" i="1"/>
  <c r="F692" i="1"/>
  <c r="F712" i="1"/>
  <c r="F701" i="1"/>
  <c r="F633" i="1"/>
  <c r="F686" i="1"/>
  <c r="F690" i="1"/>
  <c r="F698" i="1"/>
  <c r="F647" i="1"/>
  <c r="F702" i="1"/>
  <c r="F669" i="1"/>
  <c r="F699" i="1"/>
  <c r="E715" i="1"/>
  <c r="F715" i="10"/>
  <c r="G625" i="10"/>
  <c r="F715" i="1" l="1"/>
  <c r="G625" i="1"/>
  <c r="G713" i="10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1" i="10"/>
  <c r="G677" i="10"/>
  <c r="G673" i="10"/>
  <c r="G669" i="10"/>
  <c r="G712" i="10"/>
  <c r="G696" i="10"/>
  <c r="G682" i="10"/>
  <c r="G678" i="10"/>
  <c r="G674" i="10"/>
  <c r="G670" i="10"/>
  <c r="G647" i="10"/>
  <c r="G646" i="10"/>
  <c r="G645" i="10"/>
  <c r="G700" i="10"/>
  <c r="G685" i="10"/>
  <c r="G683" i="10"/>
  <c r="G679" i="10"/>
  <c r="G675" i="10"/>
  <c r="G671" i="10"/>
  <c r="G684" i="10"/>
  <c r="G668" i="10"/>
  <c r="G627" i="10"/>
  <c r="G672" i="10"/>
  <c r="G644" i="10"/>
  <c r="G643" i="10"/>
  <c r="G642" i="10"/>
  <c r="G641" i="10"/>
  <c r="G629" i="10"/>
  <c r="G626" i="10"/>
  <c r="G688" i="10"/>
  <c r="G680" i="10"/>
  <c r="G628" i="10"/>
  <c r="H628" i="10" s="1"/>
  <c r="G704" i="10"/>
  <c r="G676" i="10"/>
  <c r="G640" i="10"/>
  <c r="G639" i="10"/>
  <c r="G638" i="10"/>
  <c r="G637" i="10"/>
  <c r="G636" i="10"/>
  <c r="G635" i="10"/>
  <c r="G634" i="10"/>
  <c r="G633" i="10"/>
  <c r="G632" i="10"/>
  <c r="G631" i="10"/>
  <c r="G630" i="10"/>
  <c r="G644" i="1" l="1"/>
  <c r="G702" i="1"/>
  <c r="G645" i="1"/>
  <c r="G626" i="1"/>
  <c r="G628" i="1"/>
  <c r="G696" i="1"/>
  <c r="G705" i="1"/>
  <c r="G671" i="1"/>
  <c r="G681" i="1"/>
  <c r="G642" i="1"/>
  <c r="G630" i="1"/>
  <c r="G673" i="1"/>
  <c r="G677" i="1"/>
  <c r="G668" i="1"/>
  <c r="G704" i="1"/>
  <c r="G713" i="1"/>
  <c r="G708" i="1"/>
  <c r="G695" i="1"/>
  <c r="G634" i="1"/>
  <c r="G709" i="1"/>
  <c r="G672" i="1"/>
  <c r="G703" i="1"/>
  <c r="G627" i="1"/>
  <c r="G684" i="1"/>
  <c r="G716" i="1"/>
  <c r="G633" i="1"/>
  <c r="G693" i="1"/>
  <c r="G643" i="1"/>
  <c r="G688" i="1"/>
  <c r="G710" i="1"/>
  <c r="G706" i="1"/>
  <c r="G639" i="1"/>
  <c r="G700" i="1"/>
  <c r="G679" i="1"/>
  <c r="G631" i="1"/>
  <c r="G637" i="1"/>
  <c r="G697" i="1"/>
  <c r="G641" i="1"/>
  <c r="G711" i="1"/>
  <c r="G646" i="1"/>
  <c r="G707" i="1"/>
  <c r="G687" i="1"/>
  <c r="G682" i="1"/>
  <c r="G680" i="1"/>
  <c r="G698" i="1"/>
  <c r="G678" i="1"/>
  <c r="G638" i="1"/>
  <c r="G669" i="1"/>
  <c r="G640" i="1"/>
  <c r="G689" i="1"/>
  <c r="G674" i="1"/>
  <c r="G632" i="1"/>
  <c r="G686" i="1"/>
  <c r="G629" i="1"/>
  <c r="G712" i="1"/>
  <c r="G691" i="1"/>
  <c r="G692" i="1"/>
  <c r="G683" i="1"/>
  <c r="G675" i="1"/>
  <c r="G635" i="1"/>
  <c r="G699" i="1"/>
  <c r="G690" i="1"/>
  <c r="G636" i="1"/>
  <c r="G676" i="1"/>
  <c r="G694" i="1"/>
  <c r="G670" i="1"/>
  <c r="G701" i="1"/>
  <c r="G647" i="1"/>
  <c r="G685" i="1"/>
  <c r="H710" i="10"/>
  <c r="H706" i="10"/>
  <c r="H702" i="10"/>
  <c r="H698" i="10"/>
  <c r="H694" i="10"/>
  <c r="H690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6" i="10"/>
  <c r="H682" i="10"/>
  <c r="H678" i="10"/>
  <c r="H674" i="10"/>
  <c r="H670" i="10"/>
  <c r="H647" i="10"/>
  <c r="H646" i="10"/>
  <c r="H645" i="10"/>
  <c r="H709" i="10"/>
  <c r="H693" i="10"/>
  <c r="H685" i="10"/>
  <c r="H683" i="10"/>
  <c r="H679" i="10"/>
  <c r="H675" i="10"/>
  <c r="H671" i="10"/>
  <c r="H644" i="10"/>
  <c r="H643" i="10"/>
  <c r="H642" i="10"/>
  <c r="H641" i="10"/>
  <c r="H640" i="10"/>
  <c r="H713" i="10"/>
  <c r="H697" i="10"/>
  <c r="H684" i="10"/>
  <c r="H680" i="10"/>
  <c r="H676" i="10"/>
  <c r="H672" i="10"/>
  <c r="H681" i="10"/>
  <c r="H629" i="10"/>
  <c r="H701" i="10"/>
  <c r="H639" i="10"/>
  <c r="H638" i="10"/>
  <c r="H637" i="10"/>
  <c r="H636" i="10"/>
  <c r="H635" i="10"/>
  <c r="H634" i="10"/>
  <c r="H633" i="10"/>
  <c r="H632" i="10"/>
  <c r="H631" i="10"/>
  <c r="H630" i="10"/>
  <c r="H677" i="10"/>
  <c r="H668" i="10"/>
  <c r="H673" i="10"/>
  <c r="H669" i="10"/>
  <c r="G715" i="10"/>
  <c r="G715" i="1" l="1"/>
  <c r="H628" i="1"/>
  <c r="H715" i="10"/>
  <c r="I629" i="10"/>
  <c r="H643" i="1" l="1"/>
  <c r="H684" i="1"/>
  <c r="H678" i="1"/>
  <c r="H630" i="1"/>
  <c r="H706" i="1"/>
  <c r="H671" i="1"/>
  <c r="H645" i="1"/>
  <c r="H647" i="1"/>
  <c r="H641" i="1"/>
  <c r="H677" i="1"/>
  <c r="H694" i="1"/>
  <c r="H679" i="1"/>
  <c r="H682" i="1"/>
  <c r="H696" i="1"/>
  <c r="H700" i="1"/>
  <c r="H639" i="1"/>
  <c r="H708" i="1"/>
  <c r="H690" i="1"/>
  <c r="H688" i="1"/>
  <c r="H632" i="1"/>
  <c r="H689" i="1"/>
  <c r="H680" i="1"/>
  <c r="H668" i="1"/>
  <c r="H672" i="1"/>
  <c r="H712" i="1"/>
  <c r="H692" i="1"/>
  <c r="H676" i="1"/>
  <c r="H711" i="1"/>
  <c r="H637" i="1"/>
  <c r="H697" i="1"/>
  <c r="H681" i="1"/>
  <c r="H685" i="1"/>
  <c r="H683" i="1"/>
  <c r="H673" i="1"/>
  <c r="H675" i="1"/>
  <c r="H635" i="1"/>
  <c r="H709" i="1"/>
  <c r="H634" i="1"/>
  <c r="H670" i="1"/>
  <c r="H707" i="1"/>
  <c r="H701" i="1"/>
  <c r="H686" i="1"/>
  <c r="H636" i="1"/>
  <c r="H705" i="1"/>
  <c r="H704" i="1"/>
  <c r="H631" i="1"/>
  <c r="H699" i="1"/>
  <c r="H687" i="1"/>
  <c r="H629" i="1"/>
  <c r="H695" i="1"/>
  <c r="H698" i="1"/>
  <c r="H646" i="1"/>
  <c r="H642" i="1"/>
  <c r="H702" i="1"/>
  <c r="H691" i="1"/>
  <c r="H640" i="1"/>
  <c r="H669" i="1"/>
  <c r="H713" i="1"/>
  <c r="H633" i="1"/>
  <c r="H674" i="1"/>
  <c r="H716" i="1"/>
  <c r="H703" i="1"/>
  <c r="H644" i="1"/>
  <c r="H710" i="1"/>
  <c r="H693" i="1"/>
  <c r="H638" i="1"/>
  <c r="I716" i="10"/>
  <c r="I711" i="10"/>
  <c r="I707" i="10"/>
  <c r="I703" i="10"/>
  <c r="I699" i="10"/>
  <c r="I695" i="10"/>
  <c r="I691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3" i="10"/>
  <c r="I679" i="10"/>
  <c r="I675" i="10"/>
  <c r="I671" i="10"/>
  <c r="I644" i="10"/>
  <c r="I643" i="10"/>
  <c r="I642" i="10"/>
  <c r="I641" i="10"/>
  <c r="I706" i="10"/>
  <c r="I690" i="10"/>
  <c r="I684" i="10"/>
  <c r="I680" i="10"/>
  <c r="I676" i="10"/>
  <c r="I672" i="10"/>
  <c r="I668" i="10"/>
  <c r="I710" i="10"/>
  <c r="I694" i="10"/>
  <c r="I687" i="10"/>
  <c r="I681" i="10"/>
  <c r="I677" i="10"/>
  <c r="I673" i="10"/>
  <c r="I686" i="10"/>
  <c r="I678" i="10"/>
  <c r="I670" i="10"/>
  <c r="I647" i="10"/>
  <c r="I646" i="10"/>
  <c r="I645" i="10"/>
  <c r="I639" i="10"/>
  <c r="I638" i="10"/>
  <c r="I637" i="10"/>
  <c r="I636" i="10"/>
  <c r="I635" i="10"/>
  <c r="I634" i="10"/>
  <c r="I633" i="10"/>
  <c r="I632" i="10"/>
  <c r="I631" i="10"/>
  <c r="I630" i="10"/>
  <c r="I682" i="10"/>
  <c r="I669" i="10"/>
  <c r="I640" i="10"/>
  <c r="I698" i="10"/>
  <c r="I674" i="10"/>
  <c r="H715" i="1" l="1"/>
  <c r="I629" i="1"/>
  <c r="I715" i="10"/>
  <c r="J630" i="10"/>
  <c r="I675" i="1" l="1"/>
  <c r="I688" i="1"/>
  <c r="I710" i="1"/>
  <c r="I711" i="1"/>
  <c r="I646" i="1"/>
  <c r="I699" i="1"/>
  <c r="I647" i="1"/>
  <c r="I687" i="1"/>
  <c r="I674" i="1"/>
  <c r="I673" i="1"/>
  <c r="I637" i="1"/>
  <c r="I703" i="1"/>
  <c r="I683" i="1"/>
  <c r="I668" i="1"/>
  <c r="I685" i="1"/>
  <c r="I642" i="1"/>
  <c r="I696" i="1"/>
  <c r="I690" i="1"/>
  <c r="I692" i="1"/>
  <c r="I695" i="1"/>
  <c r="I672" i="1"/>
  <c r="I705" i="1"/>
  <c r="I636" i="1"/>
  <c r="I678" i="1"/>
  <c r="I698" i="1"/>
  <c r="I693" i="1"/>
  <c r="I639" i="1"/>
  <c r="I709" i="1"/>
  <c r="I670" i="1"/>
  <c r="I691" i="1"/>
  <c r="I708" i="1"/>
  <c r="I669" i="1"/>
  <c r="I694" i="1"/>
  <c r="I707" i="1"/>
  <c r="I712" i="1"/>
  <c r="I633" i="1"/>
  <c r="I641" i="1"/>
  <c r="I701" i="1"/>
  <c r="I706" i="1"/>
  <c r="I634" i="1"/>
  <c r="I680" i="1"/>
  <c r="I686" i="1"/>
  <c r="I713" i="1"/>
  <c r="I640" i="1"/>
  <c r="I682" i="1"/>
  <c r="I684" i="1"/>
  <c r="I681" i="1"/>
  <c r="I702" i="1"/>
  <c r="I632" i="1"/>
  <c r="I645" i="1"/>
  <c r="I704" i="1"/>
  <c r="I631" i="1"/>
  <c r="I630" i="1"/>
  <c r="I676" i="1"/>
  <c r="I671" i="1"/>
  <c r="I697" i="1"/>
  <c r="I643" i="1"/>
  <c r="I689" i="1"/>
  <c r="I644" i="1"/>
  <c r="I677" i="1"/>
  <c r="I635" i="1"/>
  <c r="I700" i="1"/>
  <c r="I679" i="1"/>
  <c r="I716" i="1"/>
  <c r="I638" i="1"/>
  <c r="J712" i="10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4" i="10"/>
  <c r="J680" i="10"/>
  <c r="J676" i="10"/>
  <c r="J672" i="10"/>
  <c r="J668" i="10"/>
  <c r="J703" i="10"/>
  <c r="J687" i="10"/>
  <c r="J681" i="10"/>
  <c r="J677" i="10"/>
  <c r="J673" i="10"/>
  <c r="J669" i="10"/>
  <c r="J707" i="10"/>
  <c r="J691" i="10"/>
  <c r="J682" i="10"/>
  <c r="J678" i="10"/>
  <c r="J674" i="10"/>
  <c r="J675" i="10"/>
  <c r="J644" i="10"/>
  <c r="J643" i="10"/>
  <c r="J642" i="10"/>
  <c r="J641" i="10"/>
  <c r="J640" i="10"/>
  <c r="J695" i="10"/>
  <c r="J679" i="10"/>
  <c r="J711" i="10"/>
  <c r="J683" i="10"/>
  <c r="J671" i="10"/>
  <c r="J646" i="10"/>
  <c r="J639" i="10"/>
  <c r="J638" i="10"/>
  <c r="J637" i="10"/>
  <c r="J636" i="10"/>
  <c r="J635" i="10"/>
  <c r="J634" i="10"/>
  <c r="J633" i="10"/>
  <c r="J632" i="10"/>
  <c r="J631" i="10"/>
  <c r="J670" i="10"/>
  <c r="J647" i="10"/>
  <c r="J645" i="10"/>
  <c r="J630" i="1" l="1"/>
  <c r="I715" i="1"/>
  <c r="L647" i="10"/>
  <c r="K644" i="10"/>
  <c r="J715" i="10"/>
  <c r="J700" i="1" l="1"/>
  <c r="J668" i="1"/>
  <c r="J687" i="1"/>
  <c r="J644" i="1"/>
  <c r="J699" i="1"/>
  <c r="J696" i="1"/>
  <c r="J674" i="1"/>
  <c r="J676" i="1"/>
  <c r="J709" i="1"/>
  <c r="J642" i="1"/>
  <c r="J638" i="1"/>
  <c r="J640" i="1"/>
  <c r="J641" i="1"/>
  <c r="J637" i="1"/>
  <c r="J693" i="1"/>
  <c r="J646" i="1"/>
  <c r="J705" i="1"/>
  <c r="J703" i="1"/>
  <c r="J684" i="1"/>
  <c r="J688" i="1"/>
  <c r="J680" i="1"/>
  <c r="J671" i="1"/>
  <c r="J636" i="1"/>
  <c r="J639" i="1"/>
  <c r="J707" i="1"/>
  <c r="J645" i="1"/>
  <c r="J702" i="1"/>
  <c r="J634" i="1"/>
  <c r="J669" i="1"/>
  <c r="J647" i="1"/>
  <c r="J710" i="1"/>
  <c r="J689" i="1"/>
  <c r="J686" i="1"/>
  <c r="J679" i="1"/>
  <c r="J690" i="1"/>
  <c r="J706" i="1"/>
  <c r="J643" i="1"/>
  <c r="J678" i="1"/>
  <c r="J713" i="1"/>
  <c r="J697" i="1"/>
  <c r="J673" i="1"/>
  <c r="J672" i="1"/>
  <c r="J694" i="1"/>
  <c r="J633" i="1"/>
  <c r="J691" i="1"/>
  <c r="J670" i="1"/>
  <c r="J632" i="1"/>
  <c r="J708" i="1"/>
  <c r="J682" i="1"/>
  <c r="J711" i="1"/>
  <c r="J701" i="1"/>
  <c r="J681" i="1"/>
  <c r="J692" i="1"/>
  <c r="J635" i="1"/>
  <c r="J704" i="1"/>
  <c r="J698" i="1"/>
  <c r="J716" i="1"/>
  <c r="J712" i="1"/>
  <c r="J685" i="1"/>
  <c r="J675" i="1"/>
  <c r="J695" i="1"/>
  <c r="J631" i="1"/>
  <c r="J677" i="1"/>
  <c r="J683" i="1"/>
  <c r="K713" i="10"/>
  <c r="K709" i="10"/>
  <c r="K705" i="10"/>
  <c r="K701" i="10"/>
  <c r="K697" i="10"/>
  <c r="K693" i="10"/>
  <c r="K689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5" i="10"/>
  <c r="K681" i="10"/>
  <c r="K677" i="10"/>
  <c r="K673" i="10"/>
  <c r="K669" i="10"/>
  <c r="K700" i="10"/>
  <c r="K682" i="10"/>
  <c r="K678" i="10"/>
  <c r="K674" i="10"/>
  <c r="K670" i="10"/>
  <c r="K704" i="10"/>
  <c r="K688" i="10"/>
  <c r="K683" i="10"/>
  <c r="K679" i="10"/>
  <c r="K675" i="10"/>
  <c r="K671" i="10"/>
  <c r="K708" i="10"/>
  <c r="K672" i="10"/>
  <c r="K676" i="10"/>
  <c r="K680" i="10"/>
  <c r="K668" i="10"/>
  <c r="K684" i="10"/>
  <c r="K692" i="10"/>
  <c r="L710" i="10"/>
  <c r="M710" i="10" s="1"/>
  <c r="Z776" i="10" s="1"/>
  <c r="L706" i="10"/>
  <c r="M706" i="10" s="1"/>
  <c r="Z772" i="10" s="1"/>
  <c r="L702" i="10"/>
  <c r="M702" i="10" s="1"/>
  <c r="Z768" i="10" s="1"/>
  <c r="L698" i="10"/>
  <c r="M698" i="10" s="1"/>
  <c r="Z764" i="10" s="1"/>
  <c r="L694" i="10"/>
  <c r="M694" i="10" s="1"/>
  <c r="Z760" i="10" s="1"/>
  <c r="L690" i="10"/>
  <c r="M690" i="10" s="1"/>
  <c r="Z756" i="10" s="1"/>
  <c r="L716" i="10"/>
  <c r="L711" i="10"/>
  <c r="M711" i="10" s="1"/>
  <c r="Z777" i="10" s="1"/>
  <c r="L707" i="10"/>
  <c r="M707" i="10" s="1"/>
  <c r="Z773" i="10" s="1"/>
  <c r="L703" i="10"/>
  <c r="L699" i="10"/>
  <c r="M699" i="10" s="1"/>
  <c r="Z765" i="10" s="1"/>
  <c r="L695" i="10"/>
  <c r="M695" i="10" s="1"/>
  <c r="Z761" i="10" s="1"/>
  <c r="L691" i="10"/>
  <c r="M691" i="10" s="1"/>
  <c r="Z757" i="10" s="1"/>
  <c r="L687" i="10"/>
  <c r="L712" i="10"/>
  <c r="M712" i="10" s="1"/>
  <c r="Z778" i="10" s="1"/>
  <c r="L708" i="10"/>
  <c r="M708" i="10" s="1"/>
  <c r="Z774" i="10" s="1"/>
  <c r="L704" i="10"/>
  <c r="M704" i="10" s="1"/>
  <c r="Z770" i="10" s="1"/>
  <c r="L700" i="10"/>
  <c r="L696" i="10"/>
  <c r="M696" i="10" s="1"/>
  <c r="Z762" i="10" s="1"/>
  <c r="L692" i="10"/>
  <c r="M692" i="10" s="1"/>
  <c r="Z758" i="10" s="1"/>
  <c r="L688" i="10"/>
  <c r="M688" i="10" s="1"/>
  <c r="Z754" i="10" s="1"/>
  <c r="L709" i="10"/>
  <c r="L693" i="10"/>
  <c r="M693" i="10" s="1"/>
  <c r="Z759" i="10" s="1"/>
  <c r="L682" i="10"/>
  <c r="M682" i="10" s="1"/>
  <c r="Z748" i="10" s="1"/>
  <c r="L678" i="10"/>
  <c r="M678" i="10" s="1"/>
  <c r="Z744" i="10" s="1"/>
  <c r="L674" i="10"/>
  <c r="M674" i="10" s="1"/>
  <c r="Z740" i="10" s="1"/>
  <c r="L670" i="10"/>
  <c r="M670" i="10" s="1"/>
  <c r="Z736" i="10" s="1"/>
  <c r="L713" i="10"/>
  <c r="M713" i="10" s="1"/>
  <c r="L697" i="10"/>
  <c r="M697" i="10" s="1"/>
  <c r="Z763" i="10" s="1"/>
  <c r="L683" i="10"/>
  <c r="M683" i="10" s="1"/>
  <c r="Z749" i="10" s="1"/>
  <c r="L679" i="10"/>
  <c r="M679" i="10" s="1"/>
  <c r="Z745" i="10" s="1"/>
  <c r="L675" i="10"/>
  <c r="M675" i="10" s="1"/>
  <c r="Z741" i="10" s="1"/>
  <c r="L671" i="10"/>
  <c r="M671" i="10" s="1"/>
  <c r="Z737" i="10" s="1"/>
  <c r="L701" i="10"/>
  <c r="M701" i="10" s="1"/>
  <c r="Z767" i="10" s="1"/>
  <c r="L686" i="10"/>
  <c r="M686" i="10" s="1"/>
  <c r="Z752" i="10" s="1"/>
  <c r="L684" i="10"/>
  <c r="L680" i="10"/>
  <c r="M680" i="10" s="1"/>
  <c r="Z746" i="10" s="1"/>
  <c r="L676" i="10"/>
  <c r="M676" i="10" s="1"/>
  <c r="Z742" i="10" s="1"/>
  <c r="L672" i="10"/>
  <c r="M672" i="10" s="1"/>
  <c r="Z738" i="10" s="1"/>
  <c r="L669" i="10"/>
  <c r="M669" i="10" s="1"/>
  <c r="Z735" i="10" s="1"/>
  <c r="L689" i="10"/>
  <c r="M689" i="10" s="1"/>
  <c r="Z755" i="10" s="1"/>
  <c r="L685" i="10"/>
  <c r="M685" i="10" s="1"/>
  <c r="Z751" i="10" s="1"/>
  <c r="L673" i="10"/>
  <c r="M673" i="10" s="1"/>
  <c r="Z739" i="10" s="1"/>
  <c r="L668" i="10"/>
  <c r="L677" i="10"/>
  <c r="M677" i="10" s="1"/>
  <c r="Z743" i="10" s="1"/>
  <c r="L705" i="10"/>
  <c r="M705" i="10" s="1"/>
  <c r="Z771" i="10" s="1"/>
  <c r="L681" i="10"/>
  <c r="M681" i="10" s="1"/>
  <c r="Z747" i="10" s="1"/>
  <c r="L647" i="1" l="1"/>
  <c r="L692" i="1" s="1"/>
  <c r="J715" i="1"/>
  <c r="K644" i="1"/>
  <c r="L668" i="1"/>
  <c r="L682" i="1"/>
  <c r="L712" i="1"/>
  <c r="L694" i="1"/>
  <c r="L707" i="1"/>
  <c r="L679" i="1"/>
  <c r="L690" i="1"/>
  <c r="L697" i="1"/>
  <c r="L713" i="1"/>
  <c r="L671" i="1"/>
  <c r="L698" i="1"/>
  <c r="L688" i="1"/>
  <c r="L715" i="10"/>
  <c r="M668" i="10"/>
  <c r="M684" i="10"/>
  <c r="Z750" i="10" s="1"/>
  <c r="M709" i="10"/>
  <c r="Z775" i="10" s="1"/>
  <c r="M700" i="10"/>
  <c r="Z766" i="10" s="1"/>
  <c r="M687" i="10"/>
  <c r="Z753" i="10" s="1"/>
  <c r="M703" i="10"/>
  <c r="Z769" i="10" s="1"/>
  <c r="K715" i="10"/>
  <c r="L683" i="1" l="1"/>
  <c r="L680" i="1"/>
  <c r="L695" i="1"/>
  <c r="L684" i="1"/>
  <c r="L716" i="1"/>
  <c r="L708" i="1"/>
  <c r="L709" i="1"/>
  <c r="L675" i="1"/>
  <c r="L705" i="1"/>
  <c r="L700" i="1"/>
  <c r="L702" i="1"/>
  <c r="L706" i="1"/>
  <c r="L672" i="1"/>
  <c r="L677" i="1"/>
  <c r="L693" i="1"/>
  <c r="L681" i="1"/>
  <c r="L701" i="1"/>
  <c r="L699" i="1"/>
  <c r="L704" i="1"/>
  <c r="L691" i="1"/>
  <c r="L703" i="1"/>
  <c r="L670" i="1"/>
  <c r="L687" i="1"/>
  <c r="L686" i="1"/>
  <c r="L685" i="1"/>
  <c r="L676" i="1"/>
  <c r="L710" i="1"/>
  <c r="L711" i="1"/>
  <c r="L696" i="1"/>
  <c r="L673" i="1"/>
  <c r="L678" i="1"/>
  <c r="L674" i="1"/>
  <c r="L689" i="1"/>
  <c r="L669" i="1"/>
  <c r="K676" i="1"/>
  <c r="M676" i="1" s="1"/>
  <c r="K713" i="1"/>
  <c r="M713" i="1" s="1"/>
  <c r="K668" i="1"/>
  <c r="K697" i="1"/>
  <c r="M697" i="1" s="1"/>
  <c r="K708" i="1"/>
  <c r="M708" i="1" s="1"/>
  <c r="K705" i="1"/>
  <c r="M705" i="1" s="1"/>
  <c r="K677" i="1"/>
  <c r="M677" i="1" s="1"/>
  <c r="K707" i="1"/>
  <c r="M707" i="1" s="1"/>
  <c r="K683" i="1"/>
  <c r="M683" i="1" s="1"/>
  <c r="K669" i="1"/>
  <c r="M669" i="1" s="1"/>
  <c r="K712" i="1"/>
  <c r="M712" i="1" s="1"/>
  <c r="K679" i="1"/>
  <c r="M679" i="1" s="1"/>
  <c r="K698" i="1"/>
  <c r="M698" i="1" s="1"/>
  <c r="K678" i="1"/>
  <c r="M678" i="1" s="1"/>
  <c r="K700" i="1"/>
  <c r="M700" i="1" s="1"/>
  <c r="K693" i="1"/>
  <c r="M693" i="1" s="1"/>
  <c r="K706" i="1"/>
  <c r="M706" i="1" s="1"/>
  <c r="K702" i="1"/>
  <c r="M702" i="1" s="1"/>
  <c r="K680" i="1"/>
  <c r="M680" i="1" s="1"/>
  <c r="K673" i="1"/>
  <c r="M673" i="1" s="1"/>
  <c r="K688" i="1"/>
  <c r="M688" i="1" s="1"/>
  <c r="K704" i="1"/>
  <c r="M704" i="1" s="1"/>
  <c r="K670" i="1"/>
  <c r="M670" i="1" s="1"/>
  <c r="K672" i="1"/>
  <c r="M672" i="1" s="1"/>
  <c r="K695" i="1"/>
  <c r="M695" i="1" s="1"/>
  <c r="K701" i="1"/>
  <c r="M701" i="1" s="1"/>
  <c r="K694" i="1"/>
  <c r="M694" i="1" s="1"/>
  <c r="K687" i="1"/>
  <c r="M687" i="1" s="1"/>
  <c r="K703" i="1"/>
  <c r="M703" i="1" s="1"/>
  <c r="K682" i="1"/>
  <c r="M682" i="1" s="1"/>
  <c r="K689" i="1"/>
  <c r="M689" i="1" s="1"/>
  <c r="K686" i="1"/>
  <c r="K674" i="1"/>
  <c r="M674" i="1" s="1"/>
  <c r="K696" i="1"/>
  <c r="M696" i="1" s="1"/>
  <c r="K681" i="1"/>
  <c r="K710" i="1"/>
  <c r="M710" i="1" s="1"/>
  <c r="K671" i="1"/>
  <c r="M671" i="1" s="1"/>
  <c r="K675" i="1"/>
  <c r="K691" i="1"/>
  <c r="K711" i="1"/>
  <c r="K692" i="1"/>
  <c r="M692" i="1" s="1"/>
  <c r="K699" i="1"/>
  <c r="M699" i="1" s="1"/>
  <c r="K684" i="1"/>
  <c r="K690" i="1"/>
  <c r="M690" i="1" s="1"/>
  <c r="K716" i="1"/>
  <c r="K685" i="1"/>
  <c r="M685" i="1" s="1"/>
  <c r="K709" i="1"/>
  <c r="M709" i="1" s="1"/>
  <c r="M715" i="10"/>
  <c r="Z815" i="10" s="1"/>
  <c r="Z734" i="10"/>
  <c r="Z814" i="10" s="1"/>
  <c r="L715" i="1" l="1"/>
  <c r="M711" i="1"/>
  <c r="M686" i="1"/>
  <c r="Y752" i="1" s="1"/>
  <c r="M684" i="1"/>
  <c r="M691" i="1"/>
  <c r="E119" i="9" s="1"/>
  <c r="M681" i="1"/>
  <c r="M675" i="1"/>
  <c r="Y776" i="1"/>
  <c r="C215" i="9"/>
  <c r="Y753" i="1"/>
  <c r="H87" i="9"/>
  <c r="G23" i="9"/>
  <c r="Y738" i="1"/>
  <c r="H23" i="9"/>
  <c r="Y739" i="1"/>
  <c r="G119" i="9"/>
  <c r="Y759" i="1"/>
  <c r="Y745" i="1"/>
  <c r="G55" i="9"/>
  <c r="G183" i="9"/>
  <c r="Y773" i="1"/>
  <c r="Y763" i="1"/>
  <c r="D151" i="9"/>
  <c r="Y775" i="1"/>
  <c r="I183" i="9"/>
  <c r="Y757" i="1"/>
  <c r="Y747" i="1"/>
  <c r="I55" i="9"/>
  <c r="Y755" i="1"/>
  <c r="C119" i="9"/>
  <c r="Y760" i="1"/>
  <c r="H119" i="9"/>
  <c r="Y736" i="1"/>
  <c r="E23" i="9"/>
  <c r="H55" i="9"/>
  <c r="Y746" i="1"/>
  <c r="Y766" i="1"/>
  <c r="G151" i="9"/>
  <c r="Y778" i="1"/>
  <c r="E215" i="9"/>
  <c r="E55" i="9"/>
  <c r="Y743" i="1"/>
  <c r="K715" i="1"/>
  <c r="M668" i="1"/>
  <c r="Y756" i="1"/>
  <c r="D119" i="9"/>
  <c r="F87" i="9"/>
  <c r="Y751" i="1"/>
  <c r="C55" i="9"/>
  <c r="Y741" i="1"/>
  <c r="C87" i="9"/>
  <c r="Y748" i="1"/>
  <c r="H151" i="9"/>
  <c r="Y767" i="1"/>
  <c r="Y770" i="1"/>
  <c r="D183" i="9"/>
  <c r="I151" i="9"/>
  <c r="Y768" i="1"/>
  <c r="F55" i="9"/>
  <c r="Y744" i="1"/>
  <c r="D23" i="9"/>
  <c r="Y735" i="1"/>
  <c r="E183" i="9"/>
  <c r="Y771" i="1"/>
  <c r="F215" i="9"/>
  <c r="Y779" i="1"/>
  <c r="Y777" i="1"/>
  <c r="D215" i="9"/>
  <c r="E87" i="9"/>
  <c r="Y750" i="1"/>
  <c r="Y765" i="1"/>
  <c r="F151" i="9"/>
  <c r="Y762" i="1"/>
  <c r="C151" i="9"/>
  <c r="Y758" i="1"/>
  <c r="F119" i="9"/>
  <c r="Y737" i="1"/>
  <c r="F23" i="9"/>
  <c r="I23" i="9"/>
  <c r="Y740" i="1"/>
  <c r="C183" i="9"/>
  <c r="Y769" i="1"/>
  <c r="Y761" i="1"/>
  <c r="I119" i="9"/>
  <c r="I87" i="9"/>
  <c r="Y754" i="1"/>
  <c r="Y772" i="1"/>
  <c r="F183" i="9"/>
  <c r="E151" i="9"/>
  <c r="Y764" i="1"/>
  <c r="Y749" i="1"/>
  <c r="D87" i="9"/>
  <c r="H183" i="9"/>
  <c r="Y774" i="1"/>
  <c r="Y742" i="1"/>
  <c r="D55" i="9"/>
  <c r="G87" i="9" l="1"/>
  <c r="Y734" i="1"/>
  <c r="Y815" i="1" s="1"/>
  <c r="M715" i="1"/>
  <c r="C23" i="9"/>
</calcChain>
</file>

<file path=xl/sharedStrings.xml><?xml version="1.0" encoding="utf-8"?>
<sst xmlns="http://schemas.openxmlformats.org/spreadsheetml/2006/main" count="4861" uniqueCount="1282">
  <si>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</si>
  <si>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</si>
  <si>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</si>
  <si>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</si>
  <si>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</si>
  <si>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</si>
  <si>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</si>
  <si>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</si>
  <si>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</si>
  <si>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</si>
  <si>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</si>
  <si>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</si>
  <si>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</si>
  <si>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</si>
  <si>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</si>
  <si>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</si>
  <si>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</si>
  <si>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</si>
  <si>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</si>
  <si>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</si>
  <si>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</si>
  <si>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</si>
  <si>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</si>
  <si>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</si>
  <si>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</si>
  <si>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</si>
  <si>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</si>
  <si>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</si>
  <si>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</si>
  <si>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</si>
  <si>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</si>
  <si>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</si>
  <si>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</si>
  <si>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</si>
  <si>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</si>
  <si>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</si>
  <si>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</si>
  <si>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</si>
  <si>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</si>
  <si>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</si>
  <si>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</si>
  <si>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</si>
  <si>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</si>
  <si>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</si>
  <si>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</si>
  <si>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</si>
  <si>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</si>
  <si>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</si>
  <si>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</si>
  <si>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</si>
  <si>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</si>
  <si>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</si>
  <si>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</si>
  <si>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</si>
  <si>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</si>
  <si>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</si>
  <si>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</si>
  <si>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</si>
  <si>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</si>
  <si>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</si>
  <si>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</si>
  <si>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</si>
  <si>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</si>
  <si>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</si>
  <si>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</si>
  <si>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</si>
  <si>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</si>
  <si>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</si>
  <si>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</si>
  <si>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</si>
  <si>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</si>
  <si>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</si>
  <si>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</si>
  <si>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</si>
  <si>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</si>
  <si>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</si>
  <si>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</si>
  <si>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</si>
  <si>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</si>
  <si>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</si>
  <si>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</si>
  <si>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</si>
  <si>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</si>
  <si>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</si>
  <si>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</si>
  <si>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</si>
  <si>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</si>
  <si>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</si>
  <si>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</si>
  <si>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</si>
  <si>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</si>
  <si>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</si>
  <si>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</si>
  <si>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</si>
  <si>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</si>
  <si>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</si>
  <si>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</si>
  <si>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</si>
  <si>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</si>
  <si>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</si>
  <si>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</si>
  <si>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</si>
  <si>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</si>
  <si>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</si>
  <si>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</si>
  <si>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</si>
  <si>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</si>
  <si>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</si>
  <si>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</si>
  <si>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</si>
  <si>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</si>
  <si>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</si>
  <si>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</si>
  <si>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</si>
  <si>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</si>
  <si>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</si>
  <si>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</si>
  <si>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</si>
  <si>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</si>
  <si>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</si>
  <si>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</si>
  <si>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</si>
  <si>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</si>
  <si>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</si>
  <si>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</si>
  <si>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</si>
  <si>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</si>
  <si>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</si>
  <si>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</si>
  <si>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</si>
  <si>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</si>
  <si>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</si>
  <si>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</si>
  <si>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</si>
  <si>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</si>
  <si>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</si>
  <si>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</si>
  <si>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</si>
  <si>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</si>
  <si>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</si>
  <si>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</si>
  <si>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</si>
  <si>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</si>
  <si>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</si>
  <si>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</si>
  <si>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</si>
  <si>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</si>
  <si>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</si>
  <si>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</si>
  <si>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</si>
  <si>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</si>
  <si>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</si>
  <si>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</si>
  <si>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</si>
  <si>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</si>
  <si>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</si>
  <si>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</si>
  <si>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</si>
  <si>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</si>
  <si>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</si>
  <si>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</si>
  <si>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</si>
  <si>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</si>
  <si>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</si>
  <si>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</si>
  <si>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</si>
  <si>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</si>
  <si>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</si>
  <si>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</si>
  <si>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</si>
  <si>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</si>
  <si>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</si>
  <si>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</si>
  <si>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</si>
  <si>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</si>
  <si>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</si>
  <si>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</si>
  <si>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</si>
  <si>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</si>
  <si>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</si>
  <si>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</si>
  <si>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</si>
  <si>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</si>
  <si>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</si>
  <si>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</si>
  <si>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</si>
  <si>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</si>
  <si>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</si>
  <si>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</si>
  <si>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</si>
  <si>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</si>
  <si>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</si>
  <si>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</si>
  <si>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</si>
  <si>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</si>
  <si>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</si>
  <si>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</si>
  <si>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</si>
  <si>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</si>
  <si>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</si>
  <si>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</si>
  <si>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</si>
  <si>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</si>
  <si>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</si>
  <si>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</si>
  <si>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</si>
  <si>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</si>
  <si>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</si>
  <si>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</si>
  <si>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</si>
  <si>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</si>
  <si>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</si>
  <si>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</si>
  <si>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</si>
  <si>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</si>
  <si>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</si>
  <si>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</si>
  <si>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</si>
  <si>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</si>
  <si>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</si>
  <si>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</si>
  <si>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</si>
  <si>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</si>
  <si>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</si>
  <si>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</si>
  <si>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</si>
  <si>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</si>
  <si>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</si>
  <si>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</si>
  <si>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</si>
  <si>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</si>
  <si>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</si>
  <si>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</si>
  <si>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</si>
  <si>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</si>
  <si>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</si>
  <si>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</si>
  <si>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</si>
  <si>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</si>
  <si>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</si>
  <si>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</si>
  <si>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</si>
  <si>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</si>
  <si>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</si>
  <si>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</si>
  <si>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</si>
  <si>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</si>
  <si>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</si>
  <si>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</si>
  <si>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</si>
  <si>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</si>
  <si>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</si>
  <si>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</si>
  <si>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</si>
  <si>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</si>
  <si>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</si>
  <si>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</si>
  <si>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</si>
  <si>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</si>
  <si>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</si>
  <si>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</si>
  <si>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</si>
  <si>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</si>
  <si>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</si>
  <si>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</si>
  <si>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</si>
  <si>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</si>
  <si>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</si>
  <si>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</si>
  <si>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</si>
  <si>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</si>
  <si>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</si>
  <si>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</si>
  <si>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</si>
  <si>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</si>
  <si>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</si>
  <si>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</si>
  <si>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</si>
  <si>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</si>
  <si>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</si>
  <si>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</si>
  <si>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</si>
  <si>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</si>
  <si>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</si>
  <si>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</si>
  <si>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</si>
  <si>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</si>
  <si>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</si>
  <si>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</si>
  <si>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</si>
  <si>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</si>
  <si>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</si>
  <si>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</si>
  <si>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</si>
  <si>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</si>
  <si>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</si>
  <si>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</si>
  <si>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</si>
  <si>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</si>
  <si>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</si>
  <si>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</si>
  <si>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</si>
  <si>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</si>
  <si>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</si>
  <si>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</si>
  <si>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</si>
  <si>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</si>
  <si>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</si>
  <si>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</si>
  <si>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</si>
  <si>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</si>
  <si>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</si>
  <si>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</si>
  <si>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</si>
  <si>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</si>
  <si>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</si>
  <si>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</si>
  <si>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</si>
  <si>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</si>
  <si>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</si>
  <si>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</si>
  <si>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</si>
  <si>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</si>
  <si>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</si>
  <si>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</si>
  <si>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</si>
  <si>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</si>
  <si>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</si>
  <si>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</si>
  <si>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</si>
  <si>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</si>
  <si>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</si>
  <si>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</si>
  <si>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</si>
  <si>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</si>
  <si>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</si>
  <si>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</si>
  <si>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</si>
  <si>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</si>
  <si>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</si>
  <si>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</si>
  <si>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</si>
  <si>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</si>
  <si>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</si>
  <si>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</si>
  <si>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</si>
  <si>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</si>
  <si>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</si>
  <si>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</si>
  <si>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</si>
  <si>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</si>
  <si>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</si>
  <si>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</si>
  <si>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</si>
  <si>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</si>
  <si>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</si>
  <si>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</si>
  <si>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</si>
  <si>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</si>
  <si>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</si>
  <si>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</si>
  <si>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</si>
  <si>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</si>
  <si>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</si>
  <si>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</si>
  <si>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</si>
  <si>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</si>
  <si>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</si>
  <si>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</si>
  <si>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</si>
  <si>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</si>
  <si>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</si>
  <si>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</si>
  <si>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</si>
  <si>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</si>
  <si>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</si>
  <si>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</si>
  <si>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</si>
  <si>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</si>
  <si>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</si>
  <si>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</si>
  <si>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</si>
  <si>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</si>
  <si>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</si>
  <si>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</si>
  <si>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</si>
  <si>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</si>
  <si>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</si>
  <si>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</si>
  <si>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</si>
  <si>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</si>
  <si>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</si>
  <si>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</si>
  <si>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</si>
  <si>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</si>
  <si>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</si>
  <si>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</si>
  <si>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</si>
  <si>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</si>
  <si>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</si>
  <si>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</si>
  <si>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</si>
  <si>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</si>
  <si>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</si>
  <si>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</si>
  <si>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</si>
  <si>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</si>
  <si>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</si>
  <si>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</si>
  <si>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</si>
  <si>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</si>
  <si>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</si>
  <si>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</si>
  <si>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</si>
  <si>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</si>
  <si>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</si>
  <si>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</si>
  <si>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</si>
  <si>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</si>
  <si>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</si>
  <si>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</si>
  <si>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</si>
  <si>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</si>
  <si>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</si>
  <si>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</si>
  <si>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</si>
  <si>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</si>
  <si>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</si>
  <si>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</si>
  <si>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</si>
  <si>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</si>
  <si>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</si>
  <si>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</si>
  <si>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</si>
  <si>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</si>
  <si>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</si>
  <si>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</si>
  <si>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</si>
  <si>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</si>
  <si>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</si>
  <si>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</si>
  <si>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</si>
  <si>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</si>
  <si>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</si>
  <si>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</si>
  <si>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</si>
  <si>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</si>
  <si>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</si>
  <si>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</si>
  <si>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</si>
  <si>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</si>
  <si>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</si>
  <si>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</si>
  <si>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</si>
  <si>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</si>
  <si>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</si>
  <si>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</si>
  <si>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</si>
  <si>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</si>
  <si>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</si>
  <si>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</si>
  <si>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</si>
  <si>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</si>
  <si>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</si>
  <si>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</si>
  <si>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</si>
  <si>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</si>
  <si>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</si>
  <si>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</si>
  <si>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</si>
  <si>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</si>
  <si>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</si>
  <si>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</si>
  <si>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</si>
  <si>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</si>
  <si>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</si>
  <si>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</si>
  <si>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</si>
  <si>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</si>
  <si>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</si>
  <si>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</si>
  <si>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</si>
  <si>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</si>
  <si>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</si>
  <si>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</si>
  <si>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</si>
  <si>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</si>
  <si>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</si>
  <si>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</si>
  <si>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</si>
  <si>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</si>
  <si>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</si>
  <si>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</si>
  <si>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</si>
  <si>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</si>
  <si>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</si>
  <si>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</si>
  <si>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</si>
  <si>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</si>
  <si>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</si>
  <si>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</si>
  <si>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</si>
  <si>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</si>
  <si>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</si>
  <si>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</si>
  <si>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</si>
  <si>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</si>
  <si>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</si>
  <si>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</si>
  <si>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</si>
  <si>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</si>
  <si>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</si>
  <si>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</si>
  <si>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</si>
  <si>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</si>
  <si>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</si>
  <si>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</si>
  <si>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</si>
  <si>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</si>
  <si>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</si>
  <si>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</si>
  <si>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</si>
  <si>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</si>
  <si>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</si>
  <si>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</si>
  <si>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</si>
  <si>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</si>
  <si>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</si>
  <si>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</si>
  <si>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</si>
  <si>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</si>
  <si>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</si>
  <si>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</si>
  <si>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</si>
  <si>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</si>
  <si>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</si>
  <si>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</si>
  <si>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</si>
  <si>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</si>
  <si>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</si>
  <si>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</si>
  <si>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</si>
  <si>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</si>
  <si>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</si>
  <si>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</si>
  <si>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</si>
  <si>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</si>
  <si>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</si>
  <si>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</si>
  <si>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</si>
  <si>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</si>
  <si>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</si>
  <si>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</si>
  <si>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</si>
  <si>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</si>
  <si>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</si>
  <si>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</si>
  <si>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</si>
  <si>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</si>
  <si>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</si>
  <si>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</si>
  <si>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</si>
  <si>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</si>
  <si>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</si>
  <si>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</si>
  <si>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</si>
  <si>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</si>
  <si>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</si>
  <si>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</si>
  <si>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</si>
  <si>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</si>
  <si>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</si>
  <si>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</si>
  <si>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</si>
  <si>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</si>
  <si>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</si>
  <si>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</si>
  <si>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</si>
  <si>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</si>
  <si>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</si>
  <si>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</si>
  <si>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</si>
  <si>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</si>
  <si>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</si>
  <si>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</si>
  <si>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</si>
  <si>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</si>
  <si>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</si>
  <si>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</si>
  <si>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</si>
  <si>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</si>
  <si>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</si>
  <si>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</si>
  <si>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</si>
  <si>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</si>
  <si>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</si>
  <si>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</si>
  <si>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</si>
  <si>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</si>
  <si>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</si>
  <si>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</si>
  <si>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</si>
  <si>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</si>
  <si>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</si>
  <si>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</si>
  <si>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</si>
  <si>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</si>
  <si>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</si>
  <si>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</si>
  <si>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</si>
  <si>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</si>
  <si>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</si>
  <si>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</si>
  <si>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</si>
  <si>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</si>
  <si>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</si>
  <si>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</si>
  <si>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</si>
  <si>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</si>
  <si>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</si>
  <si>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</si>
  <si>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</si>
  <si>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</si>
  <si>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</si>
  <si>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</si>
  <si>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</si>
  <si>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</si>
  <si>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</si>
  <si>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</si>
  <si>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</si>
  <si>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</si>
  <si>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</si>
  <si>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</si>
  <si>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</si>
  <si>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</si>
  <si>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</si>
  <si>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</si>
  <si>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</si>
  <si>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</si>
  <si>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</si>
  <si>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</si>
  <si>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</si>
  <si>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</si>
  <si>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</si>
  <si>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</si>
  <si>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</si>
  <si>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</si>
  <si>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</si>
  <si>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</si>
  <si>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</si>
  <si>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</si>
  <si>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</si>
  <si>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</si>
  <si>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</si>
  <si>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</si>
  <si>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</si>
  <si>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</si>
  <si>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</si>
  <si>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</si>
  <si>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</si>
  <si>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</si>
  <si>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</si>
  <si>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</si>
  <si>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</si>
  <si>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</si>
  <si>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</si>
  <si>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</si>
  <si>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</si>
  <si>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</si>
  <si>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</si>
  <si>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</si>
  <si>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</si>
  <si>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</si>
  <si>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</si>
  <si>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</si>
  <si>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</si>
  <si>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</si>
  <si>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</si>
  <si>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</si>
  <si>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</si>
  <si>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</si>
  <si>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</si>
  <si>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</si>
  <si>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</si>
  <si>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</si>
  <si>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</si>
  <si>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</si>
  <si>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</si>
  <si>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</si>
  <si>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</si>
  <si>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</si>
  <si>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</si>
  <si>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</si>
  <si>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</si>
  <si>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</si>
  <si>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</si>
  <si>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</si>
  <si>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</si>
  <si>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</si>
  <si>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</si>
  <si>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</si>
  <si>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</si>
  <si>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</si>
  <si>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</si>
  <si>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</si>
  <si>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</si>
  <si>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</si>
  <si>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</si>
  <si>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</si>
  <si>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</si>
  <si>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</si>
  <si>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</si>
  <si>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</si>
  <si>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</si>
  <si>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</si>
  <si>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</si>
  <si>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</si>
  <si>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</si>
  <si>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</si>
  <si>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</si>
  <si>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</si>
  <si>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</si>
  <si>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</si>
  <si>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</si>
  <si>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</si>
  <si>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</si>
  <si>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</si>
  <si>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</si>
  <si>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</si>
  <si>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</si>
  <si>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</si>
  <si>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</si>
  <si>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</si>
  <si>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</si>
  <si>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</si>
  <si>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</si>
  <si>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</si>
  <si>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</si>
  <si>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</si>
  <si>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</si>
  <si>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</si>
  <si>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</si>
  <si>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</si>
  <si>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</si>
  <si>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</si>
  <si>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</si>
  <si>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</si>
  <si>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</si>
  <si>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</si>
  <si>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</si>
  <si>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</si>
  <si>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</si>
  <si>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</si>
  <si>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</si>
  <si>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</si>
  <si>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</si>
  <si>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</si>
  <si>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</si>
  <si>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</si>
  <si>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</si>
  <si>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</si>
  <si>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</si>
  <si>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</si>
  <si>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</si>
  <si>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</si>
  <si>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</si>
  <si>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</si>
  <si>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</si>
  <si>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</si>
  <si>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</si>
  <si>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</si>
  <si>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</si>
  <si>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</si>
  <si>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</si>
  <si>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</si>
  <si>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</si>
  <si>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</si>
  <si>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</si>
  <si>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</si>
  <si>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</si>
  <si>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</si>
  <si>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</si>
  <si>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</si>
  <si>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</si>
  <si>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</si>
  <si>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</si>
  <si>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</si>
  <si>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</si>
  <si>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</si>
  <si>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</si>
  <si>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</si>
  <si>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</si>
  <si>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</si>
  <si>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</si>
  <si>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</si>
  <si>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</si>
  <si>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</si>
  <si>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</si>
  <si>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</si>
  <si>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</si>
  <si>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</si>
  <si>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</si>
  <si>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</si>
  <si>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</si>
  <si>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</si>
  <si>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</si>
  <si>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</si>
  <si>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</si>
  <si>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</si>
  <si>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</si>
  <si>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</si>
  <si>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</si>
  <si>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</si>
  <si>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</si>
  <si>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</si>
  <si>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</si>
  <si>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</si>
  <si>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</si>
  <si>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</si>
  <si>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</si>
  <si>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</si>
  <si>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</si>
  <si>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</si>
  <si>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</si>
  <si>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</si>
  <si>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</si>
  <si>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</si>
  <si>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</si>
  <si>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</si>
  <si>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</si>
  <si>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</si>
  <si>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</si>
  <si>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</si>
  <si>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</si>
  <si>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</si>
  <si>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</si>
  <si>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</si>
  <si>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</si>
  <si>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</si>
  <si>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</si>
  <si>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</si>
  <si>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</si>
  <si>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</si>
  <si>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</si>
  <si>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</si>
  <si>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</si>
  <si>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</si>
  <si>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</si>
  <si>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</si>
  <si>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</si>
  <si>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</si>
  <si>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</si>
  <si>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</si>
  <si>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</si>
  <si>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</si>
  <si>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</si>
  <si>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</si>
  <si>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</si>
  <si>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</si>
  <si>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</si>
  <si>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</si>
  <si>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</si>
  <si>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</si>
  <si>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</si>
  <si>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</si>
  <si>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</si>
  <si>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</si>
  <si>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</si>
  <si>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</si>
  <si>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</si>
  <si>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</si>
  <si>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</si>
  <si>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</si>
  <si>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</si>
  <si>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</si>
  <si>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</si>
  <si>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</si>
  <si>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</si>
  <si>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</si>
  <si>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</si>
  <si>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</si>
  <si>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</si>
  <si>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</si>
  <si>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</si>
  <si>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</si>
  <si>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</si>
  <si>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</si>
  <si>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</si>
  <si>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</si>
  <si>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</si>
  <si>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</si>
  <si>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</si>
  <si>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</si>
  <si>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</si>
  <si>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</si>
  <si>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</si>
  <si>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</si>
  <si>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</si>
  <si>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</si>
  <si>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</si>
  <si>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</si>
  <si>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</si>
  <si>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</si>
  <si>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</si>
  <si>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</si>
  <si>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</si>
  <si>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</si>
  <si>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</si>
  <si>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</si>
  <si>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</si>
  <si>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</si>
  <si>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</si>
  <si>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</si>
  <si>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</si>
  <si>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</si>
  <si>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</si>
  <si>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</si>
  <si>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</si>
  <si>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</si>
  <si>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</si>
  <si>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</si>
  <si>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</si>
  <si>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</si>
  <si>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</si>
  <si>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</si>
  <si>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</si>
  <si>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</si>
  <si>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</si>
  <si>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</si>
  <si>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</si>
  <si>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</si>
  <si>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</si>
  <si>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</si>
  <si>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</si>
  <si>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</si>
  <si>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</si>
  <si>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</si>
  <si>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</si>
  <si>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</si>
  <si>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</si>
  <si>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</si>
  <si>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</si>
  <si>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</si>
  <si>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</si>
  <si>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</si>
  <si>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</si>
  <si>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</si>
  <si>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</si>
  <si>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</si>
  <si>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</si>
  <si>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</si>
  <si>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</si>
  <si>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</si>
  <si>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</si>
  <si>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</si>
  <si>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</si>
  <si>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</si>
  <si>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</si>
  <si>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</si>
  <si>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</si>
  <si>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</si>
  <si>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</si>
  <si>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</si>
  <si>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</si>
  <si>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</si>
  <si>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</si>
  <si>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</si>
  <si>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</si>
  <si>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</si>
  <si>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</si>
  <si>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</si>
  <si>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</si>
  <si>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</si>
  <si>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</si>
  <si>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</si>
  <si>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</si>
  <si>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</si>
  <si>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</si>
  <si>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</si>
  <si>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</si>
  <si>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</si>
  <si>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</si>
  <si>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</si>
  <si>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</si>
  <si>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</si>
  <si>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</si>
  <si>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</si>
  <si>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</si>
  <si>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</si>
  <si>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</si>
  <si>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</si>
  <si>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</si>
  <si>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</si>
  <si>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</si>
  <si>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</si>
  <si>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</si>
  <si>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</si>
  <si>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</si>
  <si>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</si>
  <si>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</si>
  <si>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</si>
  <si>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</si>
  <si>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</si>
  <si>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</si>
  <si>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</si>
  <si>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</si>
  <si>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</si>
  <si>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</si>
  <si>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</si>
  <si>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</si>
  <si>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</si>
  <si>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</si>
  <si>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</si>
  <si>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</si>
  <si>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</si>
  <si>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</si>
  <si>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</si>
  <si>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</si>
  <si>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</si>
  <si>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</si>
  <si>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</si>
  <si>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</si>
  <si>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</si>
  <si>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</si>
  <si>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</si>
  <si>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</si>
  <si>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</si>
  <si>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</si>
  <si>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</si>
  <si>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</si>
  <si>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</si>
  <si>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</si>
  <si>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</si>
  <si>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</si>
  <si>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</si>
  <si>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</si>
  <si>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</si>
  <si>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</si>
  <si>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</si>
  <si>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</si>
  <si>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</si>
  <si>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</si>
  <si>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</si>
  <si>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</si>
  <si>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</si>
  <si>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</si>
  <si>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</si>
  <si>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</si>
  <si>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</si>
  <si>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</si>
  <si>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</si>
  <si>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</si>
  <si>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</si>
  <si>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</si>
  <si>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</si>
  <si>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</si>
  <si>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</si>
  <si>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</si>
  <si>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</si>
  <si>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</si>
  <si>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</si>
  <si>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</si>
  <si>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</si>
  <si>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</si>
  <si>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</si>
  <si>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</si>
  <si>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</si>
  <si>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</si>
  <si>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</si>
  <si>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</si>
  <si>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</si>
  <si>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</si>
  <si>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</si>
  <si>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</si>
  <si>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</si>
  <si>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</si>
  <si>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</si>
  <si>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</si>
  <si>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</si>
  <si>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</si>
  <si>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</si>
  <si>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</si>
  <si>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</si>
  <si>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</si>
  <si>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</si>
  <si>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</si>
  <si>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</si>
  <si>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</si>
  <si>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</si>
  <si>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</si>
  <si>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</si>
  <si>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</si>
  <si>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</si>
  <si>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</si>
  <si>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</si>
  <si>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</si>
  <si>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</si>
  <si>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</si>
  <si>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</si>
  <si>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</si>
  <si>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</si>
  <si>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</si>
  <si>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</si>
  <si>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</si>
  <si>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</si>
  <si>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</si>
  <si>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</si>
  <si>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</si>
  <si>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</si>
  <si>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</si>
  <si>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</si>
  <si>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</si>
  <si>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</si>
  <si>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</si>
  <si>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</si>
  <si>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</si>
  <si>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</si>
  <si>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</si>
  <si>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</si>
  <si>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</si>
  <si>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</si>
  <si>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</si>
  <si>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</si>
  <si>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</si>
  <si>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</si>
  <si>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</si>
  <si>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</si>
  <si>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</si>
  <si>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</si>
  <si>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</si>
  <si>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</si>
  <si>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</si>
  <si>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</si>
  <si>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</si>
  <si>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</si>
  <si>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</si>
  <si>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</si>
  <si>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</si>
  <si>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</si>
  <si>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</si>
  <si>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</si>
  <si>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</si>
  <si>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</si>
  <si>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</si>
  <si>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</si>
  <si>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</si>
  <si>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</si>
  <si>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</si>
  <si>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</si>
  <si>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</si>
  <si>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</si>
  <si>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</si>
  <si>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</si>
  <si>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</si>
  <si>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</si>
  <si>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</si>
  <si>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</si>
  <si>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</si>
  <si>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</si>
  <si>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</si>
  <si>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</si>
  <si>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</si>
  <si>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</si>
  <si>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</si>
  <si>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</si>
  <si>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</si>
  <si>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</si>
  <si>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</si>
  <si>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</si>
  <si>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</si>
  <si>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</si>
  <si>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</si>
  <si>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</si>
  <si>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</si>
  <si>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</si>
  <si>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</si>
  <si>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</si>
  <si>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</si>
  <si>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</si>
  <si>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</si>
  <si>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</si>
  <si>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</si>
  <si>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</si>
  <si>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</si>
  <si>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</si>
  <si>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</si>
  <si>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</si>
  <si>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</si>
  <si>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</si>
  <si>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</si>
  <si>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</si>
  <si>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</si>
  <si>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</si>
  <si>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</si>
  <si>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</si>
  <si>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</si>
  <si>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</si>
  <si>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</si>
  <si>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</si>
  <si>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</si>
  <si>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</si>
  <si>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</si>
  <si>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</si>
  <si>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</si>
  <si>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</si>
  <si>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</si>
  <si>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</si>
  <si>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</si>
  <si>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</si>
  <si>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</si>
  <si>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</si>
  <si>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</si>
  <si>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</si>
  <si>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</si>
  <si>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</si>
  <si>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</si>
  <si>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</si>
  <si>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</si>
  <si>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</si>
  <si>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</si>
  <si>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</si>
  <si>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</si>
  <si>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</si>
  <si>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</si>
  <si>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</si>
  <si>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</si>
  <si>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</si>
  <si>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</si>
  <si>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</si>
  <si>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</si>
  <si>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</si>
  <si>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</si>
  <si>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</si>
  <si>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</si>
  <si>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</si>
  <si>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</si>
  <si>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</si>
  <si>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</si>
  <si>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</si>
  <si>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</si>
  <si>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</si>
  <si>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</si>
  <si>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</si>
  <si>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</si>
  <si>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</si>
  <si>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</si>
  <si>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</si>
  <si>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</si>
  <si>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</si>
  <si>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</si>
  <si>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</si>
  <si>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</si>
  <si>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</si>
  <si>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</si>
  <si>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</si>
  <si>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</si>
  <si>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</si>
  <si>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</si>
  <si>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</si>
  <si>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</si>
  <si>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</si>
  <si>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</si>
  <si>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</si>
  <si>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</si>
  <si>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</si>
  <si>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</si>
  <si>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</si>
  <si>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12/31/2019</t>
  </si>
  <si>
    <t>085</t>
  </si>
  <si>
    <t>Jefferson County Public Hospital District No 2</t>
  </si>
  <si>
    <t>834 Sheridan Street</t>
  </si>
  <si>
    <t>Port Townsend, WA 98368</t>
  </si>
  <si>
    <t>Jefferson County</t>
  </si>
  <si>
    <t>Mike Glenn</t>
  </si>
  <si>
    <t>Hilary Whittington</t>
  </si>
  <si>
    <t>Jill Rienstra</t>
  </si>
  <si>
    <t>360-385-2200</t>
  </si>
  <si>
    <t>360-379-2242</t>
  </si>
  <si>
    <t>Patient days have gone up and depreciation expense went down.</t>
  </si>
  <si>
    <t>Staffing model changed and salaries are now expensed in the surgical services department.</t>
  </si>
  <si>
    <t>Tyler Freeman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</si>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</sst>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1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43" fontId="9" fillId="0" borderId="1" xfId="1" quotePrefix="1" applyFont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8" fontId="9" fillId="0" borderId="1" xfId="0" applyNumberFormat="1" applyFont="1" applyBorder="1" applyProtection="1">
      <protection locked="0"/>
    </xf>
    <xf numFmtId="38" fontId="3" fillId="0" borderId="0" xfId="0" applyNumberFormat="1" applyFont="1"/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0" fontId="3" fillId="3" borderId="0" xfId="0" applyNumberFormat="1" applyFont="1" applyFill="1" applyAlignment="1">
      <alignment horizontal="center"/>
    </xf>
    <xf numFmtId="9" fontId="3" fillId="0" borderId="0" xfId="3" applyFont="1"/>
    <xf numFmtId="37" fontId="4" fillId="8" borderId="2" xfId="0" applyNumberFormat="1" applyFont="1" applyFill="1" applyBorder="1" applyAlignment="1" applyProtection="1"/>
    <xf numFmtId="37" fontId="4" fillId="8" borderId="2" xfId="0" quotePrefix="1" applyNumberFormat="1" applyFont="1" applyFill="1" applyBorder="1" applyAlignment="1" applyProtection="1"/>
    <xf numFmtId="39" fontId="4" fillId="8" borderId="2" xfId="0" applyNumberFormat="1" applyFont="1" applyFill="1" applyBorder="1" applyAlignment="1" applyProtection="1"/>
    <xf numFmtId="37" fontId="5" fillId="8" borderId="10" xfId="0" applyFont="1" applyFill="1" applyBorder="1" applyAlignment="1"/>
    <xf numFmtId="3" fontId="4" fillId="8" borderId="2" xfId="0" applyNumberFormat="1" applyFont="1" applyFill="1" applyBorder="1" applyAlignment="1" applyProtection="1"/>
    <xf numFmtId="3" fontId="5" fillId="8" borderId="2" xfId="0" applyNumberFormat="1" applyFont="1" applyFill="1" applyBorder="1" applyAlignment="1" applyProtection="1"/>
    <xf numFmtId="37" fontId="4" fillId="8" borderId="1" xfId="0" applyFont="1" applyFill="1" applyBorder="1" applyAlignment="1"/>
    <xf numFmtId="37" fontId="4" fillId="8" borderId="1" xfId="0" applyNumberFormat="1" applyFont="1" applyFill="1" applyBorder="1" applyProtection="1"/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19/YE08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208</v>
          </cell>
          <cell r="E59">
            <v>4390</v>
          </cell>
          <cell r="J59">
            <v>278</v>
          </cell>
          <cell r="L59">
            <v>124</v>
          </cell>
          <cell r="O59">
            <v>119</v>
          </cell>
          <cell r="P59">
            <v>114752</v>
          </cell>
          <cell r="Q59">
            <v>37772</v>
          </cell>
          <cell r="R59">
            <v>160555</v>
          </cell>
          <cell r="U59">
            <v>211095</v>
          </cell>
          <cell r="V59">
            <v>1226</v>
          </cell>
          <cell r="W59">
            <v>1953</v>
          </cell>
          <cell r="X59">
            <v>5015</v>
          </cell>
          <cell r="Y59">
            <v>16773</v>
          </cell>
          <cell r="AA59">
            <v>348</v>
          </cell>
          <cell r="AC59">
            <v>36548</v>
          </cell>
          <cell r="AE59">
            <v>85834</v>
          </cell>
          <cell r="AG59">
            <v>12259</v>
          </cell>
          <cell r="AI59">
            <v>15242</v>
          </cell>
          <cell r="AJ59">
            <v>96754</v>
          </cell>
          <cell r="AR59">
            <v>16797</v>
          </cell>
          <cell r="AY59">
            <v>15389</v>
          </cell>
          <cell r="BE59">
            <v>170421</v>
          </cell>
        </row>
        <row r="71">
          <cell r="C71">
            <v>1656725</v>
          </cell>
          <cell r="D71">
            <v>0</v>
          </cell>
          <cell r="E71">
            <v>4121972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2385</v>
          </cell>
          <cell r="K71">
            <v>0</v>
          </cell>
          <cell r="L71">
            <v>60446</v>
          </cell>
          <cell r="M71">
            <v>0</v>
          </cell>
          <cell r="N71">
            <v>2124093</v>
          </cell>
          <cell r="O71">
            <v>1674152</v>
          </cell>
          <cell r="P71">
            <v>3412620</v>
          </cell>
          <cell r="Q71">
            <v>114271</v>
          </cell>
          <cell r="R71">
            <v>1405534</v>
          </cell>
          <cell r="S71">
            <v>1654540</v>
          </cell>
          <cell r="T71">
            <v>0</v>
          </cell>
          <cell r="U71">
            <v>4742102</v>
          </cell>
          <cell r="V71">
            <v>156299</v>
          </cell>
          <cell r="W71">
            <v>600036</v>
          </cell>
          <cell r="X71">
            <v>398212</v>
          </cell>
          <cell r="Y71">
            <v>2668299</v>
          </cell>
          <cell r="Z71">
            <v>0</v>
          </cell>
          <cell r="AA71">
            <v>209426</v>
          </cell>
          <cell r="AB71">
            <v>12518311</v>
          </cell>
          <cell r="AC71">
            <v>1034694</v>
          </cell>
          <cell r="AD71">
            <v>0</v>
          </cell>
          <cell r="AE71">
            <v>3805268</v>
          </cell>
          <cell r="AF71">
            <v>0</v>
          </cell>
          <cell r="AG71">
            <v>5469978</v>
          </cell>
          <cell r="AH71">
            <v>0</v>
          </cell>
          <cell r="AI71">
            <v>3366077</v>
          </cell>
          <cell r="AJ71">
            <v>24110060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3872074</v>
          </cell>
          <cell r="AS71">
            <v>0</v>
          </cell>
          <cell r="AT71">
            <v>0</v>
          </cell>
          <cell r="AU71">
            <v>0</v>
          </cell>
          <cell r="AV71">
            <v>2171543</v>
          </cell>
          <cell r="AW71">
            <v>0</v>
          </cell>
          <cell r="AX71">
            <v>0</v>
          </cell>
          <cell r="AY71">
            <v>798907</v>
          </cell>
          <cell r="AZ71">
            <v>0</v>
          </cell>
          <cell r="BA71">
            <v>284608</v>
          </cell>
          <cell r="BB71">
            <v>2136</v>
          </cell>
          <cell r="BC71">
            <v>0</v>
          </cell>
          <cell r="BD71">
            <v>694454</v>
          </cell>
          <cell r="BE71">
            <v>3081031</v>
          </cell>
          <cell r="BF71">
            <v>1490617</v>
          </cell>
          <cell r="BG71">
            <v>259648</v>
          </cell>
          <cell r="BH71">
            <v>3102039</v>
          </cell>
          <cell r="BI71">
            <v>0</v>
          </cell>
          <cell r="BJ71">
            <v>1113263</v>
          </cell>
          <cell r="BK71">
            <v>1364320</v>
          </cell>
          <cell r="BL71">
            <v>827572</v>
          </cell>
          <cell r="BM71">
            <v>620369</v>
          </cell>
          <cell r="BN71">
            <v>2246562</v>
          </cell>
          <cell r="BO71">
            <v>143607</v>
          </cell>
          <cell r="BP71">
            <v>403042</v>
          </cell>
          <cell r="BQ71">
            <v>0</v>
          </cell>
          <cell r="BR71">
            <v>1088075</v>
          </cell>
          <cell r="BS71">
            <v>89560</v>
          </cell>
          <cell r="BT71">
            <v>0</v>
          </cell>
          <cell r="BU71">
            <v>0</v>
          </cell>
          <cell r="BV71">
            <v>885107</v>
          </cell>
          <cell r="BW71">
            <v>536867</v>
          </cell>
          <cell r="BX71">
            <v>478940</v>
          </cell>
          <cell r="BY71">
            <v>1495548</v>
          </cell>
          <cell r="BZ71">
            <v>0</v>
          </cell>
          <cell r="CA71">
            <v>0</v>
          </cell>
          <cell r="CB71">
            <v>121696</v>
          </cell>
          <cell r="CC71">
            <v>1690440</v>
          </cell>
          <cell r="CD71">
            <v>-1166625</v>
          </cell>
        </row>
        <row r="82">
          <cell r="C82" t="str">
            <v>12/31/2018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698" transitionEvaluation="1" transitionEntry="1" codeName="Sheet1">
    <pageSetUpPr autoPageBreaks="0" fitToPage="1"/>
  </sheetPr>
  <dimension ref="A1:CF817"/>
  <sheetViews>
    <sheetView showGridLines="0" tabSelected="1" topLeftCell="A698" zoomScale="75" zoomScaleNormal="75" workbookViewId="0">
      <selection activeCell="A716" sqref="A44:CF716"/>
    </sheetView>
  </sheetViews>
  <sheetFormatPr defaultColWidth="11.75" defaultRowHeight="12.65" customHeight="1" x14ac:dyDescent="0.3"/>
  <cols>
    <col min="1" max="1" width="29.58203125" style="179" customWidth="1"/>
    <col min="2" max="2" width="15.58203125" style="179" customWidth="1"/>
    <col min="3" max="3" width="14.75" style="179" customWidth="1"/>
    <col min="4" max="4" width="13.25" style="179" customWidth="1"/>
    <col min="5" max="16384" width="11.75" style="179"/>
  </cols>
  <sheetData>
    <row r="1" spans="1:6" ht="12.75" customHeight="1" x14ac:dyDescent="0.3">
      <c r="A1" s="227" t="s">
        <v>1231</v>
      </c>
      <c r="B1" s="228"/>
      <c r="C1" s="228"/>
      <c r="D1" s="228"/>
      <c r="E1" s="228"/>
      <c r="F1" s="228"/>
    </row>
    <row r="2" spans="1:6" ht="12.75" customHeight="1" x14ac:dyDescent="0.3">
      <c r="A2" s="228" t="s">
        <v>1232</v>
      </c>
      <c r="B2" s="228"/>
      <c r="C2" s="229"/>
      <c r="D2" s="228"/>
      <c r="E2" s="228"/>
      <c r="F2" s="228"/>
    </row>
    <row r="3" spans="1:6" ht="12.75" customHeight="1" x14ac:dyDescent="0.3">
      <c r="A3" s="197"/>
      <c r="C3" s="230"/>
    </row>
    <row r="4" spans="1:6" ht="12.75" customHeight="1" x14ac:dyDescent="0.3">
      <c r="C4" s="230"/>
    </row>
    <row r="5" spans="1:6" ht="12.75" customHeight="1" x14ac:dyDescent="0.3">
      <c r="A5" s="197" t="s">
        <v>1257</v>
      </c>
      <c r="C5" s="230"/>
    </row>
    <row r="6" spans="1:6" ht="12.75" customHeight="1" x14ac:dyDescent="0.3">
      <c r="A6" s="197" t="s">
        <v>0</v>
      </c>
      <c r="C6" s="230"/>
    </row>
    <row r="7" spans="1:6" ht="12.75" customHeight="1" x14ac:dyDescent="0.3">
      <c r="A7" s="197" t="s">
        <v>1</v>
      </c>
      <c r="C7" s="230"/>
    </row>
    <row r="8" spans="1:6" ht="12.75" customHeight="1" x14ac:dyDescent="0.3">
      <c r="C8" s="230"/>
    </row>
    <row r="9" spans="1:6" ht="12.75" customHeight="1" x14ac:dyDescent="0.3">
      <c r="C9" s="230"/>
    </row>
    <row r="10" spans="1:6" ht="12.75" customHeight="1" x14ac:dyDescent="0.3">
      <c r="A10" s="196" t="s">
        <v>1228</v>
      </c>
      <c r="C10" s="230"/>
    </row>
    <row r="11" spans="1:6" ht="12.75" customHeight="1" x14ac:dyDescent="0.3">
      <c r="A11" s="196" t="s">
        <v>1230</v>
      </c>
      <c r="C11" s="230"/>
    </row>
    <row r="12" spans="1:6" ht="12.75" customHeight="1" x14ac:dyDescent="0.3">
      <c r="C12" s="230"/>
    </row>
    <row r="13" spans="1:6" ht="12.75" customHeight="1" x14ac:dyDescent="0.3">
      <c r="C13" s="230"/>
    </row>
    <row r="14" spans="1:6" ht="12.75" customHeight="1" x14ac:dyDescent="0.3">
      <c r="A14" s="197" t="s">
        <v>2</v>
      </c>
      <c r="C14" s="230"/>
    </row>
    <row r="15" spans="1:6" ht="12.75" customHeight="1" x14ac:dyDescent="0.3">
      <c r="A15" s="288"/>
      <c r="C15" s="230"/>
    </row>
    <row r="16" spans="1:6" ht="12.75" customHeight="1" x14ac:dyDescent="0.3">
      <c r="A16" s="289" t="s">
        <v>1266</v>
      </c>
      <c r="C16" s="230"/>
      <c r="F16" s="282"/>
    </row>
    <row r="17" spans="1:6" ht="12.75" customHeight="1" x14ac:dyDescent="0.3">
      <c r="A17" s="289" t="s">
        <v>1264</v>
      </c>
      <c r="C17" s="282"/>
    </row>
    <row r="18" spans="1:6" ht="12.75" customHeight="1" x14ac:dyDescent="0.3">
      <c r="A18" s="223"/>
      <c r="C18" s="230"/>
    </row>
    <row r="19" spans="1:6" ht="12.75" customHeight="1" x14ac:dyDescent="0.3">
      <c r="C19" s="230"/>
    </row>
    <row r="20" spans="1:6" ht="12.75" customHeight="1" x14ac:dyDescent="0.3">
      <c r="A20" s="268" t="s">
        <v>1233</v>
      </c>
      <c r="B20" s="268"/>
      <c r="C20" s="283"/>
      <c r="D20" s="268"/>
      <c r="E20" s="268"/>
      <c r="F20" s="268"/>
    </row>
    <row r="21" spans="1:6" ht="22.5" customHeight="1" x14ac:dyDescent="0.3">
      <c r="A21" s="197"/>
      <c r="C21" s="230"/>
    </row>
    <row r="22" spans="1:6" ht="12.65" customHeight="1" x14ac:dyDescent="0.3">
      <c r="A22" s="232" t="s">
        <v>1253</v>
      </c>
      <c r="B22" s="233"/>
      <c r="C22" s="234"/>
      <c r="D22" s="232"/>
      <c r="E22" s="232"/>
    </row>
    <row r="23" spans="1:6" ht="12.65" customHeight="1" x14ac:dyDescent="0.3">
      <c r="B23" s="197"/>
      <c r="C23" s="230"/>
    </row>
    <row r="24" spans="1:6" ht="12.65" customHeight="1" x14ac:dyDescent="0.3">
      <c r="A24" s="235" t="s">
        <v>3</v>
      </c>
      <c r="C24" s="230"/>
    </row>
    <row r="25" spans="1:6" ht="12.65" customHeight="1" x14ac:dyDescent="0.3">
      <c r="A25" s="196" t="s">
        <v>1234</v>
      </c>
      <c r="C25" s="230"/>
    </row>
    <row r="26" spans="1:6" ht="12.65" customHeight="1" x14ac:dyDescent="0.3">
      <c r="A26" s="197" t="s">
        <v>4</v>
      </c>
      <c r="C26" s="230"/>
    </row>
    <row r="27" spans="1:6" ht="12.65" customHeight="1" x14ac:dyDescent="0.3">
      <c r="A27" s="196" t="s">
        <v>1235</v>
      </c>
      <c r="C27" s="230"/>
    </row>
    <row r="28" spans="1:6" ht="12.65" customHeight="1" x14ac:dyDescent="0.3">
      <c r="A28" s="197" t="s">
        <v>5</v>
      </c>
      <c r="C28" s="230"/>
    </row>
    <row r="29" spans="1:6" ht="12.65" customHeight="1" x14ac:dyDescent="0.3">
      <c r="A29" s="196"/>
      <c r="C29" s="230"/>
    </row>
    <row r="30" spans="1:6" ht="12.65" customHeight="1" x14ac:dyDescent="0.3">
      <c r="A30" s="179" t="s">
        <v>6</v>
      </c>
      <c r="C30" s="230"/>
    </row>
    <row r="31" spans="1:6" ht="12.65" customHeight="1" x14ac:dyDescent="0.3">
      <c r="A31" s="197" t="s">
        <v>7</v>
      </c>
      <c r="C31" s="230"/>
    </row>
    <row r="32" spans="1:6" ht="12.65" customHeight="1" x14ac:dyDescent="0.3">
      <c r="A32" s="197" t="s">
        <v>8</v>
      </c>
      <c r="C32" s="230"/>
    </row>
    <row r="33" spans="1:83" ht="12.65" customHeight="1" x14ac:dyDescent="0.3">
      <c r="A33" s="196" t="s">
        <v>1236</v>
      </c>
      <c r="C33" s="230"/>
    </row>
    <row r="34" spans="1:83" ht="12.65" customHeight="1" x14ac:dyDescent="0.3">
      <c r="A34" s="197" t="s">
        <v>9</v>
      </c>
      <c r="C34" s="230"/>
    </row>
    <row r="35" spans="1:83" ht="12.65" customHeight="1" x14ac:dyDescent="0.3">
      <c r="A35" s="197"/>
      <c r="C35" s="230"/>
    </row>
    <row r="36" spans="1:83" ht="12.65" customHeight="1" x14ac:dyDescent="0.3">
      <c r="A36" s="196" t="s">
        <v>1237</v>
      </c>
      <c r="C36" s="230"/>
    </row>
    <row r="37" spans="1:83" ht="12.65" customHeight="1" x14ac:dyDescent="0.3">
      <c r="A37" s="197" t="s">
        <v>1229</v>
      </c>
      <c r="C37" s="230"/>
    </row>
    <row r="38" spans="1:83" ht="12" customHeight="1" x14ac:dyDescent="0.3">
      <c r="A38" s="196"/>
      <c r="C38" s="230"/>
    </row>
    <row r="39" spans="1:83" ht="12.65" customHeight="1" x14ac:dyDescent="0.3">
      <c r="A39" s="197"/>
      <c r="C39" s="230"/>
    </row>
    <row r="40" spans="1:83" ht="12" customHeight="1" x14ac:dyDescent="0.3">
      <c r="A40" s="197"/>
      <c r="C40" s="230"/>
    </row>
    <row r="41" spans="1:83" ht="12" customHeight="1" x14ac:dyDescent="0.3">
      <c r="A41" s="197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3" ht="12" customHeight="1" x14ac:dyDescent="0.3">
      <c r="A42" s="197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3" ht="12" customHeight="1" x14ac:dyDescent="0.3">
      <c r="A43" s="197"/>
      <c r="C43" s="230"/>
      <c r="F43" s="180"/>
    </row>
    <row r="44" spans="1:83" ht="12" customHeight="1" x14ac:dyDescent="0.3">
      <c r="A44" s="174"/>
      <c r="B44" s="174"/>
      <c r="C44" s="181" t="s">
        <v>10</v>
      </c>
      <c r="D44" s="169" t="s">
        <v>11</v>
      </c>
      <c r="E44" s="169" t="s">
        <v>12</v>
      </c>
      <c r="F44" s="169" t="s">
        <v>13</v>
      </c>
      <c r="G44" s="169" t="s">
        <v>14</v>
      </c>
      <c r="H44" s="169" t="s">
        <v>15</v>
      </c>
      <c r="I44" s="169" t="s">
        <v>16</v>
      </c>
      <c r="J44" s="169" t="s">
        <v>17</v>
      </c>
      <c r="K44" s="169" t="s">
        <v>18</v>
      </c>
      <c r="L44" s="169" t="s">
        <v>19</v>
      </c>
      <c r="M44" s="169" t="s">
        <v>20</v>
      </c>
      <c r="N44" s="169" t="s">
        <v>21</v>
      </c>
      <c r="O44" s="169" t="s">
        <v>22</v>
      </c>
      <c r="P44" s="169" t="s">
        <v>23</v>
      </c>
      <c r="Q44" s="169" t="s">
        <v>24</v>
      </c>
      <c r="R44" s="169" t="s">
        <v>25</v>
      </c>
      <c r="S44" s="169" t="s">
        <v>26</v>
      </c>
      <c r="T44" s="169" t="s">
        <v>27</v>
      </c>
      <c r="U44" s="169" t="s">
        <v>28</v>
      </c>
      <c r="V44" s="169" t="s">
        <v>29</v>
      </c>
      <c r="W44" s="169" t="s">
        <v>30</v>
      </c>
      <c r="X44" s="169" t="s">
        <v>31</v>
      </c>
      <c r="Y44" s="169" t="s">
        <v>32</v>
      </c>
      <c r="Z44" s="169" t="s">
        <v>33</v>
      </c>
      <c r="AA44" s="169" t="s">
        <v>34</v>
      </c>
      <c r="AB44" s="169" t="s">
        <v>35</v>
      </c>
      <c r="AC44" s="169" t="s">
        <v>36</v>
      </c>
      <c r="AD44" s="169" t="s">
        <v>37</v>
      </c>
      <c r="AE44" s="169" t="s">
        <v>38</v>
      </c>
      <c r="AF44" s="169" t="s">
        <v>39</v>
      </c>
      <c r="AG44" s="169" t="s">
        <v>40</v>
      </c>
      <c r="AH44" s="169" t="s">
        <v>41</v>
      </c>
      <c r="AI44" s="169" t="s">
        <v>42</v>
      </c>
      <c r="AJ44" s="169" t="s">
        <v>43</v>
      </c>
      <c r="AK44" s="169" t="s">
        <v>44</v>
      </c>
      <c r="AL44" s="169" t="s">
        <v>45</v>
      </c>
      <c r="AM44" s="169" t="s">
        <v>46</v>
      </c>
      <c r="AN44" s="169" t="s">
        <v>47</v>
      </c>
      <c r="AO44" s="169" t="s">
        <v>48</v>
      </c>
      <c r="AP44" s="169" t="s">
        <v>49</v>
      </c>
      <c r="AQ44" s="169" t="s">
        <v>50</v>
      </c>
      <c r="AR44" s="169" t="s">
        <v>51</v>
      </c>
      <c r="AS44" s="169" t="s">
        <v>52</v>
      </c>
      <c r="AT44" s="169" t="s">
        <v>53</v>
      </c>
      <c r="AU44" s="169" t="s">
        <v>54</v>
      </c>
      <c r="AV44" s="169" t="s">
        <v>55</v>
      </c>
      <c r="AW44" s="169" t="s">
        <v>56</v>
      </c>
      <c r="AX44" s="169" t="s">
        <v>57</v>
      </c>
      <c r="AY44" s="169" t="s">
        <v>58</v>
      </c>
      <c r="AZ44" s="169" t="s">
        <v>59</v>
      </c>
      <c r="BA44" s="169" t="s">
        <v>60</v>
      </c>
      <c r="BB44" s="169" t="s">
        <v>61</v>
      </c>
      <c r="BC44" s="169" t="s">
        <v>62</v>
      </c>
      <c r="BD44" s="169" t="s">
        <v>63</v>
      </c>
      <c r="BE44" s="169" t="s">
        <v>64</v>
      </c>
      <c r="BF44" s="169" t="s">
        <v>65</v>
      </c>
      <c r="BG44" s="169" t="s">
        <v>66</v>
      </c>
      <c r="BH44" s="169" t="s">
        <v>67</v>
      </c>
      <c r="BI44" s="169" t="s">
        <v>68</v>
      </c>
      <c r="BJ44" s="169" t="s">
        <v>69</v>
      </c>
      <c r="BK44" s="169" t="s">
        <v>70</v>
      </c>
      <c r="BL44" s="169" t="s">
        <v>71</v>
      </c>
      <c r="BM44" s="169" t="s">
        <v>72</v>
      </c>
      <c r="BN44" s="169" t="s">
        <v>73</v>
      </c>
      <c r="BO44" s="169" t="s">
        <v>74</v>
      </c>
      <c r="BP44" s="169" t="s">
        <v>75</v>
      </c>
      <c r="BQ44" s="169" t="s">
        <v>76</v>
      </c>
      <c r="BR44" s="169" t="s">
        <v>77</v>
      </c>
      <c r="BS44" s="169" t="s">
        <v>78</v>
      </c>
      <c r="BT44" s="169" t="s">
        <v>79</v>
      </c>
      <c r="BU44" s="169" t="s">
        <v>80</v>
      </c>
      <c r="BV44" s="169" t="s">
        <v>81</v>
      </c>
      <c r="BW44" s="169" t="s">
        <v>82</v>
      </c>
      <c r="BX44" s="169" t="s">
        <v>83</v>
      </c>
      <c r="BY44" s="169" t="s">
        <v>84</v>
      </c>
      <c r="BZ44" s="169" t="s">
        <v>85</v>
      </c>
      <c r="CA44" s="169" t="s">
        <v>86</v>
      </c>
      <c r="CB44" s="169" t="s">
        <v>87</v>
      </c>
      <c r="CC44" s="169" t="s">
        <v>88</v>
      </c>
      <c r="CD44" s="169" t="s">
        <v>89</v>
      </c>
      <c r="CE44" s="169" t="s">
        <v>90</v>
      </c>
    </row>
    <row r="45" spans="1:83" ht="12" customHeight="1" x14ac:dyDescent="0.3">
      <c r="A45" s="174"/>
      <c r="B45" s="239" t="s">
        <v>91</v>
      </c>
      <c r="C45" s="181" t="s">
        <v>92</v>
      </c>
      <c r="D45" s="169" t="s">
        <v>93</v>
      </c>
      <c r="E45" s="169" t="s">
        <v>94</v>
      </c>
      <c r="F45" s="169" t="s">
        <v>95</v>
      </c>
      <c r="G45" s="169" t="s">
        <v>96</v>
      </c>
      <c r="H45" s="169" t="s">
        <v>97</v>
      </c>
      <c r="I45" s="169" t="s">
        <v>98</v>
      </c>
      <c r="J45" s="169" t="s">
        <v>99</v>
      </c>
      <c r="K45" s="169" t="s">
        <v>100</v>
      </c>
      <c r="L45" s="169" t="s">
        <v>101</v>
      </c>
      <c r="M45" s="169" t="s">
        <v>102</v>
      </c>
      <c r="N45" s="169" t="s">
        <v>103</v>
      </c>
      <c r="O45" s="169" t="s">
        <v>104</v>
      </c>
      <c r="P45" s="169" t="s">
        <v>105</v>
      </c>
      <c r="Q45" s="169" t="s">
        <v>106</v>
      </c>
      <c r="R45" s="169" t="s">
        <v>107</v>
      </c>
      <c r="S45" s="169" t="s">
        <v>108</v>
      </c>
      <c r="T45" s="169" t="s">
        <v>1194</v>
      </c>
      <c r="U45" s="169" t="s">
        <v>109</v>
      </c>
      <c r="V45" s="169" t="s">
        <v>110</v>
      </c>
      <c r="W45" s="169" t="s">
        <v>111</v>
      </c>
      <c r="X45" s="169" t="s">
        <v>112</v>
      </c>
      <c r="Y45" s="169" t="s">
        <v>113</v>
      </c>
      <c r="Z45" s="169" t="s">
        <v>113</v>
      </c>
      <c r="AA45" s="169" t="s">
        <v>114</v>
      </c>
      <c r="AB45" s="169" t="s">
        <v>115</v>
      </c>
      <c r="AC45" s="169" t="s">
        <v>116</v>
      </c>
      <c r="AD45" s="169" t="s">
        <v>117</v>
      </c>
      <c r="AE45" s="169" t="s">
        <v>96</v>
      </c>
      <c r="AF45" s="169" t="s">
        <v>97</v>
      </c>
      <c r="AG45" s="169" t="s">
        <v>118</v>
      </c>
      <c r="AH45" s="169" t="s">
        <v>119</v>
      </c>
      <c r="AI45" s="169" t="s">
        <v>120</v>
      </c>
      <c r="AJ45" s="169" t="s">
        <v>121</v>
      </c>
      <c r="AK45" s="169" t="s">
        <v>122</v>
      </c>
      <c r="AL45" s="169" t="s">
        <v>123</v>
      </c>
      <c r="AM45" s="169" t="s">
        <v>124</v>
      </c>
      <c r="AN45" s="169" t="s">
        <v>110</v>
      </c>
      <c r="AO45" s="169" t="s">
        <v>125</v>
      </c>
      <c r="AP45" s="169" t="s">
        <v>126</v>
      </c>
      <c r="AQ45" s="169" t="s">
        <v>127</v>
      </c>
      <c r="AR45" s="169" t="s">
        <v>128</v>
      </c>
      <c r="AS45" s="169" t="s">
        <v>129</v>
      </c>
      <c r="AT45" s="169" t="s">
        <v>130</v>
      </c>
      <c r="AU45" s="169" t="s">
        <v>131</v>
      </c>
      <c r="AV45" s="169" t="s">
        <v>132</v>
      </c>
      <c r="AW45" s="169" t="s">
        <v>133</v>
      </c>
      <c r="AX45" s="169" t="s">
        <v>134</v>
      </c>
      <c r="AY45" s="169" t="s">
        <v>135</v>
      </c>
      <c r="AZ45" s="169" t="s">
        <v>136</v>
      </c>
      <c r="BA45" s="169" t="s">
        <v>137</v>
      </c>
      <c r="BB45" s="169" t="s">
        <v>138</v>
      </c>
      <c r="BC45" s="169" t="s">
        <v>108</v>
      </c>
      <c r="BD45" s="169" t="s">
        <v>139</v>
      </c>
      <c r="BE45" s="169" t="s">
        <v>140</v>
      </c>
      <c r="BF45" s="169" t="s">
        <v>141</v>
      </c>
      <c r="BG45" s="169" t="s">
        <v>142</v>
      </c>
      <c r="BH45" s="169" t="s">
        <v>143</v>
      </c>
      <c r="BI45" s="169" t="s">
        <v>144</v>
      </c>
      <c r="BJ45" s="169" t="s">
        <v>145</v>
      </c>
      <c r="BK45" s="169" t="s">
        <v>146</v>
      </c>
      <c r="BL45" s="169" t="s">
        <v>147</v>
      </c>
      <c r="BM45" s="169" t="s">
        <v>132</v>
      </c>
      <c r="BN45" s="169" t="s">
        <v>148</v>
      </c>
      <c r="BO45" s="169" t="s">
        <v>149</v>
      </c>
      <c r="BP45" s="169" t="s">
        <v>150</v>
      </c>
      <c r="BQ45" s="169" t="s">
        <v>151</v>
      </c>
      <c r="BR45" s="169" t="s">
        <v>152</v>
      </c>
      <c r="BS45" s="169" t="s">
        <v>153</v>
      </c>
      <c r="BT45" s="169" t="s">
        <v>154</v>
      </c>
      <c r="BU45" s="169" t="s">
        <v>155</v>
      </c>
      <c r="BV45" s="169" t="s">
        <v>155</v>
      </c>
      <c r="BW45" s="169" t="s">
        <v>155</v>
      </c>
      <c r="BX45" s="169" t="s">
        <v>156</v>
      </c>
      <c r="BY45" s="169" t="s">
        <v>157</v>
      </c>
      <c r="BZ45" s="169" t="s">
        <v>158</v>
      </c>
      <c r="CA45" s="169" t="s">
        <v>159</v>
      </c>
      <c r="CB45" s="169" t="s">
        <v>160</v>
      </c>
      <c r="CC45" s="169" t="s">
        <v>132</v>
      </c>
      <c r="CD45" s="169"/>
      <c r="CE45" s="169" t="s">
        <v>161</v>
      </c>
    </row>
    <row r="46" spans="1:83" ht="12.65" customHeight="1" x14ac:dyDescent="0.3">
      <c r="A46" s="174" t="s">
        <v>3</v>
      </c>
      <c r="B46" s="169" t="s">
        <v>162</v>
      </c>
      <c r="C46" s="181" t="s">
        <v>163</v>
      </c>
      <c r="D46" s="169" t="s">
        <v>163</v>
      </c>
      <c r="E46" s="169" t="s">
        <v>163</v>
      </c>
      <c r="F46" s="169" t="s">
        <v>164</v>
      </c>
      <c r="G46" s="169" t="s">
        <v>165</v>
      </c>
      <c r="H46" s="169" t="s">
        <v>163</v>
      </c>
      <c r="I46" s="169" t="s">
        <v>166</v>
      </c>
      <c r="J46" s="169"/>
      <c r="K46" s="169" t="s">
        <v>157</v>
      </c>
      <c r="L46" s="169" t="s">
        <v>167</v>
      </c>
      <c r="M46" s="169" t="s">
        <v>168</v>
      </c>
      <c r="N46" s="169" t="s">
        <v>169</v>
      </c>
      <c r="O46" s="169" t="s">
        <v>170</v>
      </c>
      <c r="P46" s="169" t="s">
        <v>169</v>
      </c>
      <c r="Q46" s="169" t="s">
        <v>171</v>
      </c>
      <c r="R46" s="169"/>
      <c r="S46" s="169" t="s">
        <v>169</v>
      </c>
      <c r="T46" s="169" t="s">
        <v>172</v>
      </c>
      <c r="U46" s="169"/>
      <c r="V46" s="169" t="s">
        <v>173</v>
      </c>
      <c r="W46" s="169" t="s">
        <v>174</v>
      </c>
      <c r="X46" s="169" t="s">
        <v>175</v>
      </c>
      <c r="Y46" s="169" t="s">
        <v>176</v>
      </c>
      <c r="Z46" s="169" t="s">
        <v>177</v>
      </c>
      <c r="AA46" s="169" t="s">
        <v>178</v>
      </c>
      <c r="AB46" s="169"/>
      <c r="AC46" s="169" t="s">
        <v>172</v>
      </c>
      <c r="AD46" s="169"/>
      <c r="AE46" s="169" t="s">
        <v>172</v>
      </c>
      <c r="AF46" s="169" t="s">
        <v>179</v>
      </c>
      <c r="AG46" s="169" t="s">
        <v>171</v>
      </c>
      <c r="AH46" s="169"/>
      <c r="AI46" s="169" t="s">
        <v>180</v>
      </c>
      <c r="AJ46" s="169"/>
      <c r="AK46" s="169" t="s">
        <v>172</v>
      </c>
      <c r="AL46" s="169" t="s">
        <v>172</v>
      </c>
      <c r="AM46" s="169" t="s">
        <v>172</v>
      </c>
      <c r="AN46" s="169" t="s">
        <v>181</v>
      </c>
      <c r="AO46" s="169" t="s">
        <v>182</v>
      </c>
      <c r="AP46" s="169" t="s">
        <v>121</v>
      </c>
      <c r="AQ46" s="169" t="s">
        <v>183</v>
      </c>
      <c r="AR46" s="169" t="s">
        <v>169</v>
      </c>
      <c r="AS46" s="169"/>
      <c r="AT46" s="169" t="s">
        <v>184</v>
      </c>
      <c r="AU46" s="169" t="s">
        <v>185</v>
      </c>
      <c r="AV46" s="169" t="s">
        <v>186</v>
      </c>
      <c r="AW46" s="169" t="s">
        <v>187</v>
      </c>
      <c r="AX46" s="169" t="s">
        <v>188</v>
      </c>
      <c r="AY46" s="169"/>
      <c r="AZ46" s="169"/>
      <c r="BA46" s="169" t="s">
        <v>189</v>
      </c>
      <c r="BB46" s="169" t="s">
        <v>169</v>
      </c>
      <c r="BC46" s="169" t="s">
        <v>183</v>
      </c>
      <c r="BD46" s="169"/>
      <c r="BE46" s="169"/>
      <c r="BF46" s="169"/>
      <c r="BG46" s="169"/>
      <c r="BH46" s="169" t="s">
        <v>190</v>
      </c>
      <c r="BI46" s="169" t="s">
        <v>169</v>
      </c>
      <c r="BJ46" s="169"/>
      <c r="BK46" s="169" t="s">
        <v>191</v>
      </c>
      <c r="BL46" s="169"/>
      <c r="BM46" s="169" t="s">
        <v>192</v>
      </c>
      <c r="BN46" s="169" t="s">
        <v>193</v>
      </c>
      <c r="BO46" s="169" t="s">
        <v>194</v>
      </c>
      <c r="BP46" s="169" t="s">
        <v>195</v>
      </c>
      <c r="BQ46" s="169" t="s">
        <v>196</v>
      </c>
      <c r="BR46" s="169"/>
      <c r="BS46" s="169" t="s">
        <v>197</v>
      </c>
      <c r="BT46" s="169" t="s">
        <v>169</v>
      </c>
      <c r="BU46" s="169" t="s">
        <v>198</v>
      </c>
      <c r="BV46" s="169" t="s">
        <v>199</v>
      </c>
      <c r="BW46" s="169" t="s">
        <v>200</v>
      </c>
      <c r="BX46" s="169" t="s">
        <v>151</v>
      </c>
      <c r="BY46" s="169" t="s">
        <v>193</v>
      </c>
      <c r="BZ46" s="169" t="s">
        <v>152</v>
      </c>
      <c r="CA46" s="169" t="s">
        <v>201</v>
      </c>
      <c r="CB46" s="169" t="s">
        <v>201</v>
      </c>
      <c r="CC46" s="169" t="s">
        <v>202</v>
      </c>
      <c r="CD46" s="169"/>
      <c r="CE46" s="169" t="s">
        <v>203</v>
      </c>
    </row>
    <row r="47" spans="1:83" ht="12.65" customHeight="1" x14ac:dyDescent="0.3">
      <c r="A47" s="174" t="s">
        <v>204</v>
      </c>
      <c r="B47" s="182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83"/>
      <c r="BR47" s="183"/>
      <c r="BS47" s="183"/>
      <c r="BT47" s="183"/>
      <c r="BU47" s="183"/>
      <c r="BV47" s="183"/>
      <c r="BW47" s="183"/>
      <c r="BX47" s="183"/>
      <c r="BY47" s="183"/>
      <c r="BZ47" s="183"/>
      <c r="CA47" s="183"/>
      <c r="CB47" s="183"/>
      <c r="CC47" s="183"/>
      <c r="CD47" s="193"/>
      <c r="CE47" s="193">
        <f>SUM(C47:CC47)</f>
        <v>0</v>
      </c>
    </row>
    <row r="48" spans="1:83" ht="12.65" customHeight="1" x14ac:dyDescent="0.3">
      <c r="A48" s="174" t="s">
        <v>205</v>
      </c>
      <c r="B48" s="182">
        <v>14751096</v>
      </c>
      <c r="C48" s="240">
        <f>ROUND(((B48/CE61)*C61),0)</f>
        <v>219359</v>
      </c>
      <c r="D48" s="240">
        <f>ROUND(((B48/CE61)*D61),0)</f>
        <v>0</v>
      </c>
      <c r="E48" s="193">
        <f>ROUND(((B48/CE61)*E61),0)</f>
        <v>674864</v>
      </c>
      <c r="F48" s="193">
        <f>ROUND(((B48/CE61)*F61),0)</f>
        <v>0</v>
      </c>
      <c r="G48" s="193">
        <f>ROUND(((B48/CE61)*G61),0)</f>
        <v>0</v>
      </c>
      <c r="H48" s="193">
        <f>ROUND(((B48/CE61)*H61),0)</f>
        <v>0</v>
      </c>
      <c r="I48" s="193">
        <f>ROUND(((B48/CE61)*I61),0)</f>
        <v>0</v>
      </c>
      <c r="J48" s="193">
        <f>ROUND(((B48/CE61)*J61),0)</f>
        <v>0</v>
      </c>
      <c r="K48" s="193">
        <f>ROUND(((B48/CE61)*K61),0)</f>
        <v>0</v>
      </c>
      <c r="L48" s="193">
        <f>ROUND(((B48/CE61)*L61),0)</f>
        <v>18</v>
      </c>
      <c r="M48" s="193">
        <f>ROUND(((B48/CE61)*M61),0)</f>
        <v>0</v>
      </c>
      <c r="N48" s="193">
        <f>ROUND(((B48/CE61)*N61),0)</f>
        <v>451429</v>
      </c>
      <c r="O48" s="193">
        <f>ROUND(((B48/CE61)*O61),0)</f>
        <v>256569</v>
      </c>
      <c r="P48" s="193">
        <f>ROUND(((B48/CE61)*P61),0)</f>
        <v>398020</v>
      </c>
      <c r="Q48" s="193">
        <f>ROUND(((B48/CE61)*Q61),0)</f>
        <v>284</v>
      </c>
      <c r="R48" s="193">
        <f>ROUND(((B48/CE61)*R61),0)</f>
        <v>272691</v>
      </c>
      <c r="S48" s="193">
        <f>ROUND(((B48/CE61)*S61),0)</f>
        <v>31623</v>
      </c>
      <c r="T48" s="193">
        <f>ROUND(((B48/CE61)*T61),0)</f>
        <v>0</v>
      </c>
      <c r="U48" s="193">
        <f>ROUND(((B48/CE61)*U61),0)</f>
        <v>385851</v>
      </c>
      <c r="V48" s="193">
        <f>ROUND(((B48/CE61)*V61),0)</f>
        <v>0</v>
      </c>
      <c r="W48" s="193">
        <f>ROUND(((B48/CE61)*W61),0)</f>
        <v>45360</v>
      </c>
      <c r="X48" s="193">
        <f>ROUND(((B48/CE61)*X61),0)</f>
        <v>23940</v>
      </c>
      <c r="Y48" s="193">
        <f>ROUND(((B48/CE61)*Y61),0)</f>
        <v>377855</v>
      </c>
      <c r="Z48" s="193">
        <f>ROUND(((B48/CE61)*Z61),0)</f>
        <v>0</v>
      </c>
      <c r="AA48" s="193">
        <f>ROUND(((B48/CE61)*AA61),0)</f>
        <v>20618</v>
      </c>
      <c r="AB48" s="193">
        <f>ROUND(((B48/CE61)*AB61),0)</f>
        <v>325964</v>
      </c>
      <c r="AC48" s="193">
        <f>ROUND(((B48/CE61)*AC61),0)</f>
        <v>157752</v>
      </c>
      <c r="AD48" s="193">
        <f>ROUND(((B48/CE61)*AD61),0)</f>
        <v>0</v>
      </c>
      <c r="AE48" s="193">
        <f>ROUND(((B48/CE61)*AE61),0)</f>
        <v>607680</v>
      </c>
      <c r="AF48" s="193">
        <f>ROUND(((B48/CE61)*AF61),0)</f>
        <v>0</v>
      </c>
      <c r="AG48" s="193">
        <f>ROUND(((B48/CE61)*AG61),0)</f>
        <v>1011519</v>
      </c>
      <c r="AH48" s="193">
        <f>ROUND(((B48/CE61)*AH61),0)</f>
        <v>0</v>
      </c>
      <c r="AI48" s="193">
        <f>ROUND(((B48/CE61)*AI61),0)</f>
        <v>769063</v>
      </c>
      <c r="AJ48" s="193">
        <f>ROUND(((B48/CE61)*AJ61),0)</f>
        <v>4317314</v>
      </c>
      <c r="AK48" s="193">
        <f>ROUND(((B48/CE61)*AK61),0)</f>
        <v>0</v>
      </c>
      <c r="AL48" s="193">
        <f>ROUND(((B48/CE61)*AL61),0)</f>
        <v>0</v>
      </c>
      <c r="AM48" s="193">
        <f>ROUND(((B48/CE61)*AM61),0)</f>
        <v>0</v>
      </c>
      <c r="AN48" s="193">
        <f>ROUND(((B48/CE61)*AN61),0)</f>
        <v>0</v>
      </c>
      <c r="AO48" s="193">
        <f>ROUND(((B48/CE61)*AO61),0)</f>
        <v>0</v>
      </c>
      <c r="AP48" s="193">
        <f>ROUND(((B48/CE61)*AP61),0)</f>
        <v>0</v>
      </c>
      <c r="AQ48" s="193">
        <f>ROUND(((B48/CE61)*AQ61),0)</f>
        <v>0</v>
      </c>
      <c r="AR48" s="193">
        <f>ROUND(((B48/CE61)*AR61),0)</f>
        <v>679796</v>
      </c>
      <c r="AS48" s="193">
        <f>ROUND(((B48/CE61)*AS61),0)</f>
        <v>0</v>
      </c>
      <c r="AT48" s="193">
        <f>ROUND(((B48/CE61)*AT61),0)</f>
        <v>0</v>
      </c>
      <c r="AU48" s="193">
        <f>ROUND(((B48/CE61)*AU61),0)</f>
        <v>0</v>
      </c>
      <c r="AV48" s="193">
        <f>ROUND(((B48/CE61)*AV61),0)</f>
        <v>349001</v>
      </c>
      <c r="AW48" s="193">
        <f>ROUND(((B48/CE61)*AW61),0)</f>
        <v>0</v>
      </c>
      <c r="AX48" s="193">
        <f>ROUND(((B48/CE61)*AX61),0)</f>
        <v>0</v>
      </c>
      <c r="AY48" s="193">
        <f>ROUND(((B48/CE61)*AY61),0)</f>
        <v>176992</v>
      </c>
      <c r="AZ48" s="193">
        <f>ROUND(((B48/CE61)*AZ61),0)</f>
        <v>0</v>
      </c>
      <c r="BA48" s="193">
        <f>ROUND(((B48/CE61)*BA61),0)</f>
        <v>0</v>
      </c>
      <c r="BB48" s="193">
        <f>ROUND(((B48/CE61)*BB61),0)</f>
        <v>0</v>
      </c>
      <c r="BC48" s="193">
        <f>ROUND(((B48/CE61)*BC61),0)</f>
        <v>0</v>
      </c>
      <c r="BD48" s="193">
        <f>ROUND(((B48/CE61)*BD61),0)</f>
        <v>110727</v>
      </c>
      <c r="BE48" s="193">
        <f>ROUND(((B48/CE61)*BE61),0)</f>
        <v>267807</v>
      </c>
      <c r="BF48" s="193">
        <f>ROUND(((B48/CE61)*BF61),0)</f>
        <v>225535</v>
      </c>
      <c r="BG48" s="193">
        <f>ROUND(((B48/CE61)*BG61),0)</f>
        <v>0</v>
      </c>
      <c r="BH48" s="193">
        <f>ROUND(((B48/CE61)*BH61),0)</f>
        <v>328022</v>
      </c>
      <c r="BI48" s="193">
        <f>ROUND(((B48/CE61)*BI61),0)</f>
        <v>0</v>
      </c>
      <c r="BJ48" s="193">
        <f>ROUND(((B48/CE61)*BJ61),0)</f>
        <v>163912</v>
      </c>
      <c r="BK48" s="193">
        <f>ROUND(((B48/CE61)*BK61),0)</f>
        <v>207976</v>
      </c>
      <c r="BL48" s="193">
        <f>ROUND(((B48/CE61)*BL61),0)</f>
        <v>148293</v>
      </c>
      <c r="BM48" s="193">
        <f>ROUND(((B48/CE61)*BM61),0)</f>
        <v>70084</v>
      </c>
      <c r="BN48" s="193">
        <f>ROUND(((B48/CE61)*BN61),0)</f>
        <v>470963</v>
      </c>
      <c r="BO48" s="193">
        <f>ROUND(((B48/CE61)*BO61),0)</f>
        <v>7953</v>
      </c>
      <c r="BP48" s="193">
        <f>ROUND(((B48/CE61)*BP61),0)</f>
        <v>22615</v>
      </c>
      <c r="BQ48" s="193">
        <f>ROUND(((B48/CE61)*BQ61),0)</f>
        <v>0</v>
      </c>
      <c r="BR48" s="193">
        <f>ROUND(((B48/CE61)*BR61),0)</f>
        <v>184792</v>
      </c>
      <c r="BS48" s="193">
        <f>ROUND(((B48/CE61)*BS61),0)</f>
        <v>18716</v>
      </c>
      <c r="BT48" s="193">
        <f>ROUND(((B48/CE61)*BT61),0)</f>
        <v>0</v>
      </c>
      <c r="BU48" s="193">
        <f>ROUND(((B48/CE61)*BU61),0)</f>
        <v>0</v>
      </c>
      <c r="BV48" s="193">
        <f>ROUND(((B48/CE61)*BV61),0)</f>
        <v>146392</v>
      </c>
      <c r="BW48" s="193">
        <f>ROUND(((B48/CE61)*BW61),0)</f>
        <v>123712</v>
      </c>
      <c r="BX48" s="193">
        <f>ROUND(((B48/CE61)*BX61),0)</f>
        <v>119285</v>
      </c>
      <c r="BY48" s="193">
        <f>ROUND(((B48/CE61)*BY61),0)</f>
        <v>251951</v>
      </c>
      <c r="BZ48" s="193">
        <f>ROUND(((B48/CE61)*BZ61),0)</f>
        <v>0</v>
      </c>
      <c r="CA48" s="193">
        <f>ROUND(((B48/CE61)*CA61),0)</f>
        <v>0</v>
      </c>
      <c r="CB48" s="193">
        <f>ROUND(((B48/CE61)*CB61),0)</f>
        <v>4182</v>
      </c>
      <c r="CC48" s="193">
        <f>ROUND(((B48/CE61)*CC61),0)</f>
        <v>324617</v>
      </c>
      <c r="CD48" s="193"/>
      <c r="CE48" s="193">
        <f>SUM(C48:CD48)</f>
        <v>14751096</v>
      </c>
    </row>
    <row r="49" spans="1:84" ht="12.65" customHeight="1" x14ac:dyDescent="0.3">
      <c r="A49" s="174" t="s">
        <v>206</v>
      </c>
      <c r="B49" s="193">
        <f>B47+B48</f>
        <v>14751096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</row>
    <row r="50" spans="1:84" ht="12.65" customHeight="1" x14ac:dyDescent="0.3">
      <c r="A50" s="174" t="s">
        <v>6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</row>
    <row r="51" spans="1:84" ht="12.65" customHeight="1" x14ac:dyDescent="0.3">
      <c r="A51" s="170" t="s">
        <v>207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3"/>
      <c r="BR51" s="183"/>
      <c r="BS51" s="183"/>
      <c r="BT51" s="183"/>
      <c r="BU51" s="183"/>
      <c r="BV51" s="183"/>
      <c r="BW51" s="183"/>
      <c r="BX51" s="183"/>
      <c r="BY51" s="183"/>
      <c r="BZ51" s="183"/>
      <c r="CA51" s="183"/>
      <c r="CB51" s="183"/>
      <c r="CC51" s="183"/>
      <c r="CD51" s="193"/>
      <c r="CE51" s="193">
        <f>SUM(C51:CD51)</f>
        <v>0</v>
      </c>
    </row>
    <row r="52" spans="1:84" ht="12.65" customHeight="1" x14ac:dyDescent="0.3">
      <c r="A52" s="170" t="s">
        <v>208</v>
      </c>
      <c r="B52" s="183">
        <v>4759009</v>
      </c>
      <c r="C52" s="193">
        <f>ROUND((B52/(CE76+CF76)*C76),0)</f>
        <v>58678</v>
      </c>
      <c r="D52" s="193">
        <f>ROUND((B52/(CE76+CF76)*D76),0)</f>
        <v>0</v>
      </c>
      <c r="E52" s="193">
        <f>ROUND((B52/(CE76+CF76)*E76),0)</f>
        <v>125409</v>
      </c>
      <c r="F52" s="193">
        <f>ROUND((B52/(CE76+CF76)*F76),0)</f>
        <v>0</v>
      </c>
      <c r="G52" s="193">
        <f>ROUND((B52/(CE76+CF76)*G76),0)</f>
        <v>0</v>
      </c>
      <c r="H52" s="193">
        <f>ROUND((B52/(CE76+CF76)*H76),0)</f>
        <v>0</v>
      </c>
      <c r="I52" s="193">
        <f>ROUND((B52/(CE76+CF76)*I76),0)</f>
        <v>0</v>
      </c>
      <c r="J52" s="193">
        <f>ROUND((B52/(CE76+CF76)*J76),0)</f>
        <v>1946</v>
      </c>
      <c r="K52" s="193">
        <f>ROUND((B52/(CE76+CF76)*K76),0)</f>
        <v>0</v>
      </c>
      <c r="L52" s="193">
        <f>ROUND((B52/(CE76+CF76)*L76),0)</f>
        <v>49333</v>
      </c>
      <c r="M52" s="193">
        <f>ROUND((B52/(CE76+CF76)*M76),0)</f>
        <v>0</v>
      </c>
      <c r="N52" s="193">
        <f>ROUND((B52/(CE76+CF76)*N76),0)</f>
        <v>6532</v>
      </c>
      <c r="O52" s="193">
        <f>ROUND((B52/(CE76+CF76)*O76),0)</f>
        <v>65673</v>
      </c>
      <c r="P52" s="193">
        <f>ROUND((B52/(CE76+CF76)*P76),0)</f>
        <v>220005</v>
      </c>
      <c r="Q52" s="193">
        <f>ROUND((B52/(CE76+CF76)*Q76),0)</f>
        <v>13256</v>
      </c>
      <c r="R52" s="193">
        <f>ROUND((B52/(CE76+CF76)*R76),0)</f>
        <v>3063</v>
      </c>
      <c r="S52" s="193">
        <f>ROUND((B52/(CE76+CF76)*S76),0)</f>
        <v>16806</v>
      </c>
      <c r="T52" s="193">
        <f>ROUND((B52/(CE76+CF76)*T76),0)</f>
        <v>0</v>
      </c>
      <c r="U52" s="193">
        <f>ROUND((B52/(CE76+CF76)*U76),0)</f>
        <v>88318</v>
      </c>
      <c r="V52" s="193">
        <f>ROUND((B52/(CE76+CF76)*V76),0)</f>
        <v>0</v>
      </c>
      <c r="W52" s="193">
        <f>ROUND((B52/(CE76+CF76)*W76),0)</f>
        <v>24940</v>
      </c>
      <c r="X52" s="193">
        <f>ROUND((B52/(CE76+CF76)*X76),0)</f>
        <v>12024</v>
      </c>
      <c r="Y52" s="193">
        <f>ROUND((B52/(CE76+CF76)*Y76),0)</f>
        <v>103760</v>
      </c>
      <c r="Z52" s="193">
        <f>ROUND((B52/(CE76+CF76)*Z76),0)</f>
        <v>0</v>
      </c>
      <c r="AA52" s="193">
        <f>ROUND((B52/(CE76+CF76)*AA76),0)</f>
        <v>8053</v>
      </c>
      <c r="AB52" s="193">
        <f>ROUND((B52/(CE76+CF76)*AB76),0)</f>
        <v>55884</v>
      </c>
      <c r="AC52" s="193">
        <f>ROUND((B52/(CE76+CF76)*AC76),0)</f>
        <v>41533</v>
      </c>
      <c r="AD52" s="193">
        <f>ROUND((B52/(CE76+CF76)*AD76),0)</f>
        <v>0</v>
      </c>
      <c r="AE52" s="193">
        <f>ROUND((B52/(CE76+CF76)*AE76),0)</f>
        <v>146137</v>
      </c>
      <c r="AF52" s="193">
        <f>ROUND((B52/(CE76+CF76)*AF76),0)</f>
        <v>0</v>
      </c>
      <c r="AG52" s="193">
        <f>ROUND((B52/(CE76+CF76)*AG76),0)</f>
        <v>143031</v>
      </c>
      <c r="AH52" s="193">
        <f>ROUND((B52/(CE76+CF76)*AH76),0)</f>
        <v>0</v>
      </c>
      <c r="AI52" s="193">
        <f>ROUND((B52/(CE76+CF76)*AI76),0)</f>
        <v>143511</v>
      </c>
      <c r="AJ52" s="193">
        <f>ROUND((B52/(CE76+CF76)*AJ76),0)</f>
        <v>1009418</v>
      </c>
      <c r="AK52" s="193">
        <f>ROUND((B52/(CE76+CF76)*AK76),0)</f>
        <v>0</v>
      </c>
      <c r="AL52" s="193">
        <f>ROUND((B52/(CE76+CF76)*AL76),0)</f>
        <v>0</v>
      </c>
      <c r="AM52" s="193">
        <f>ROUND((B52/(CE76+CF76)*AM76),0)</f>
        <v>0</v>
      </c>
      <c r="AN52" s="193">
        <f>ROUND((B52/(CE76+CF76)*AN76),0)</f>
        <v>0</v>
      </c>
      <c r="AO52" s="193">
        <f>ROUND((B52/(CE76+CF76)*AO76),0)</f>
        <v>0</v>
      </c>
      <c r="AP52" s="193">
        <f>ROUND((B52/(CE76+CF76)*AP76),0)</f>
        <v>0</v>
      </c>
      <c r="AQ52" s="193">
        <f>ROUND((B52/(CE76+CF76)*AQ76),0)</f>
        <v>0</v>
      </c>
      <c r="AR52" s="193">
        <f>ROUND((B52/(CE76+CF76)*AR76),0)</f>
        <v>84182</v>
      </c>
      <c r="AS52" s="193">
        <f>ROUND((B52/(CE76+CF76)*AS76),0)</f>
        <v>0</v>
      </c>
      <c r="AT52" s="193">
        <f>ROUND((B52/(CE76+CF76)*AT76),0)</f>
        <v>0</v>
      </c>
      <c r="AU52" s="193">
        <f>ROUND((B52/(CE76+CF76)*AU76),0)</f>
        <v>0</v>
      </c>
      <c r="AV52" s="193">
        <f>ROUND((B52/(CE76+CF76)*AV76),0)</f>
        <v>104296</v>
      </c>
      <c r="AW52" s="193">
        <f>ROUND((B52/(CE76+CF76)*AW76),0)</f>
        <v>0</v>
      </c>
      <c r="AX52" s="193">
        <f>ROUND((B52/(CE76+CF76)*AX76),0)</f>
        <v>0</v>
      </c>
      <c r="AY52" s="193">
        <f>ROUND((B52/(CE76+CF76)*AY76),0)</f>
        <v>87589</v>
      </c>
      <c r="AZ52" s="193">
        <f>ROUND((B52/(CE76+CF76)*AZ76),0)</f>
        <v>0</v>
      </c>
      <c r="BA52" s="193">
        <f>ROUND((B52/(CE76+CF76)*BA76),0)</f>
        <v>0</v>
      </c>
      <c r="BB52" s="193">
        <f>ROUND((B52/(CE76+CF76)*BB76),0)</f>
        <v>1743</v>
      </c>
      <c r="BC52" s="193">
        <f>ROUND((B52/(CE76+CF76)*BC76),0)</f>
        <v>0</v>
      </c>
      <c r="BD52" s="193">
        <f>ROUND((B52/(CE76+CF76)*BD76),0)</f>
        <v>54845</v>
      </c>
      <c r="BE52" s="193">
        <f>ROUND((B52/(CE76+CF76)*BE76),0)</f>
        <v>269687</v>
      </c>
      <c r="BF52" s="193">
        <f>ROUND((B52/(CE76+CF76)*BF76),0)</f>
        <v>70259</v>
      </c>
      <c r="BG52" s="193">
        <f>ROUND((B52/(CE76+CF76)*BG76),0)</f>
        <v>0</v>
      </c>
      <c r="BH52" s="193">
        <f>ROUND((B52/(CE76+CF76)*BH76),0)</f>
        <v>93774</v>
      </c>
      <c r="BI52" s="193">
        <f>ROUND((B52/(CE76+CF76)*BI76),0)</f>
        <v>0</v>
      </c>
      <c r="BJ52" s="193">
        <f>ROUND((B52/(CE76+CF76)*BJ76),0)</f>
        <v>24414</v>
      </c>
      <c r="BK52" s="193">
        <f>ROUND((B52/(CE76+CF76)*BK76),0)</f>
        <v>85518</v>
      </c>
      <c r="BL52" s="193">
        <f>ROUND((B52/(CE76+CF76)*BL76),0)</f>
        <v>44623</v>
      </c>
      <c r="BM52" s="193">
        <f>ROUND((B52/(CE76+CF76)*BM76),0)</f>
        <v>8244</v>
      </c>
      <c r="BN52" s="193">
        <f>ROUND((B52/(CE76+CF76)*BN76),0)</f>
        <v>253766</v>
      </c>
      <c r="BO52" s="193">
        <f>ROUND((B52/(CE76+CF76)*BO76),0)</f>
        <v>5474</v>
      </c>
      <c r="BP52" s="193">
        <f>ROUND((B52/(CE76+CF76)*BP76),0)</f>
        <v>6508</v>
      </c>
      <c r="BQ52" s="193">
        <f>ROUND((B52/(CE76+CF76)*BQ76),0)</f>
        <v>0</v>
      </c>
      <c r="BR52" s="193">
        <f>ROUND((B52/(CE76+CF76)*BR76),0)</f>
        <v>36014</v>
      </c>
      <c r="BS52" s="193">
        <f>ROUND((B52/(CE76+CF76)*BS76),0)</f>
        <v>11979</v>
      </c>
      <c r="BT52" s="193">
        <f>ROUND((B52/(CE76+CF76)*BT76),0)</f>
        <v>0</v>
      </c>
      <c r="BU52" s="193">
        <f>ROUND((B52/(CE76+CF76)*BU76),0)</f>
        <v>0</v>
      </c>
      <c r="BV52" s="193">
        <f>ROUND((B52/(CE76+CF76)*BV76),0)</f>
        <v>19102</v>
      </c>
      <c r="BW52" s="193">
        <f>ROUND((B52/(CE76+CF76)*BW76),0)</f>
        <v>8808</v>
      </c>
      <c r="BX52" s="193">
        <f>ROUND((B52/(CE76+CF76)*BX76),0)</f>
        <v>8114</v>
      </c>
      <c r="BY52" s="193">
        <f>ROUND((B52/(CE76+CF76)*BY76),0)</f>
        <v>20391</v>
      </c>
      <c r="BZ52" s="193">
        <f>ROUND((B52/(CE76+CF76)*BZ76),0)</f>
        <v>0</v>
      </c>
      <c r="CA52" s="193">
        <f>ROUND((B52/(CE76+CF76)*CA76),0)</f>
        <v>0</v>
      </c>
      <c r="CB52" s="193">
        <f>ROUND((B52/(CE76+CF76)*CB76),0)</f>
        <v>36109</v>
      </c>
      <c r="CC52" s="193">
        <f>ROUND((B52/(CE76+CF76)*CC76),0)</f>
        <v>77822</v>
      </c>
      <c r="CD52" s="193"/>
      <c r="CE52" s="193">
        <f>SUM(C52:CD52)</f>
        <v>3750571</v>
      </c>
    </row>
    <row r="53" spans="1:84" ht="12.65" customHeight="1" x14ac:dyDescent="0.3">
      <c r="A53" s="174" t="s">
        <v>206</v>
      </c>
      <c r="B53" s="193">
        <f>B51+B52</f>
        <v>4759009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</row>
    <row r="54" spans="1:84" ht="15.75" customHeight="1" x14ac:dyDescent="0.3">
      <c r="A54" s="174"/>
      <c r="B54" s="174"/>
      <c r="C54" s="189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  <c r="BX54" s="174"/>
      <c r="BY54" s="174"/>
      <c r="BZ54" s="174"/>
      <c r="CA54" s="174"/>
      <c r="CB54" s="174"/>
      <c r="CC54" s="174"/>
      <c r="CD54" s="174"/>
      <c r="CE54" s="174"/>
    </row>
    <row r="55" spans="1:84" ht="12.65" customHeight="1" x14ac:dyDescent="0.3">
      <c r="A55" s="170" t="s">
        <v>209</v>
      </c>
      <c r="B55" s="174"/>
      <c r="C55" s="181" t="s">
        <v>10</v>
      </c>
      <c r="D55" s="169" t="s">
        <v>11</v>
      </c>
      <c r="E55" s="169" t="s">
        <v>12</v>
      </c>
      <c r="F55" s="169" t="s">
        <v>13</v>
      </c>
      <c r="G55" s="169" t="s">
        <v>14</v>
      </c>
      <c r="H55" s="169" t="s">
        <v>15</v>
      </c>
      <c r="I55" s="169" t="s">
        <v>16</v>
      </c>
      <c r="J55" s="169" t="s">
        <v>17</v>
      </c>
      <c r="K55" s="169" t="s">
        <v>18</v>
      </c>
      <c r="L55" s="169" t="s">
        <v>19</v>
      </c>
      <c r="M55" s="169" t="s">
        <v>20</v>
      </c>
      <c r="N55" s="169" t="s">
        <v>21</v>
      </c>
      <c r="O55" s="169" t="s">
        <v>22</v>
      </c>
      <c r="P55" s="169" t="s">
        <v>23</v>
      </c>
      <c r="Q55" s="169" t="s">
        <v>24</v>
      </c>
      <c r="R55" s="169" t="s">
        <v>25</v>
      </c>
      <c r="S55" s="169" t="s">
        <v>26</v>
      </c>
      <c r="T55" s="241" t="s">
        <v>27</v>
      </c>
      <c r="U55" s="169" t="s">
        <v>28</v>
      </c>
      <c r="V55" s="169" t="s">
        <v>29</v>
      </c>
      <c r="W55" s="169" t="s">
        <v>30</v>
      </c>
      <c r="X55" s="169" t="s">
        <v>31</v>
      </c>
      <c r="Y55" s="169" t="s">
        <v>32</v>
      </c>
      <c r="Z55" s="169" t="s">
        <v>33</v>
      </c>
      <c r="AA55" s="169" t="s">
        <v>34</v>
      </c>
      <c r="AB55" s="169" t="s">
        <v>35</v>
      </c>
      <c r="AC55" s="169" t="s">
        <v>36</v>
      </c>
      <c r="AD55" s="169" t="s">
        <v>37</v>
      </c>
      <c r="AE55" s="169" t="s">
        <v>38</v>
      </c>
      <c r="AF55" s="169" t="s">
        <v>39</v>
      </c>
      <c r="AG55" s="169" t="s">
        <v>40</v>
      </c>
      <c r="AH55" s="169" t="s">
        <v>41</v>
      </c>
      <c r="AI55" s="169" t="s">
        <v>42</v>
      </c>
      <c r="AJ55" s="169" t="s">
        <v>43</v>
      </c>
      <c r="AK55" s="169" t="s">
        <v>44</v>
      </c>
      <c r="AL55" s="169" t="s">
        <v>45</v>
      </c>
      <c r="AM55" s="169" t="s">
        <v>46</v>
      </c>
      <c r="AN55" s="169" t="s">
        <v>47</v>
      </c>
      <c r="AO55" s="169" t="s">
        <v>48</v>
      </c>
      <c r="AP55" s="169" t="s">
        <v>49</v>
      </c>
      <c r="AQ55" s="169" t="s">
        <v>50</v>
      </c>
      <c r="AR55" s="169" t="s">
        <v>51</v>
      </c>
      <c r="AS55" s="169" t="s">
        <v>52</v>
      </c>
      <c r="AT55" s="169" t="s">
        <v>53</v>
      </c>
      <c r="AU55" s="169" t="s">
        <v>54</v>
      </c>
      <c r="AV55" s="169" t="s">
        <v>55</v>
      </c>
      <c r="AW55" s="169" t="s">
        <v>56</v>
      </c>
      <c r="AX55" s="169" t="s">
        <v>57</v>
      </c>
      <c r="AY55" s="169" t="s">
        <v>58</v>
      </c>
      <c r="AZ55" s="169" t="s">
        <v>59</v>
      </c>
      <c r="BA55" s="169" t="s">
        <v>60</v>
      </c>
      <c r="BB55" s="169" t="s">
        <v>61</v>
      </c>
      <c r="BC55" s="169" t="s">
        <v>62</v>
      </c>
      <c r="BD55" s="169" t="s">
        <v>63</v>
      </c>
      <c r="BE55" s="169" t="s">
        <v>64</v>
      </c>
      <c r="BF55" s="169" t="s">
        <v>65</v>
      </c>
      <c r="BG55" s="169" t="s">
        <v>66</v>
      </c>
      <c r="BH55" s="169" t="s">
        <v>67</v>
      </c>
      <c r="BI55" s="169" t="s">
        <v>68</v>
      </c>
      <c r="BJ55" s="169" t="s">
        <v>69</v>
      </c>
      <c r="BK55" s="169" t="s">
        <v>70</v>
      </c>
      <c r="BL55" s="169" t="s">
        <v>71</v>
      </c>
      <c r="BM55" s="169" t="s">
        <v>72</v>
      </c>
      <c r="BN55" s="169" t="s">
        <v>73</v>
      </c>
      <c r="BO55" s="169" t="s">
        <v>74</v>
      </c>
      <c r="BP55" s="169" t="s">
        <v>75</v>
      </c>
      <c r="BQ55" s="169" t="s">
        <v>76</v>
      </c>
      <c r="BR55" s="169" t="s">
        <v>77</v>
      </c>
      <c r="BS55" s="169" t="s">
        <v>78</v>
      </c>
      <c r="BT55" s="169" t="s">
        <v>79</v>
      </c>
      <c r="BU55" s="169" t="s">
        <v>80</v>
      </c>
      <c r="BV55" s="169" t="s">
        <v>81</v>
      </c>
      <c r="BW55" s="169" t="s">
        <v>82</v>
      </c>
      <c r="BX55" s="169" t="s">
        <v>83</v>
      </c>
      <c r="BY55" s="169" t="s">
        <v>84</v>
      </c>
      <c r="BZ55" s="169" t="s">
        <v>85</v>
      </c>
      <c r="CA55" s="169" t="s">
        <v>86</v>
      </c>
      <c r="CB55" s="169" t="s">
        <v>87</v>
      </c>
      <c r="CC55" s="169" t="s">
        <v>88</v>
      </c>
      <c r="CD55" s="169" t="s">
        <v>89</v>
      </c>
      <c r="CE55" s="169" t="s">
        <v>90</v>
      </c>
    </row>
    <row r="56" spans="1:84" ht="12.65" customHeight="1" x14ac:dyDescent="0.3">
      <c r="A56" s="170" t="s">
        <v>210</v>
      </c>
      <c r="B56" s="174"/>
      <c r="C56" s="181" t="s">
        <v>92</v>
      </c>
      <c r="D56" s="169" t="s">
        <v>93</v>
      </c>
      <c r="E56" s="169" t="s">
        <v>94</v>
      </c>
      <c r="F56" s="169" t="s">
        <v>95</v>
      </c>
      <c r="G56" s="169" t="s">
        <v>96</v>
      </c>
      <c r="H56" s="169" t="s">
        <v>97</v>
      </c>
      <c r="I56" s="169" t="s">
        <v>98</v>
      </c>
      <c r="J56" s="169" t="s">
        <v>99</v>
      </c>
      <c r="K56" s="169" t="s">
        <v>100</v>
      </c>
      <c r="L56" s="169" t="s">
        <v>101</v>
      </c>
      <c r="M56" s="169" t="s">
        <v>102</v>
      </c>
      <c r="N56" s="169" t="s">
        <v>103</v>
      </c>
      <c r="O56" s="169" t="s">
        <v>104</v>
      </c>
      <c r="P56" s="169" t="s">
        <v>105</v>
      </c>
      <c r="Q56" s="169" t="s">
        <v>106</v>
      </c>
      <c r="R56" s="169" t="s">
        <v>107</v>
      </c>
      <c r="S56" s="169" t="s">
        <v>108</v>
      </c>
      <c r="T56" s="169" t="s">
        <v>1194</v>
      </c>
      <c r="U56" s="169" t="s">
        <v>109</v>
      </c>
      <c r="V56" s="169" t="s">
        <v>110</v>
      </c>
      <c r="W56" s="169" t="s">
        <v>111</v>
      </c>
      <c r="X56" s="169" t="s">
        <v>112</v>
      </c>
      <c r="Y56" s="169" t="s">
        <v>113</v>
      </c>
      <c r="Z56" s="169" t="s">
        <v>113</v>
      </c>
      <c r="AA56" s="169" t="s">
        <v>114</v>
      </c>
      <c r="AB56" s="169" t="s">
        <v>115</v>
      </c>
      <c r="AC56" s="169" t="s">
        <v>116</v>
      </c>
      <c r="AD56" s="169" t="s">
        <v>117</v>
      </c>
      <c r="AE56" s="169" t="s">
        <v>96</v>
      </c>
      <c r="AF56" s="169" t="s">
        <v>97</v>
      </c>
      <c r="AG56" s="169" t="s">
        <v>118</v>
      </c>
      <c r="AH56" s="169" t="s">
        <v>119</v>
      </c>
      <c r="AI56" s="169" t="s">
        <v>120</v>
      </c>
      <c r="AJ56" s="169" t="s">
        <v>121</v>
      </c>
      <c r="AK56" s="169" t="s">
        <v>122</v>
      </c>
      <c r="AL56" s="169" t="s">
        <v>123</v>
      </c>
      <c r="AM56" s="169" t="s">
        <v>124</v>
      </c>
      <c r="AN56" s="169" t="s">
        <v>110</v>
      </c>
      <c r="AO56" s="169" t="s">
        <v>125</v>
      </c>
      <c r="AP56" s="169" t="s">
        <v>126</v>
      </c>
      <c r="AQ56" s="169" t="s">
        <v>127</v>
      </c>
      <c r="AR56" s="169" t="s">
        <v>128</v>
      </c>
      <c r="AS56" s="169" t="s">
        <v>129</v>
      </c>
      <c r="AT56" s="169" t="s">
        <v>130</v>
      </c>
      <c r="AU56" s="169" t="s">
        <v>131</v>
      </c>
      <c r="AV56" s="169" t="s">
        <v>132</v>
      </c>
      <c r="AW56" s="169" t="s">
        <v>133</v>
      </c>
      <c r="AX56" s="169" t="s">
        <v>134</v>
      </c>
      <c r="AY56" s="169" t="s">
        <v>135</v>
      </c>
      <c r="AZ56" s="169" t="s">
        <v>136</v>
      </c>
      <c r="BA56" s="169" t="s">
        <v>137</v>
      </c>
      <c r="BB56" s="169" t="s">
        <v>138</v>
      </c>
      <c r="BC56" s="169" t="s">
        <v>108</v>
      </c>
      <c r="BD56" s="169" t="s">
        <v>139</v>
      </c>
      <c r="BE56" s="169" t="s">
        <v>140</v>
      </c>
      <c r="BF56" s="169" t="s">
        <v>141</v>
      </c>
      <c r="BG56" s="169" t="s">
        <v>142</v>
      </c>
      <c r="BH56" s="169" t="s">
        <v>143</v>
      </c>
      <c r="BI56" s="169" t="s">
        <v>144</v>
      </c>
      <c r="BJ56" s="169" t="s">
        <v>145</v>
      </c>
      <c r="BK56" s="169" t="s">
        <v>146</v>
      </c>
      <c r="BL56" s="169" t="s">
        <v>147</v>
      </c>
      <c r="BM56" s="169" t="s">
        <v>132</v>
      </c>
      <c r="BN56" s="169" t="s">
        <v>148</v>
      </c>
      <c r="BO56" s="169" t="s">
        <v>149</v>
      </c>
      <c r="BP56" s="169" t="s">
        <v>150</v>
      </c>
      <c r="BQ56" s="169" t="s">
        <v>151</v>
      </c>
      <c r="BR56" s="169" t="s">
        <v>152</v>
      </c>
      <c r="BS56" s="169" t="s">
        <v>153</v>
      </c>
      <c r="BT56" s="169" t="s">
        <v>154</v>
      </c>
      <c r="BU56" s="169" t="s">
        <v>155</v>
      </c>
      <c r="BV56" s="169" t="s">
        <v>155</v>
      </c>
      <c r="BW56" s="169" t="s">
        <v>155</v>
      </c>
      <c r="BX56" s="169" t="s">
        <v>156</v>
      </c>
      <c r="BY56" s="169" t="s">
        <v>157</v>
      </c>
      <c r="BZ56" s="169" t="s">
        <v>158</v>
      </c>
      <c r="CA56" s="169" t="s">
        <v>159</v>
      </c>
      <c r="CB56" s="169" t="s">
        <v>160</v>
      </c>
      <c r="CC56" s="169" t="s">
        <v>132</v>
      </c>
      <c r="CD56" s="169" t="s">
        <v>211</v>
      </c>
      <c r="CE56" s="169" t="s">
        <v>161</v>
      </c>
    </row>
    <row r="57" spans="1:84" ht="12.65" customHeight="1" x14ac:dyDescent="0.3">
      <c r="A57" s="170" t="s">
        <v>212</v>
      </c>
      <c r="B57" s="174"/>
      <c r="C57" s="181" t="s">
        <v>163</v>
      </c>
      <c r="D57" s="169" t="s">
        <v>163</v>
      </c>
      <c r="E57" s="169" t="s">
        <v>163</v>
      </c>
      <c r="F57" s="169" t="s">
        <v>164</v>
      </c>
      <c r="G57" s="169" t="s">
        <v>165</v>
      </c>
      <c r="H57" s="169" t="s">
        <v>163</v>
      </c>
      <c r="I57" s="169" t="s">
        <v>166</v>
      </c>
      <c r="J57" s="169"/>
      <c r="K57" s="169" t="s">
        <v>157</v>
      </c>
      <c r="L57" s="169" t="s">
        <v>167</v>
      </c>
      <c r="M57" s="169" t="s">
        <v>168</v>
      </c>
      <c r="N57" s="169" t="s">
        <v>169</v>
      </c>
      <c r="O57" s="169" t="s">
        <v>170</v>
      </c>
      <c r="P57" s="169" t="s">
        <v>169</v>
      </c>
      <c r="Q57" s="169" t="s">
        <v>171</v>
      </c>
      <c r="R57" s="169"/>
      <c r="S57" s="169" t="s">
        <v>169</v>
      </c>
      <c r="T57" s="169" t="s">
        <v>172</v>
      </c>
      <c r="U57" s="169"/>
      <c r="V57" s="169" t="s">
        <v>173</v>
      </c>
      <c r="W57" s="169" t="s">
        <v>174</v>
      </c>
      <c r="X57" s="169" t="s">
        <v>175</v>
      </c>
      <c r="Y57" s="169" t="s">
        <v>176</v>
      </c>
      <c r="Z57" s="169" t="s">
        <v>177</v>
      </c>
      <c r="AA57" s="169" t="s">
        <v>178</v>
      </c>
      <c r="AB57" s="169"/>
      <c r="AC57" s="169" t="s">
        <v>172</v>
      </c>
      <c r="AD57" s="169"/>
      <c r="AE57" s="169" t="s">
        <v>172</v>
      </c>
      <c r="AF57" s="169" t="s">
        <v>179</v>
      </c>
      <c r="AG57" s="169" t="s">
        <v>171</v>
      </c>
      <c r="AH57" s="169"/>
      <c r="AI57" s="169" t="s">
        <v>180</v>
      </c>
      <c r="AJ57" s="169"/>
      <c r="AK57" s="169" t="s">
        <v>172</v>
      </c>
      <c r="AL57" s="169" t="s">
        <v>172</v>
      </c>
      <c r="AM57" s="169" t="s">
        <v>172</v>
      </c>
      <c r="AN57" s="169" t="s">
        <v>181</v>
      </c>
      <c r="AO57" s="169" t="s">
        <v>182</v>
      </c>
      <c r="AP57" s="169" t="s">
        <v>121</v>
      </c>
      <c r="AQ57" s="169" t="s">
        <v>183</v>
      </c>
      <c r="AR57" s="169" t="s">
        <v>169</v>
      </c>
      <c r="AS57" s="169"/>
      <c r="AT57" s="169" t="s">
        <v>184</v>
      </c>
      <c r="AU57" s="169" t="s">
        <v>185</v>
      </c>
      <c r="AV57" s="169" t="s">
        <v>186</v>
      </c>
      <c r="AW57" s="169" t="s">
        <v>187</v>
      </c>
      <c r="AX57" s="169" t="s">
        <v>188</v>
      </c>
      <c r="AY57" s="169"/>
      <c r="AZ57" s="169"/>
      <c r="BA57" s="169" t="s">
        <v>189</v>
      </c>
      <c r="BB57" s="169" t="s">
        <v>169</v>
      </c>
      <c r="BC57" s="169" t="s">
        <v>183</v>
      </c>
      <c r="BD57" s="169"/>
      <c r="BE57" s="169"/>
      <c r="BF57" s="169"/>
      <c r="BG57" s="169"/>
      <c r="BH57" s="169" t="s">
        <v>190</v>
      </c>
      <c r="BI57" s="169" t="s">
        <v>169</v>
      </c>
      <c r="BJ57" s="169"/>
      <c r="BK57" s="169" t="s">
        <v>191</v>
      </c>
      <c r="BL57" s="169"/>
      <c r="BM57" s="169" t="s">
        <v>192</v>
      </c>
      <c r="BN57" s="169" t="s">
        <v>193</v>
      </c>
      <c r="BO57" s="169" t="s">
        <v>194</v>
      </c>
      <c r="BP57" s="169" t="s">
        <v>195</v>
      </c>
      <c r="BQ57" s="169" t="s">
        <v>196</v>
      </c>
      <c r="BR57" s="169"/>
      <c r="BS57" s="169" t="s">
        <v>197</v>
      </c>
      <c r="BT57" s="169" t="s">
        <v>169</v>
      </c>
      <c r="BU57" s="169" t="s">
        <v>198</v>
      </c>
      <c r="BV57" s="169" t="s">
        <v>199</v>
      </c>
      <c r="BW57" s="169" t="s">
        <v>200</v>
      </c>
      <c r="BX57" s="169" t="s">
        <v>151</v>
      </c>
      <c r="BY57" s="169" t="s">
        <v>193</v>
      </c>
      <c r="BZ57" s="169" t="s">
        <v>152</v>
      </c>
      <c r="CA57" s="169" t="s">
        <v>201</v>
      </c>
      <c r="CB57" s="169" t="s">
        <v>201</v>
      </c>
      <c r="CC57" s="169" t="s">
        <v>202</v>
      </c>
      <c r="CD57" s="169" t="s">
        <v>213</v>
      </c>
      <c r="CE57" s="169" t="s">
        <v>203</v>
      </c>
    </row>
    <row r="58" spans="1:84" ht="12.65" customHeight="1" x14ac:dyDescent="0.3">
      <c r="A58" s="170" t="s">
        <v>214</v>
      </c>
      <c r="B58" s="174"/>
      <c r="C58" s="181" t="s">
        <v>215</v>
      </c>
      <c r="D58" s="169" t="s">
        <v>215</v>
      </c>
      <c r="E58" s="169" t="s">
        <v>215</v>
      </c>
      <c r="F58" s="169" t="s">
        <v>215</v>
      </c>
      <c r="G58" s="169" t="s">
        <v>215</v>
      </c>
      <c r="H58" s="169" t="s">
        <v>215</v>
      </c>
      <c r="I58" s="169" t="s">
        <v>215</v>
      </c>
      <c r="J58" s="169" t="s">
        <v>216</v>
      </c>
      <c r="K58" s="169" t="s">
        <v>215</v>
      </c>
      <c r="L58" s="169" t="s">
        <v>215</v>
      </c>
      <c r="M58" s="169" t="s">
        <v>215</v>
      </c>
      <c r="N58" s="169" t="s">
        <v>215</v>
      </c>
      <c r="O58" s="169" t="s">
        <v>217</v>
      </c>
      <c r="P58" s="169" t="s">
        <v>218</v>
      </c>
      <c r="Q58" s="169" t="s">
        <v>219</v>
      </c>
      <c r="R58" s="239" t="s">
        <v>220</v>
      </c>
      <c r="S58" s="242" t="s">
        <v>221</v>
      </c>
      <c r="T58" s="242" t="s">
        <v>221</v>
      </c>
      <c r="U58" s="169" t="s">
        <v>222</v>
      </c>
      <c r="V58" s="169" t="s">
        <v>222</v>
      </c>
      <c r="W58" s="169" t="s">
        <v>223</v>
      </c>
      <c r="X58" s="169" t="s">
        <v>224</v>
      </c>
      <c r="Y58" s="169" t="s">
        <v>225</v>
      </c>
      <c r="Z58" s="169" t="s">
        <v>225</v>
      </c>
      <c r="AA58" s="169" t="s">
        <v>225</v>
      </c>
      <c r="AB58" s="242" t="s">
        <v>221</v>
      </c>
      <c r="AC58" s="169" t="s">
        <v>226</v>
      </c>
      <c r="AD58" s="169" t="s">
        <v>227</v>
      </c>
      <c r="AE58" s="169" t="s">
        <v>226</v>
      </c>
      <c r="AF58" s="169" t="s">
        <v>228</v>
      </c>
      <c r="AG58" s="169" t="s">
        <v>228</v>
      </c>
      <c r="AH58" s="169" t="s">
        <v>229</v>
      </c>
      <c r="AI58" s="169" t="s">
        <v>230</v>
      </c>
      <c r="AJ58" s="169" t="s">
        <v>228</v>
      </c>
      <c r="AK58" s="169" t="s">
        <v>226</v>
      </c>
      <c r="AL58" s="169" t="s">
        <v>226</v>
      </c>
      <c r="AM58" s="169" t="s">
        <v>226</v>
      </c>
      <c r="AN58" s="169" t="s">
        <v>217</v>
      </c>
      <c r="AO58" s="169" t="s">
        <v>227</v>
      </c>
      <c r="AP58" s="169" t="s">
        <v>228</v>
      </c>
      <c r="AQ58" s="169" t="s">
        <v>229</v>
      </c>
      <c r="AR58" s="169" t="s">
        <v>228</v>
      </c>
      <c r="AS58" s="169" t="s">
        <v>226</v>
      </c>
      <c r="AT58" s="169" t="s">
        <v>1212</v>
      </c>
      <c r="AU58" s="169" t="s">
        <v>228</v>
      </c>
      <c r="AV58" s="242" t="s">
        <v>221</v>
      </c>
      <c r="AW58" s="242" t="s">
        <v>221</v>
      </c>
      <c r="AX58" s="242" t="s">
        <v>221</v>
      </c>
      <c r="AY58" s="169" t="s">
        <v>231</v>
      </c>
      <c r="AZ58" s="169" t="s">
        <v>231</v>
      </c>
      <c r="BA58" s="242" t="s">
        <v>221</v>
      </c>
      <c r="BB58" s="242" t="s">
        <v>221</v>
      </c>
      <c r="BC58" s="242" t="s">
        <v>221</v>
      </c>
      <c r="BD58" s="242" t="s">
        <v>221</v>
      </c>
      <c r="BE58" s="169" t="s">
        <v>232</v>
      </c>
      <c r="BF58" s="242" t="s">
        <v>221</v>
      </c>
      <c r="BG58" s="242" t="s">
        <v>221</v>
      </c>
      <c r="BH58" s="242" t="s">
        <v>221</v>
      </c>
      <c r="BI58" s="242" t="s">
        <v>221</v>
      </c>
      <c r="BJ58" s="242" t="s">
        <v>221</v>
      </c>
      <c r="BK58" s="242" t="s">
        <v>221</v>
      </c>
      <c r="BL58" s="242" t="s">
        <v>221</v>
      </c>
      <c r="BM58" s="242" t="s">
        <v>221</v>
      </c>
      <c r="BN58" s="242" t="s">
        <v>221</v>
      </c>
      <c r="BO58" s="242" t="s">
        <v>221</v>
      </c>
      <c r="BP58" s="242" t="s">
        <v>221</v>
      </c>
      <c r="BQ58" s="242" t="s">
        <v>221</v>
      </c>
      <c r="BR58" s="242" t="s">
        <v>221</v>
      </c>
      <c r="BS58" s="242" t="s">
        <v>221</v>
      </c>
      <c r="BT58" s="242" t="s">
        <v>221</v>
      </c>
      <c r="BU58" s="242" t="s">
        <v>221</v>
      </c>
      <c r="BV58" s="242" t="s">
        <v>221</v>
      </c>
      <c r="BW58" s="242" t="s">
        <v>221</v>
      </c>
      <c r="BX58" s="242" t="s">
        <v>221</v>
      </c>
      <c r="BY58" s="242" t="s">
        <v>221</v>
      </c>
      <c r="BZ58" s="242" t="s">
        <v>221</v>
      </c>
      <c r="CA58" s="242" t="s">
        <v>221</v>
      </c>
      <c r="CB58" s="242" t="s">
        <v>221</v>
      </c>
      <c r="CC58" s="242" t="s">
        <v>221</v>
      </c>
      <c r="CD58" s="242" t="s">
        <v>221</v>
      </c>
      <c r="CE58" s="242" t="s">
        <v>221</v>
      </c>
    </row>
    <row r="59" spans="1:84" ht="12.65" customHeight="1" x14ac:dyDescent="0.3">
      <c r="A59" s="170" t="s">
        <v>233</v>
      </c>
      <c r="B59" s="174"/>
      <c r="C59" s="183">
        <v>682</v>
      </c>
      <c r="D59" s="183"/>
      <c r="E59" s="183">
        <v>3002</v>
      </c>
      <c r="F59" s="183"/>
      <c r="G59" s="183"/>
      <c r="H59" s="183"/>
      <c r="I59" s="183"/>
      <c r="J59" s="183">
        <v>149</v>
      </c>
      <c r="K59" s="183"/>
      <c r="L59" s="183">
        <v>167</v>
      </c>
      <c r="M59" s="183"/>
      <c r="N59" s="183">
        <v>0</v>
      </c>
      <c r="O59" s="183">
        <v>88</v>
      </c>
      <c r="P59" s="184">
        <v>164548</v>
      </c>
      <c r="Q59" s="184">
        <v>36379</v>
      </c>
      <c r="R59" s="184">
        <v>166554</v>
      </c>
      <c r="S59" s="243"/>
      <c r="T59" s="243"/>
      <c r="U59" s="220">
        <v>223520</v>
      </c>
      <c r="V59" s="184">
        <v>983</v>
      </c>
      <c r="W59" s="184">
        <v>2147</v>
      </c>
      <c r="X59" s="184">
        <v>5555</v>
      </c>
      <c r="Y59" s="184">
        <v>16265</v>
      </c>
      <c r="Z59" s="184"/>
      <c r="AA59" s="184">
        <v>446</v>
      </c>
      <c r="AB59" s="243"/>
      <c r="AC59" s="184">
        <v>28724</v>
      </c>
      <c r="AD59" s="184"/>
      <c r="AE59" s="184">
        <v>75498</v>
      </c>
      <c r="AF59" s="184"/>
      <c r="AG59" s="184">
        <v>10664</v>
      </c>
      <c r="AH59" s="184"/>
      <c r="AI59" s="184">
        <v>17436</v>
      </c>
      <c r="AJ59" s="184">
        <v>85414</v>
      </c>
      <c r="AK59" s="184">
        <v>13118</v>
      </c>
      <c r="AL59" s="184">
        <v>2593</v>
      </c>
      <c r="AM59" s="184"/>
      <c r="AN59" s="184"/>
      <c r="AO59" s="184"/>
      <c r="AP59" s="184"/>
      <c r="AQ59" s="184"/>
      <c r="AR59" s="184">
        <v>9751</v>
      </c>
      <c r="AS59" s="184"/>
      <c r="AT59" s="184"/>
      <c r="AU59" s="184"/>
      <c r="AV59" s="243"/>
      <c r="AW59" s="243"/>
      <c r="AX59" s="243"/>
      <c r="AY59" s="184">
        <v>12819</v>
      </c>
      <c r="AZ59" s="184"/>
      <c r="BA59" s="243"/>
      <c r="BB59" s="243"/>
      <c r="BC59" s="243"/>
      <c r="BD59" s="243"/>
      <c r="BE59" s="184">
        <v>211271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4"/>
      <c r="CE59" s="193"/>
    </row>
    <row r="60" spans="1:84" ht="12.65" customHeight="1" x14ac:dyDescent="0.3">
      <c r="A60" s="245" t="s">
        <v>234</v>
      </c>
      <c r="B60" s="174"/>
      <c r="C60" s="183">
        <v>9.5734615384615385</v>
      </c>
      <c r="D60" s="183">
        <v>0</v>
      </c>
      <c r="E60" s="183">
        <v>38.469999999999992</v>
      </c>
      <c r="F60" s="183">
        <v>0</v>
      </c>
      <c r="G60" s="183">
        <v>0</v>
      </c>
      <c r="H60" s="183">
        <v>0</v>
      </c>
      <c r="I60" s="183">
        <v>0</v>
      </c>
      <c r="J60" s="183">
        <v>0</v>
      </c>
      <c r="K60" s="183">
        <v>0</v>
      </c>
      <c r="L60" s="183">
        <v>2.3076923076923079E-3</v>
      </c>
      <c r="M60" s="183">
        <v>0</v>
      </c>
      <c r="N60" s="183">
        <v>0</v>
      </c>
      <c r="O60" s="183">
        <v>10.579615384615387</v>
      </c>
      <c r="P60" s="183">
        <v>18.545000000000002</v>
      </c>
      <c r="Q60" s="183">
        <v>1.5000000000000001E-2</v>
      </c>
      <c r="R60" s="183">
        <v>0</v>
      </c>
      <c r="S60" s="183">
        <v>2.742692307692308</v>
      </c>
      <c r="T60" s="183">
        <v>0</v>
      </c>
      <c r="U60" s="183">
        <v>25.882307692307695</v>
      </c>
      <c r="V60" s="183">
        <v>0</v>
      </c>
      <c r="W60" s="183">
        <v>1.9950000000000001</v>
      </c>
      <c r="X60" s="183">
        <v>1.329230769230769</v>
      </c>
      <c r="Y60" s="183">
        <v>20.157692307692312</v>
      </c>
      <c r="Z60" s="183">
        <v>0</v>
      </c>
      <c r="AA60" s="183">
        <v>0.70461538461538464</v>
      </c>
      <c r="AB60" s="183">
        <v>13.048846153846155</v>
      </c>
      <c r="AC60" s="183">
        <v>7.2815384615384611</v>
      </c>
      <c r="AD60" s="183">
        <v>0</v>
      </c>
      <c r="AE60" s="183">
        <v>33.45461538461538</v>
      </c>
      <c r="AF60" s="183">
        <v>0</v>
      </c>
      <c r="AG60" s="183">
        <v>26.750384615384618</v>
      </c>
      <c r="AH60" s="183">
        <v>0</v>
      </c>
      <c r="AI60" s="183">
        <v>23.06653846153846</v>
      </c>
      <c r="AJ60" s="183">
        <v>128.57871794871792</v>
      </c>
      <c r="AK60" s="183">
        <v>0</v>
      </c>
      <c r="AL60" s="183">
        <v>0</v>
      </c>
      <c r="AM60" s="183">
        <v>0</v>
      </c>
      <c r="AN60" s="183">
        <v>0</v>
      </c>
      <c r="AO60" s="183">
        <v>0</v>
      </c>
      <c r="AP60" s="183">
        <v>0</v>
      </c>
      <c r="AQ60" s="183">
        <v>0</v>
      </c>
      <c r="AR60" s="183">
        <v>34.968076923076922</v>
      </c>
      <c r="AS60" s="183">
        <v>0</v>
      </c>
      <c r="AT60" s="183">
        <v>0</v>
      </c>
      <c r="AU60" s="183">
        <v>0</v>
      </c>
      <c r="AV60" s="183">
        <v>17.632653846153843</v>
      </c>
      <c r="AW60" s="183">
        <v>0</v>
      </c>
      <c r="AX60" s="183">
        <v>0</v>
      </c>
      <c r="AY60" s="183">
        <v>16.066923076923082</v>
      </c>
      <c r="AZ60" s="183">
        <v>0</v>
      </c>
      <c r="BA60" s="183">
        <v>0</v>
      </c>
      <c r="BB60" s="183">
        <v>0</v>
      </c>
      <c r="BC60" s="183">
        <v>0</v>
      </c>
      <c r="BD60" s="183">
        <v>7.8992307692307691</v>
      </c>
      <c r="BE60" s="183">
        <v>17.261153846153849</v>
      </c>
      <c r="BF60" s="183">
        <v>23.281153846153849</v>
      </c>
      <c r="BG60" s="183">
        <v>0</v>
      </c>
      <c r="BH60" s="183">
        <v>16.456153846153839</v>
      </c>
      <c r="BI60" s="183">
        <v>0</v>
      </c>
      <c r="BJ60" s="183">
        <v>6.5176923076923092</v>
      </c>
      <c r="BK60" s="183">
        <v>14.024999999999999</v>
      </c>
      <c r="BL60" s="183">
        <v>14.133461538461539</v>
      </c>
      <c r="BM60" s="183">
        <v>4.6496153846153856</v>
      </c>
      <c r="BN60" s="183">
        <v>20.474615384615383</v>
      </c>
      <c r="BO60" s="183">
        <v>0.41192307692307684</v>
      </c>
      <c r="BP60" s="183">
        <v>1</v>
      </c>
      <c r="BQ60" s="183">
        <v>0</v>
      </c>
      <c r="BR60" s="183">
        <v>8.5219230769230769</v>
      </c>
      <c r="BS60" s="183">
        <v>0.75269230769230744</v>
      </c>
      <c r="BT60" s="183">
        <v>0</v>
      </c>
      <c r="BU60" s="183">
        <v>0</v>
      </c>
      <c r="BV60" s="183">
        <v>12.629615384615388</v>
      </c>
      <c r="BW60" s="183">
        <v>1.639230769230769</v>
      </c>
      <c r="BX60" s="183">
        <v>6.0238461538461552</v>
      </c>
      <c r="BY60" s="183">
        <v>8.5026923076923051</v>
      </c>
      <c r="BZ60" s="183">
        <v>0</v>
      </c>
      <c r="CA60" s="183">
        <v>0</v>
      </c>
      <c r="CB60" s="183">
        <v>0</v>
      </c>
      <c r="CC60" s="183">
        <v>11.486538461538462</v>
      </c>
      <c r="CD60" s="244" t="s">
        <v>221</v>
      </c>
      <c r="CE60" s="246">
        <f t="shared" ref="CE60:CE70" si="0">SUM(C60:CD60)</f>
        <v>606.51175641025645</v>
      </c>
    </row>
    <row r="61" spans="1:84" ht="12.65" customHeight="1" x14ac:dyDescent="0.3">
      <c r="A61" s="170" t="s">
        <v>235</v>
      </c>
      <c r="B61" s="174"/>
      <c r="C61" s="183">
        <v>971999</v>
      </c>
      <c r="D61" s="183">
        <v>0</v>
      </c>
      <c r="E61" s="183">
        <v>2990380</v>
      </c>
      <c r="F61" s="183">
        <v>0</v>
      </c>
      <c r="G61" s="183">
        <v>0</v>
      </c>
      <c r="H61" s="183">
        <v>0</v>
      </c>
      <c r="I61" s="183">
        <v>0</v>
      </c>
      <c r="J61" s="183">
        <v>0</v>
      </c>
      <c r="K61" s="183">
        <v>0</v>
      </c>
      <c r="L61" s="183">
        <v>78</v>
      </c>
      <c r="M61" s="183">
        <v>0</v>
      </c>
      <c r="N61" s="183">
        <v>2000323</v>
      </c>
      <c r="O61" s="183">
        <v>1136879</v>
      </c>
      <c r="P61" s="183">
        <v>1763663</v>
      </c>
      <c r="Q61" s="183">
        <v>1257</v>
      </c>
      <c r="R61" s="183">
        <v>1208319</v>
      </c>
      <c r="S61" s="183">
        <v>140124</v>
      </c>
      <c r="T61" s="183">
        <v>0</v>
      </c>
      <c r="U61" s="183">
        <v>1709739</v>
      </c>
      <c r="V61" s="183">
        <v>0</v>
      </c>
      <c r="W61" s="183">
        <v>200996</v>
      </c>
      <c r="X61" s="183">
        <v>106080</v>
      </c>
      <c r="Y61" s="183">
        <v>1674308</v>
      </c>
      <c r="Z61" s="183">
        <v>0</v>
      </c>
      <c r="AA61" s="183">
        <v>91358</v>
      </c>
      <c r="AB61" s="183">
        <v>1444377</v>
      </c>
      <c r="AC61" s="183">
        <v>699014</v>
      </c>
      <c r="AD61" s="183">
        <v>0</v>
      </c>
      <c r="AE61" s="183">
        <v>2692681</v>
      </c>
      <c r="AF61" s="183">
        <v>0</v>
      </c>
      <c r="AG61" s="183">
        <v>4482130</v>
      </c>
      <c r="AH61" s="183">
        <v>0</v>
      </c>
      <c r="AI61" s="183">
        <v>3407787</v>
      </c>
      <c r="AJ61" s="183">
        <v>19130395</v>
      </c>
      <c r="AK61" s="183">
        <v>0</v>
      </c>
      <c r="AL61" s="183">
        <v>0</v>
      </c>
      <c r="AM61" s="183">
        <v>0</v>
      </c>
      <c r="AN61" s="183">
        <v>0</v>
      </c>
      <c r="AO61" s="183">
        <v>0</v>
      </c>
      <c r="AP61" s="183">
        <v>0</v>
      </c>
      <c r="AQ61" s="183">
        <v>0</v>
      </c>
      <c r="AR61" s="183">
        <v>3012236</v>
      </c>
      <c r="AS61" s="183">
        <v>0</v>
      </c>
      <c r="AT61" s="183">
        <v>0</v>
      </c>
      <c r="AU61" s="183">
        <v>0</v>
      </c>
      <c r="AV61" s="183">
        <v>1546456</v>
      </c>
      <c r="AW61" s="183">
        <v>0</v>
      </c>
      <c r="AX61" s="183">
        <v>0</v>
      </c>
      <c r="AY61" s="183">
        <v>784265</v>
      </c>
      <c r="AZ61" s="183">
        <v>0</v>
      </c>
      <c r="BA61" s="183">
        <v>0</v>
      </c>
      <c r="BB61" s="183">
        <v>0</v>
      </c>
      <c r="BC61" s="183">
        <v>0</v>
      </c>
      <c r="BD61" s="183">
        <v>490643</v>
      </c>
      <c r="BE61" s="183">
        <v>1186674</v>
      </c>
      <c r="BF61" s="183">
        <v>999364</v>
      </c>
      <c r="BG61" s="183">
        <v>0</v>
      </c>
      <c r="BH61" s="183">
        <v>1453492</v>
      </c>
      <c r="BI61" s="183">
        <v>0</v>
      </c>
      <c r="BJ61" s="183">
        <v>726309</v>
      </c>
      <c r="BK61" s="183">
        <v>921558</v>
      </c>
      <c r="BL61" s="183">
        <v>657098</v>
      </c>
      <c r="BM61" s="183">
        <v>310547</v>
      </c>
      <c r="BN61" s="183">
        <v>2086880</v>
      </c>
      <c r="BO61" s="183">
        <v>35241</v>
      </c>
      <c r="BP61" s="183">
        <v>100207</v>
      </c>
      <c r="BQ61" s="183">
        <v>0</v>
      </c>
      <c r="BR61" s="183">
        <v>818831</v>
      </c>
      <c r="BS61" s="183">
        <v>82931</v>
      </c>
      <c r="BT61" s="183">
        <v>0</v>
      </c>
      <c r="BU61" s="183">
        <v>0</v>
      </c>
      <c r="BV61" s="183">
        <v>648675</v>
      </c>
      <c r="BW61" s="183">
        <v>548179</v>
      </c>
      <c r="BX61" s="183">
        <v>528564</v>
      </c>
      <c r="BY61" s="183">
        <v>1116417</v>
      </c>
      <c r="BZ61" s="183">
        <v>0</v>
      </c>
      <c r="CA61" s="183">
        <v>0</v>
      </c>
      <c r="CB61" s="183">
        <v>18532</v>
      </c>
      <c r="CC61" s="183">
        <v>1438406</v>
      </c>
      <c r="CD61" s="244" t="s">
        <v>221</v>
      </c>
      <c r="CE61" s="193">
        <f t="shared" si="0"/>
        <v>65363392</v>
      </c>
      <c r="CF61" s="247"/>
    </row>
    <row r="62" spans="1:84" ht="12.65" customHeight="1" x14ac:dyDescent="0.3">
      <c r="A62" s="170" t="s">
        <v>3</v>
      </c>
      <c r="B62" s="174"/>
      <c r="C62" s="193">
        <f t="shared" ref="C62:BN62" si="1">ROUND(C47+C48,0)</f>
        <v>219359</v>
      </c>
      <c r="D62" s="193">
        <f t="shared" si="1"/>
        <v>0</v>
      </c>
      <c r="E62" s="193">
        <f t="shared" si="1"/>
        <v>674864</v>
      </c>
      <c r="F62" s="193">
        <f t="shared" si="1"/>
        <v>0</v>
      </c>
      <c r="G62" s="193">
        <f t="shared" si="1"/>
        <v>0</v>
      </c>
      <c r="H62" s="193">
        <f t="shared" si="1"/>
        <v>0</v>
      </c>
      <c r="I62" s="193">
        <f t="shared" si="1"/>
        <v>0</v>
      </c>
      <c r="J62" s="193">
        <f>ROUND(J47+J48,0)</f>
        <v>0</v>
      </c>
      <c r="K62" s="193">
        <f t="shared" si="1"/>
        <v>0</v>
      </c>
      <c r="L62" s="193">
        <f t="shared" si="1"/>
        <v>18</v>
      </c>
      <c r="M62" s="193">
        <f t="shared" si="1"/>
        <v>0</v>
      </c>
      <c r="N62" s="193">
        <f t="shared" si="1"/>
        <v>451429</v>
      </c>
      <c r="O62" s="193">
        <f t="shared" si="1"/>
        <v>256569</v>
      </c>
      <c r="P62" s="193">
        <f t="shared" si="1"/>
        <v>398020</v>
      </c>
      <c r="Q62" s="193">
        <f t="shared" si="1"/>
        <v>284</v>
      </c>
      <c r="R62" s="193">
        <f t="shared" si="1"/>
        <v>272691</v>
      </c>
      <c r="S62" s="193">
        <f t="shared" si="1"/>
        <v>31623</v>
      </c>
      <c r="T62" s="193">
        <f t="shared" si="1"/>
        <v>0</v>
      </c>
      <c r="U62" s="193">
        <f t="shared" si="1"/>
        <v>385851</v>
      </c>
      <c r="V62" s="193">
        <f t="shared" si="1"/>
        <v>0</v>
      </c>
      <c r="W62" s="193">
        <f t="shared" si="1"/>
        <v>45360</v>
      </c>
      <c r="X62" s="193">
        <f t="shared" si="1"/>
        <v>23940</v>
      </c>
      <c r="Y62" s="193">
        <f t="shared" si="1"/>
        <v>377855</v>
      </c>
      <c r="Z62" s="193">
        <f t="shared" si="1"/>
        <v>0</v>
      </c>
      <c r="AA62" s="193">
        <f t="shared" si="1"/>
        <v>20618</v>
      </c>
      <c r="AB62" s="193">
        <f t="shared" si="1"/>
        <v>325964</v>
      </c>
      <c r="AC62" s="193">
        <f t="shared" si="1"/>
        <v>157752</v>
      </c>
      <c r="AD62" s="193">
        <f t="shared" si="1"/>
        <v>0</v>
      </c>
      <c r="AE62" s="193">
        <f t="shared" si="1"/>
        <v>607680</v>
      </c>
      <c r="AF62" s="193">
        <f t="shared" si="1"/>
        <v>0</v>
      </c>
      <c r="AG62" s="193">
        <f t="shared" si="1"/>
        <v>1011519</v>
      </c>
      <c r="AH62" s="193">
        <f t="shared" si="1"/>
        <v>0</v>
      </c>
      <c r="AI62" s="193">
        <f t="shared" si="1"/>
        <v>769063</v>
      </c>
      <c r="AJ62" s="193">
        <f t="shared" si="1"/>
        <v>4317314</v>
      </c>
      <c r="AK62" s="193">
        <f t="shared" si="1"/>
        <v>0</v>
      </c>
      <c r="AL62" s="193">
        <f t="shared" si="1"/>
        <v>0</v>
      </c>
      <c r="AM62" s="193">
        <f t="shared" si="1"/>
        <v>0</v>
      </c>
      <c r="AN62" s="193">
        <f t="shared" si="1"/>
        <v>0</v>
      </c>
      <c r="AO62" s="193">
        <f t="shared" si="1"/>
        <v>0</v>
      </c>
      <c r="AP62" s="193">
        <f t="shared" si="1"/>
        <v>0</v>
      </c>
      <c r="AQ62" s="193">
        <f t="shared" si="1"/>
        <v>0</v>
      </c>
      <c r="AR62" s="193">
        <f t="shared" si="1"/>
        <v>679796</v>
      </c>
      <c r="AS62" s="193">
        <f t="shared" si="1"/>
        <v>0</v>
      </c>
      <c r="AT62" s="193">
        <f t="shared" si="1"/>
        <v>0</v>
      </c>
      <c r="AU62" s="193">
        <f t="shared" si="1"/>
        <v>0</v>
      </c>
      <c r="AV62" s="193">
        <f t="shared" si="1"/>
        <v>349001</v>
      </c>
      <c r="AW62" s="193">
        <f t="shared" si="1"/>
        <v>0</v>
      </c>
      <c r="AX62" s="193">
        <f t="shared" si="1"/>
        <v>0</v>
      </c>
      <c r="AY62" s="193">
        <f>ROUND(AY47+AY48,0)</f>
        <v>176992</v>
      </c>
      <c r="AZ62" s="193">
        <f>ROUND(AZ47+AZ48,0)</f>
        <v>0</v>
      </c>
      <c r="BA62" s="193">
        <f>ROUND(BA47+BA48,0)</f>
        <v>0</v>
      </c>
      <c r="BB62" s="193">
        <f t="shared" si="1"/>
        <v>0</v>
      </c>
      <c r="BC62" s="193">
        <f t="shared" si="1"/>
        <v>0</v>
      </c>
      <c r="BD62" s="193">
        <f t="shared" si="1"/>
        <v>110727</v>
      </c>
      <c r="BE62" s="193">
        <f t="shared" si="1"/>
        <v>267807</v>
      </c>
      <c r="BF62" s="193">
        <f t="shared" si="1"/>
        <v>225535</v>
      </c>
      <c r="BG62" s="193">
        <f t="shared" si="1"/>
        <v>0</v>
      </c>
      <c r="BH62" s="193">
        <f t="shared" si="1"/>
        <v>328022</v>
      </c>
      <c r="BI62" s="193">
        <f t="shared" si="1"/>
        <v>0</v>
      </c>
      <c r="BJ62" s="193">
        <f t="shared" si="1"/>
        <v>163912</v>
      </c>
      <c r="BK62" s="193">
        <f t="shared" si="1"/>
        <v>207976</v>
      </c>
      <c r="BL62" s="193">
        <f t="shared" si="1"/>
        <v>148293</v>
      </c>
      <c r="BM62" s="193">
        <f t="shared" si="1"/>
        <v>70084</v>
      </c>
      <c r="BN62" s="193">
        <f t="shared" si="1"/>
        <v>470963</v>
      </c>
      <c r="BO62" s="193">
        <f t="shared" ref="BO62:CC62" si="2">ROUND(BO47+BO48,0)</f>
        <v>7953</v>
      </c>
      <c r="BP62" s="193">
        <f t="shared" si="2"/>
        <v>22615</v>
      </c>
      <c r="BQ62" s="193">
        <f t="shared" si="2"/>
        <v>0</v>
      </c>
      <c r="BR62" s="193">
        <f t="shared" si="2"/>
        <v>184792</v>
      </c>
      <c r="BS62" s="193">
        <f t="shared" si="2"/>
        <v>18716</v>
      </c>
      <c r="BT62" s="193">
        <f t="shared" si="2"/>
        <v>0</v>
      </c>
      <c r="BU62" s="193">
        <f t="shared" si="2"/>
        <v>0</v>
      </c>
      <c r="BV62" s="193">
        <f t="shared" si="2"/>
        <v>146392</v>
      </c>
      <c r="BW62" s="193">
        <f t="shared" si="2"/>
        <v>123712</v>
      </c>
      <c r="BX62" s="193">
        <f t="shared" si="2"/>
        <v>119285</v>
      </c>
      <c r="BY62" s="193">
        <f t="shared" si="2"/>
        <v>251951</v>
      </c>
      <c r="BZ62" s="193">
        <f t="shared" si="2"/>
        <v>0</v>
      </c>
      <c r="CA62" s="193">
        <f t="shared" si="2"/>
        <v>0</v>
      </c>
      <c r="CB62" s="193">
        <f t="shared" si="2"/>
        <v>4182</v>
      </c>
      <c r="CC62" s="193">
        <f t="shared" si="2"/>
        <v>324617</v>
      </c>
      <c r="CD62" s="244" t="s">
        <v>221</v>
      </c>
      <c r="CE62" s="193">
        <f t="shared" si="0"/>
        <v>14751096</v>
      </c>
      <c r="CF62" s="247"/>
    </row>
    <row r="63" spans="1:84" ht="12.65" customHeight="1" x14ac:dyDescent="0.3">
      <c r="A63" s="170" t="s">
        <v>236</v>
      </c>
      <c r="B63" s="174"/>
      <c r="C63" s="183">
        <v>17502</v>
      </c>
      <c r="D63" s="183">
        <v>0</v>
      </c>
      <c r="E63" s="183">
        <v>76305</v>
      </c>
      <c r="F63" s="184">
        <v>0</v>
      </c>
      <c r="G63" s="183">
        <v>0</v>
      </c>
      <c r="H63" s="183">
        <v>0</v>
      </c>
      <c r="I63" s="184">
        <v>0</v>
      </c>
      <c r="J63" s="184">
        <v>0</v>
      </c>
      <c r="K63" s="184">
        <v>0</v>
      </c>
      <c r="L63" s="184">
        <v>0</v>
      </c>
      <c r="M63" s="183">
        <v>0</v>
      </c>
      <c r="N63" s="183">
        <v>0</v>
      </c>
      <c r="O63" s="183">
        <v>0</v>
      </c>
      <c r="P63" s="184">
        <v>40517</v>
      </c>
      <c r="Q63" s="184">
        <v>0</v>
      </c>
      <c r="R63" s="184">
        <v>0</v>
      </c>
      <c r="S63" s="184">
        <v>28110</v>
      </c>
      <c r="T63" s="184">
        <v>0</v>
      </c>
      <c r="U63" s="184">
        <v>34825</v>
      </c>
      <c r="V63" s="184">
        <v>0</v>
      </c>
      <c r="W63" s="184">
        <v>0</v>
      </c>
      <c r="X63" s="184">
        <v>0</v>
      </c>
      <c r="Y63" s="184">
        <v>35200</v>
      </c>
      <c r="Z63" s="184">
        <v>0</v>
      </c>
      <c r="AA63" s="184">
        <v>0</v>
      </c>
      <c r="AB63" s="184">
        <v>690669</v>
      </c>
      <c r="AC63" s="184">
        <v>64451</v>
      </c>
      <c r="AD63" s="184">
        <v>0</v>
      </c>
      <c r="AE63" s="184">
        <v>91966</v>
      </c>
      <c r="AF63" s="184">
        <v>0</v>
      </c>
      <c r="AG63" s="184">
        <v>123703</v>
      </c>
      <c r="AH63" s="184">
        <v>0</v>
      </c>
      <c r="AI63" s="184">
        <v>0</v>
      </c>
      <c r="AJ63" s="184">
        <v>1232723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-40000</v>
      </c>
      <c r="AS63" s="184">
        <v>0</v>
      </c>
      <c r="AT63" s="184">
        <v>0</v>
      </c>
      <c r="AU63" s="184">
        <v>0</v>
      </c>
      <c r="AV63" s="184">
        <v>337523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3303</v>
      </c>
      <c r="BF63" s="184">
        <v>0</v>
      </c>
      <c r="BG63" s="184">
        <v>0</v>
      </c>
      <c r="BH63" s="184">
        <v>0</v>
      </c>
      <c r="BI63" s="184">
        <v>0</v>
      </c>
      <c r="BJ63" s="184">
        <v>104853</v>
      </c>
      <c r="BK63" s="184">
        <v>14223</v>
      </c>
      <c r="BL63" s="184">
        <v>0</v>
      </c>
      <c r="BM63" s="184">
        <v>0</v>
      </c>
      <c r="BN63" s="184">
        <v>79651</v>
      </c>
      <c r="BO63" s="184">
        <v>0</v>
      </c>
      <c r="BP63" s="184">
        <v>0</v>
      </c>
      <c r="BQ63" s="184">
        <v>0</v>
      </c>
      <c r="BR63" s="184">
        <v>24175</v>
      </c>
      <c r="BS63" s="184">
        <v>0</v>
      </c>
      <c r="BT63" s="184">
        <v>0</v>
      </c>
      <c r="BU63" s="184">
        <v>0</v>
      </c>
      <c r="BV63" s="184">
        <v>0</v>
      </c>
      <c r="BW63" s="184">
        <v>3865</v>
      </c>
      <c r="BX63" s="184">
        <v>0</v>
      </c>
      <c r="BY63" s="184">
        <v>65</v>
      </c>
      <c r="BZ63" s="184">
        <v>0</v>
      </c>
      <c r="CA63" s="184">
        <v>0</v>
      </c>
      <c r="CB63" s="184">
        <v>0</v>
      </c>
      <c r="CC63" s="184">
        <v>70674</v>
      </c>
      <c r="CD63" s="244" t="s">
        <v>221</v>
      </c>
      <c r="CE63" s="193">
        <f t="shared" si="0"/>
        <v>3034303</v>
      </c>
      <c r="CF63" s="247"/>
    </row>
    <row r="64" spans="1:84" ht="12.65" customHeight="1" x14ac:dyDescent="0.3">
      <c r="A64" s="170" t="s">
        <v>237</v>
      </c>
      <c r="B64" s="174"/>
      <c r="C64" s="183">
        <v>65686</v>
      </c>
      <c r="D64" s="183">
        <v>0</v>
      </c>
      <c r="E64" s="184">
        <v>213749</v>
      </c>
      <c r="F64" s="184">
        <v>0</v>
      </c>
      <c r="G64" s="183">
        <v>0</v>
      </c>
      <c r="H64" s="183">
        <v>0</v>
      </c>
      <c r="I64" s="184">
        <v>0</v>
      </c>
      <c r="J64" s="184">
        <v>0</v>
      </c>
      <c r="K64" s="184">
        <v>0</v>
      </c>
      <c r="L64" s="184">
        <v>0</v>
      </c>
      <c r="M64" s="183">
        <v>0</v>
      </c>
      <c r="N64" s="183">
        <v>7507</v>
      </c>
      <c r="O64" s="183">
        <v>44115</v>
      </c>
      <c r="P64" s="184">
        <v>1253780</v>
      </c>
      <c r="Q64" s="184">
        <v>12085</v>
      </c>
      <c r="R64" s="184">
        <v>121740</v>
      </c>
      <c r="S64" s="184">
        <v>1561315</v>
      </c>
      <c r="T64" s="184">
        <v>0</v>
      </c>
      <c r="U64" s="184">
        <v>1289699</v>
      </c>
      <c r="V64" s="184">
        <v>0</v>
      </c>
      <c r="W64" s="184">
        <v>30225</v>
      </c>
      <c r="X64" s="184">
        <v>111642</v>
      </c>
      <c r="Y64" s="184">
        <v>71334</v>
      </c>
      <c r="Z64" s="184">
        <v>0</v>
      </c>
      <c r="AA64" s="184">
        <v>113413</v>
      </c>
      <c r="AB64" s="184">
        <v>14600179</v>
      </c>
      <c r="AC64" s="184">
        <v>99259</v>
      </c>
      <c r="AD64" s="184">
        <v>0</v>
      </c>
      <c r="AE64" s="184">
        <v>58130</v>
      </c>
      <c r="AF64" s="184">
        <v>0</v>
      </c>
      <c r="AG64" s="184">
        <v>276913</v>
      </c>
      <c r="AH64" s="184">
        <v>0</v>
      </c>
      <c r="AI64" s="184">
        <v>358310</v>
      </c>
      <c r="AJ64" s="184">
        <v>1630887</v>
      </c>
      <c r="AK64" s="184">
        <v>0</v>
      </c>
      <c r="AL64" s="184">
        <v>0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135613</v>
      </c>
      <c r="AS64" s="184">
        <v>0</v>
      </c>
      <c r="AT64" s="184">
        <v>0</v>
      </c>
      <c r="AU64" s="184">
        <v>0</v>
      </c>
      <c r="AV64" s="184">
        <v>82235</v>
      </c>
      <c r="AW64" s="184">
        <v>0</v>
      </c>
      <c r="AX64" s="184">
        <v>0</v>
      </c>
      <c r="AY64" s="184">
        <v>348048</v>
      </c>
      <c r="AZ64" s="184">
        <v>0</v>
      </c>
      <c r="BA64" s="184">
        <v>34743</v>
      </c>
      <c r="BB64" s="184">
        <v>0</v>
      </c>
      <c r="BC64" s="184">
        <v>0</v>
      </c>
      <c r="BD64" s="184">
        <v>66954</v>
      </c>
      <c r="BE64" s="184">
        <v>193629</v>
      </c>
      <c r="BF64" s="184">
        <v>191368</v>
      </c>
      <c r="BG64" s="184">
        <v>42791</v>
      </c>
      <c r="BH64" s="184">
        <v>618718</v>
      </c>
      <c r="BI64" s="184">
        <v>0</v>
      </c>
      <c r="BJ64" s="184">
        <v>8332</v>
      </c>
      <c r="BK64" s="184">
        <v>12471</v>
      </c>
      <c r="BL64" s="184">
        <v>15478</v>
      </c>
      <c r="BM64" s="184">
        <v>3652</v>
      </c>
      <c r="BN64" s="184">
        <v>943179</v>
      </c>
      <c r="BO64" s="184">
        <v>36929</v>
      </c>
      <c r="BP64" s="184">
        <v>4997</v>
      </c>
      <c r="BQ64" s="184">
        <v>0</v>
      </c>
      <c r="BR64" s="184">
        <v>14552</v>
      </c>
      <c r="BS64" s="184">
        <v>1612</v>
      </c>
      <c r="BT64" s="184">
        <v>0</v>
      </c>
      <c r="BU64" s="184">
        <v>0</v>
      </c>
      <c r="BV64" s="184">
        <v>10422</v>
      </c>
      <c r="BW64" s="184">
        <v>10425</v>
      </c>
      <c r="BX64" s="184">
        <v>3707</v>
      </c>
      <c r="BY64" s="184">
        <v>20940</v>
      </c>
      <c r="BZ64" s="184">
        <v>0</v>
      </c>
      <c r="CA64" s="184">
        <v>0</v>
      </c>
      <c r="CB64" s="184">
        <v>564</v>
      </c>
      <c r="CC64" s="184">
        <v>96724</v>
      </c>
      <c r="CD64" s="244" t="s">
        <v>221</v>
      </c>
      <c r="CE64" s="193">
        <f t="shared" si="0"/>
        <v>24818051</v>
      </c>
      <c r="CF64" s="247"/>
    </row>
    <row r="65" spans="1:84" ht="12.65" customHeight="1" x14ac:dyDescent="0.3">
      <c r="A65" s="170" t="s">
        <v>238</v>
      </c>
      <c r="B65" s="174"/>
      <c r="C65" s="183">
        <v>0</v>
      </c>
      <c r="D65" s="183">
        <v>0</v>
      </c>
      <c r="E65" s="183">
        <v>0</v>
      </c>
      <c r="F65" s="183">
        <v>0</v>
      </c>
      <c r="G65" s="183">
        <v>0</v>
      </c>
      <c r="H65" s="183">
        <v>0</v>
      </c>
      <c r="I65" s="184">
        <v>0</v>
      </c>
      <c r="J65" s="183">
        <v>0</v>
      </c>
      <c r="K65" s="184">
        <v>0</v>
      </c>
      <c r="L65" s="184">
        <v>0</v>
      </c>
      <c r="M65" s="183">
        <v>0</v>
      </c>
      <c r="N65" s="183">
        <v>0</v>
      </c>
      <c r="O65" s="183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7966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8250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135607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4650</v>
      </c>
      <c r="AS65" s="184">
        <v>0</v>
      </c>
      <c r="AT65" s="184">
        <v>0</v>
      </c>
      <c r="AU65" s="184">
        <v>0</v>
      </c>
      <c r="AV65" s="184">
        <v>35</v>
      </c>
      <c r="AW65" s="184">
        <v>0</v>
      </c>
      <c r="AX65" s="184">
        <v>0</v>
      </c>
      <c r="AY65" s="184">
        <v>309</v>
      </c>
      <c r="AZ65" s="184">
        <v>0</v>
      </c>
      <c r="BA65" s="184">
        <v>0</v>
      </c>
      <c r="BB65" s="184">
        <v>0</v>
      </c>
      <c r="BC65" s="184">
        <v>0</v>
      </c>
      <c r="BD65" s="184">
        <v>2658</v>
      </c>
      <c r="BE65" s="184">
        <v>750653</v>
      </c>
      <c r="BF65" s="184">
        <v>0</v>
      </c>
      <c r="BG65" s="184">
        <v>255798</v>
      </c>
      <c r="BH65" s="184">
        <v>772</v>
      </c>
      <c r="BI65" s="184">
        <v>0</v>
      </c>
      <c r="BJ65" s="184">
        <v>417</v>
      </c>
      <c r="BK65" s="184">
        <v>5158</v>
      </c>
      <c r="BL65" s="184">
        <v>0</v>
      </c>
      <c r="BM65" s="184">
        <v>0</v>
      </c>
      <c r="BN65" s="184">
        <v>5622</v>
      </c>
      <c r="BO65" s="184">
        <v>0</v>
      </c>
      <c r="BP65" s="184">
        <v>0</v>
      </c>
      <c r="BQ65" s="184">
        <v>0</v>
      </c>
      <c r="BR65" s="184">
        <v>4247</v>
      </c>
      <c r="BS65" s="184">
        <v>0</v>
      </c>
      <c r="BT65" s="184">
        <v>0</v>
      </c>
      <c r="BU65" s="184">
        <v>0</v>
      </c>
      <c r="BV65" s="184">
        <v>11300</v>
      </c>
      <c r="BW65" s="184">
        <v>33</v>
      </c>
      <c r="BX65" s="184">
        <v>0</v>
      </c>
      <c r="BY65" s="184">
        <v>2239</v>
      </c>
      <c r="BZ65" s="184">
        <v>0</v>
      </c>
      <c r="CA65" s="184">
        <v>0</v>
      </c>
      <c r="CB65" s="184">
        <v>3317</v>
      </c>
      <c r="CC65" s="184">
        <v>2655</v>
      </c>
      <c r="CD65" s="244" t="s">
        <v>221</v>
      </c>
      <c r="CE65" s="193">
        <f t="shared" si="0"/>
        <v>1201686</v>
      </c>
      <c r="CF65" s="247"/>
    </row>
    <row r="66" spans="1:84" ht="12.65" customHeight="1" x14ac:dyDescent="0.3">
      <c r="A66" s="170" t="s">
        <v>239</v>
      </c>
      <c r="B66" s="174"/>
      <c r="C66" s="183">
        <v>4210</v>
      </c>
      <c r="D66" s="183">
        <v>0</v>
      </c>
      <c r="E66" s="183">
        <v>8827</v>
      </c>
      <c r="F66" s="183">
        <v>0</v>
      </c>
      <c r="G66" s="183">
        <v>0</v>
      </c>
      <c r="H66" s="183">
        <v>0</v>
      </c>
      <c r="I66" s="183">
        <v>0</v>
      </c>
      <c r="J66" s="183">
        <v>0</v>
      </c>
      <c r="K66" s="184">
        <v>0</v>
      </c>
      <c r="L66" s="184">
        <v>0</v>
      </c>
      <c r="M66" s="183">
        <v>0</v>
      </c>
      <c r="N66" s="183">
        <v>0</v>
      </c>
      <c r="O66" s="184">
        <v>2611</v>
      </c>
      <c r="P66" s="184">
        <v>91524</v>
      </c>
      <c r="Q66" s="184">
        <v>0</v>
      </c>
      <c r="R66" s="184">
        <v>8014</v>
      </c>
      <c r="S66" s="183">
        <v>0</v>
      </c>
      <c r="T66" s="183">
        <v>0</v>
      </c>
      <c r="U66" s="184">
        <v>2533888</v>
      </c>
      <c r="V66" s="184">
        <v>0</v>
      </c>
      <c r="W66" s="184">
        <v>0</v>
      </c>
      <c r="X66" s="184">
        <v>0</v>
      </c>
      <c r="Y66" s="184">
        <v>278515</v>
      </c>
      <c r="Z66" s="184">
        <v>0</v>
      </c>
      <c r="AA66" s="184">
        <v>39087</v>
      </c>
      <c r="AB66" s="184">
        <v>192950</v>
      </c>
      <c r="AC66" s="184">
        <v>19077</v>
      </c>
      <c r="AD66" s="184">
        <v>0</v>
      </c>
      <c r="AE66" s="184">
        <v>760</v>
      </c>
      <c r="AF66" s="184">
        <v>0</v>
      </c>
      <c r="AG66" s="184">
        <v>104765</v>
      </c>
      <c r="AH66" s="184">
        <v>0</v>
      </c>
      <c r="AI66" s="184">
        <v>83036</v>
      </c>
      <c r="AJ66" s="184">
        <v>873016</v>
      </c>
      <c r="AK66" s="184">
        <v>0</v>
      </c>
      <c r="AL66" s="184">
        <v>0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269649</v>
      </c>
      <c r="AS66" s="184">
        <v>0</v>
      </c>
      <c r="AT66" s="184">
        <v>0</v>
      </c>
      <c r="AU66" s="184">
        <v>0</v>
      </c>
      <c r="AV66" s="184">
        <v>4456</v>
      </c>
      <c r="AW66" s="184">
        <v>0</v>
      </c>
      <c r="AX66" s="184">
        <v>0</v>
      </c>
      <c r="AY66" s="184">
        <v>24247</v>
      </c>
      <c r="AZ66" s="184">
        <v>0</v>
      </c>
      <c r="BA66" s="184">
        <v>281372</v>
      </c>
      <c r="BB66" s="184">
        <v>0</v>
      </c>
      <c r="BC66" s="184">
        <v>0</v>
      </c>
      <c r="BD66" s="184">
        <v>453</v>
      </c>
      <c r="BE66" s="184">
        <v>320634</v>
      </c>
      <c r="BF66" s="184">
        <v>32086</v>
      </c>
      <c r="BG66" s="184">
        <v>-12067</v>
      </c>
      <c r="BH66" s="184">
        <v>1681661</v>
      </c>
      <c r="BI66" s="184">
        <v>0</v>
      </c>
      <c r="BJ66" s="184">
        <v>70881</v>
      </c>
      <c r="BK66" s="184">
        <v>488393</v>
      </c>
      <c r="BL66" s="184">
        <v>25277</v>
      </c>
      <c r="BM66" s="184">
        <v>32486</v>
      </c>
      <c r="BN66" s="184">
        <v>101993</v>
      </c>
      <c r="BO66" s="184">
        <v>4908</v>
      </c>
      <c r="BP66" s="184">
        <v>87607</v>
      </c>
      <c r="BQ66" s="184">
        <v>0</v>
      </c>
      <c r="BR66" s="184">
        <v>48099</v>
      </c>
      <c r="BS66" s="184">
        <v>44</v>
      </c>
      <c r="BT66" s="184">
        <v>0</v>
      </c>
      <c r="BU66" s="184">
        <v>0</v>
      </c>
      <c r="BV66" s="184">
        <v>48777</v>
      </c>
      <c r="BW66" s="184">
        <v>58313</v>
      </c>
      <c r="BX66" s="184">
        <v>3548</v>
      </c>
      <c r="BY66" s="184">
        <v>147023</v>
      </c>
      <c r="BZ66" s="184">
        <v>0</v>
      </c>
      <c r="CA66" s="184">
        <v>0</v>
      </c>
      <c r="CB66" s="184">
        <v>3203</v>
      </c>
      <c r="CC66" s="184">
        <v>367450</v>
      </c>
      <c r="CD66" s="244" t="s">
        <v>221</v>
      </c>
      <c r="CE66" s="193">
        <f t="shared" si="0"/>
        <v>8330773</v>
      </c>
      <c r="CF66" s="247"/>
    </row>
    <row r="67" spans="1:84" ht="12.65" customHeight="1" x14ac:dyDescent="0.3">
      <c r="A67" s="170" t="s">
        <v>6</v>
      </c>
      <c r="B67" s="174"/>
      <c r="C67" s="193">
        <f>ROUND(C51+C52,0)</f>
        <v>58678</v>
      </c>
      <c r="D67" s="193">
        <f>ROUND(D51+D52,0)</f>
        <v>0</v>
      </c>
      <c r="E67" s="193">
        <f t="shared" ref="E67:BP67" si="3">ROUND(E51+E52,0)</f>
        <v>125409</v>
      </c>
      <c r="F67" s="193">
        <f t="shared" si="3"/>
        <v>0</v>
      </c>
      <c r="G67" s="193">
        <f t="shared" si="3"/>
        <v>0</v>
      </c>
      <c r="H67" s="193">
        <f t="shared" si="3"/>
        <v>0</v>
      </c>
      <c r="I67" s="193">
        <f t="shared" si="3"/>
        <v>0</v>
      </c>
      <c r="J67" s="193">
        <f>ROUND(J51+J52,0)</f>
        <v>1946</v>
      </c>
      <c r="K67" s="193">
        <f t="shared" si="3"/>
        <v>0</v>
      </c>
      <c r="L67" s="193">
        <f t="shared" si="3"/>
        <v>49333</v>
      </c>
      <c r="M67" s="193">
        <f t="shared" si="3"/>
        <v>0</v>
      </c>
      <c r="N67" s="193">
        <f t="shared" si="3"/>
        <v>6532</v>
      </c>
      <c r="O67" s="193">
        <f t="shared" si="3"/>
        <v>65673</v>
      </c>
      <c r="P67" s="193">
        <f t="shared" si="3"/>
        <v>220005</v>
      </c>
      <c r="Q67" s="193">
        <f t="shared" si="3"/>
        <v>13256</v>
      </c>
      <c r="R67" s="193">
        <f t="shared" si="3"/>
        <v>3063</v>
      </c>
      <c r="S67" s="193">
        <f t="shared" si="3"/>
        <v>16806</v>
      </c>
      <c r="T67" s="193">
        <f t="shared" si="3"/>
        <v>0</v>
      </c>
      <c r="U67" s="193">
        <f t="shared" si="3"/>
        <v>88318</v>
      </c>
      <c r="V67" s="193">
        <f t="shared" si="3"/>
        <v>0</v>
      </c>
      <c r="W67" s="193">
        <f t="shared" si="3"/>
        <v>24940</v>
      </c>
      <c r="X67" s="193">
        <f t="shared" si="3"/>
        <v>12024</v>
      </c>
      <c r="Y67" s="193">
        <f t="shared" si="3"/>
        <v>103760</v>
      </c>
      <c r="Z67" s="193">
        <f t="shared" si="3"/>
        <v>0</v>
      </c>
      <c r="AA67" s="193">
        <f t="shared" si="3"/>
        <v>8053</v>
      </c>
      <c r="AB67" s="193">
        <f t="shared" si="3"/>
        <v>55884</v>
      </c>
      <c r="AC67" s="193">
        <f t="shared" si="3"/>
        <v>41533</v>
      </c>
      <c r="AD67" s="193">
        <f t="shared" si="3"/>
        <v>0</v>
      </c>
      <c r="AE67" s="193">
        <f t="shared" si="3"/>
        <v>146137</v>
      </c>
      <c r="AF67" s="193">
        <f t="shared" si="3"/>
        <v>0</v>
      </c>
      <c r="AG67" s="193">
        <f t="shared" si="3"/>
        <v>143031</v>
      </c>
      <c r="AH67" s="193">
        <f t="shared" si="3"/>
        <v>0</v>
      </c>
      <c r="AI67" s="193">
        <f t="shared" si="3"/>
        <v>143511</v>
      </c>
      <c r="AJ67" s="193">
        <f t="shared" si="3"/>
        <v>1009418</v>
      </c>
      <c r="AK67" s="193">
        <f t="shared" si="3"/>
        <v>0</v>
      </c>
      <c r="AL67" s="193">
        <f t="shared" si="3"/>
        <v>0</v>
      </c>
      <c r="AM67" s="193">
        <f t="shared" si="3"/>
        <v>0</v>
      </c>
      <c r="AN67" s="193">
        <f t="shared" si="3"/>
        <v>0</v>
      </c>
      <c r="AO67" s="193">
        <f t="shared" si="3"/>
        <v>0</v>
      </c>
      <c r="AP67" s="193">
        <f t="shared" si="3"/>
        <v>0</v>
      </c>
      <c r="AQ67" s="193">
        <f t="shared" si="3"/>
        <v>0</v>
      </c>
      <c r="AR67" s="193">
        <f t="shared" si="3"/>
        <v>84182</v>
      </c>
      <c r="AS67" s="193">
        <f t="shared" si="3"/>
        <v>0</v>
      </c>
      <c r="AT67" s="193">
        <f t="shared" si="3"/>
        <v>0</v>
      </c>
      <c r="AU67" s="193">
        <f t="shared" si="3"/>
        <v>0</v>
      </c>
      <c r="AV67" s="193">
        <f t="shared" si="3"/>
        <v>104296</v>
      </c>
      <c r="AW67" s="193">
        <f t="shared" si="3"/>
        <v>0</v>
      </c>
      <c r="AX67" s="193">
        <f t="shared" si="3"/>
        <v>0</v>
      </c>
      <c r="AY67" s="193">
        <f t="shared" si="3"/>
        <v>87589</v>
      </c>
      <c r="AZ67" s="193">
        <f>ROUND(AZ51+AZ52,0)</f>
        <v>0</v>
      </c>
      <c r="BA67" s="193">
        <f>ROUND(BA51+BA52,0)</f>
        <v>0</v>
      </c>
      <c r="BB67" s="193">
        <f t="shared" si="3"/>
        <v>1743</v>
      </c>
      <c r="BC67" s="193">
        <f t="shared" si="3"/>
        <v>0</v>
      </c>
      <c r="BD67" s="193">
        <f t="shared" si="3"/>
        <v>54845</v>
      </c>
      <c r="BE67" s="193">
        <f t="shared" si="3"/>
        <v>269687</v>
      </c>
      <c r="BF67" s="193">
        <f t="shared" si="3"/>
        <v>70259</v>
      </c>
      <c r="BG67" s="193">
        <f t="shared" si="3"/>
        <v>0</v>
      </c>
      <c r="BH67" s="193">
        <f t="shared" si="3"/>
        <v>93774</v>
      </c>
      <c r="BI67" s="193">
        <f t="shared" si="3"/>
        <v>0</v>
      </c>
      <c r="BJ67" s="193">
        <f t="shared" si="3"/>
        <v>24414</v>
      </c>
      <c r="BK67" s="193">
        <f t="shared" si="3"/>
        <v>85518</v>
      </c>
      <c r="BL67" s="193">
        <f t="shared" si="3"/>
        <v>44623</v>
      </c>
      <c r="BM67" s="193">
        <f t="shared" si="3"/>
        <v>8244</v>
      </c>
      <c r="BN67" s="193">
        <f t="shared" si="3"/>
        <v>253766</v>
      </c>
      <c r="BO67" s="193">
        <f t="shared" si="3"/>
        <v>5474</v>
      </c>
      <c r="BP67" s="193">
        <f t="shared" si="3"/>
        <v>6508</v>
      </c>
      <c r="BQ67" s="193">
        <f t="shared" ref="BQ67:CC67" si="4">ROUND(BQ51+BQ52,0)</f>
        <v>0</v>
      </c>
      <c r="BR67" s="193">
        <f t="shared" si="4"/>
        <v>36014</v>
      </c>
      <c r="BS67" s="193">
        <f t="shared" si="4"/>
        <v>11979</v>
      </c>
      <c r="BT67" s="193">
        <f t="shared" si="4"/>
        <v>0</v>
      </c>
      <c r="BU67" s="193">
        <f t="shared" si="4"/>
        <v>0</v>
      </c>
      <c r="BV67" s="193">
        <f t="shared" si="4"/>
        <v>19102</v>
      </c>
      <c r="BW67" s="193">
        <f t="shared" si="4"/>
        <v>8808</v>
      </c>
      <c r="BX67" s="193">
        <f t="shared" si="4"/>
        <v>8114</v>
      </c>
      <c r="BY67" s="193">
        <f t="shared" si="4"/>
        <v>20391</v>
      </c>
      <c r="BZ67" s="193">
        <f t="shared" si="4"/>
        <v>0</v>
      </c>
      <c r="CA67" s="193">
        <f t="shared" si="4"/>
        <v>0</v>
      </c>
      <c r="CB67" s="193">
        <f t="shared" si="4"/>
        <v>36109</v>
      </c>
      <c r="CC67" s="193">
        <f t="shared" si="4"/>
        <v>77822</v>
      </c>
      <c r="CD67" s="244" t="s">
        <v>221</v>
      </c>
      <c r="CE67" s="193">
        <f t="shared" si="0"/>
        <v>3750571</v>
      </c>
      <c r="CF67" s="247"/>
    </row>
    <row r="68" spans="1:84" ht="12.65" customHeight="1" x14ac:dyDescent="0.3">
      <c r="A68" s="170" t="s">
        <v>240</v>
      </c>
      <c r="B68" s="174"/>
      <c r="C68" s="183">
        <v>0</v>
      </c>
      <c r="D68" s="183">
        <v>0</v>
      </c>
      <c r="E68" s="183">
        <v>0</v>
      </c>
      <c r="F68" s="183">
        <v>0</v>
      </c>
      <c r="G68" s="183">
        <v>0</v>
      </c>
      <c r="H68" s="183">
        <v>0</v>
      </c>
      <c r="I68" s="183">
        <v>0</v>
      </c>
      <c r="J68" s="183">
        <v>0</v>
      </c>
      <c r="K68" s="184">
        <v>0</v>
      </c>
      <c r="L68" s="184">
        <v>0</v>
      </c>
      <c r="M68" s="183">
        <v>0</v>
      </c>
      <c r="N68" s="183">
        <v>0</v>
      </c>
      <c r="O68" s="183">
        <v>4095</v>
      </c>
      <c r="P68" s="184">
        <v>126940</v>
      </c>
      <c r="Q68" s="184">
        <v>0</v>
      </c>
      <c r="R68" s="184">
        <v>3193</v>
      </c>
      <c r="S68" s="184">
        <v>0</v>
      </c>
      <c r="T68" s="184">
        <v>0</v>
      </c>
      <c r="U68" s="184">
        <v>214366</v>
      </c>
      <c r="V68" s="184">
        <v>0</v>
      </c>
      <c r="W68" s="184">
        <v>251390</v>
      </c>
      <c r="X68" s="184">
        <v>9614</v>
      </c>
      <c r="Y68" s="184">
        <v>0</v>
      </c>
      <c r="Z68" s="184">
        <v>0</v>
      </c>
      <c r="AA68" s="184">
        <v>0</v>
      </c>
      <c r="AB68" s="184">
        <v>219319</v>
      </c>
      <c r="AC68" s="184">
        <v>28145</v>
      </c>
      <c r="AD68" s="184">
        <v>0</v>
      </c>
      <c r="AE68" s="184">
        <v>0</v>
      </c>
      <c r="AF68" s="184">
        <v>0</v>
      </c>
      <c r="AG68" s="184">
        <v>2172</v>
      </c>
      <c r="AH68" s="184">
        <v>0</v>
      </c>
      <c r="AI68" s="184">
        <v>0</v>
      </c>
      <c r="AJ68" s="184">
        <v>364849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111607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1652</v>
      </c>
      <c r="AZ68" s="184">
        <v>0</v>
      </c>
      <c r="BA68" s="184">
        <v>0</v>
      </c>
      <c r="BB68" s="184">
        <v>0</v>
      </c>
      <c r="BC68" s="184">
        <v>0</v>
      </c>
      <c r="BD68" s="184">
        <v>38731</v>
      </c>
      <c r="BE68" s="184">
        <v>21269</v>
      </c>
      <c r="BF68" s="184">
        <v>0</v>
      </c>
      <c r="BG68" s="184">
        <v>0</v>
      </c>
      <c r="BH68" s="184">
        <v>0</v>
      </c>
      <c r="BI68" s="184">
        <v>0</v>
      </c>
      <c r="BJ68" s="184">
        <v>2923</v>
      </c>
      <c r="BK68" s="184">
        <v>20929</v>
      </c>
      <c r="BL68" s="184">
        <v>0</v>
      </c>
      <c r="BM68" s="184">
        <v>0</v>
      </c>
      <c r="BN68" s="184">
        <v>106037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20928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32927</v>
      </c>
      <c r="CC68" s="184">
        <v>35135</v>
      </c>
      <c r="CD68" s="244" t="s">
        <v>221</v>
      </c>
      <c r="CE68" s="193">
        <f t="shared" si="0"/>
        <v>1616221</v>
      </c>
      <c r="CF68" s="247"/>
    </row>
    <row r="69" spans="1:84" ht="12.65" customHeight="1" x14ac:dyDescent="0.3">
      <c r="A69" s="170" t="s">
        <v>241</v>
      </c>
      <c r="B69" s="174"/>
      <c r="C69" s="183">
        <v>2327</v>
      </c>
      <c r="D69" s="183">
        <v>0</v>
      </c>
      <c r="E69" s="184">
        <v>21310</v>
      </c>
      <c r="F69" s="184">
        <v>0</v>
      </c>
      <c r="G69" s="183">
        <v>0</v>
      </c>
      <c r="H69" s="183">
        <v>0</v>
      </c>
      <c r="I69" s="184">
        <v>0</v>
      </c>
      <c r="J69" s="184">
        <v>0</v>
      </c>
      <c r="K69" s="184">
        <v>0</v>
      </c>
      <c r="L69" s="184">
        <v>0</v>
      </c>
      <c r="M69" s="183">
        <v>0</v>
      </c>
      <c r="N69" s="183">
        <v>38379</v>
      </c>
      <c r="O69" s="183">
        <v>18751</v>
      </c>
      <c r="P69" s="184">
        <v>36339</v>
      </c>
      <c r="Q69" s="184">
        <v>0</v>
      </c>
      <c r="R69" s="220">
        <v>27025</v>
      </c>
      <c r="S69" s="184">
        <v>4578</v>
      </c>
      <c r="T69" s="183">
        <v>0</v>
      </c>
      <c r="U69" s="184">
        <v>77292</v>
      </c>
      <c r="V69" s="184">
        <v>0</v>
      </c>
      <c r="W69" s="183">
        <v>110567</v>
      </c>
      <c r="X69" s="184">
        <v>97353</v>
      </c>
      <c r="Y69" s="184">
        <v>215930</v>
      </c>
      <c r="Z69" s="184">
        <v>0</v>
      </c>
      <c r="AA69" s="184">
        <v>247</v>
      </c>
      <c r="AB69" s="184">
        <v>153369</v>
      </c>
      <c r="AC69" s="184">
        <v>14468</v>
      </c>
      <c r="AD69" s="184">
        <v>0</v>
      </c>
      <c r="AE69" s="184">
        <v>28810</v>
      </c>
      <c r="AF69" s="184">
        <v>0</v>
      </c>
      <c r="AG69" s="184">
        <v>40735</v>
      </c>
      <c r="AH69" s="184">
        <v>0</v>
      </c>
      <c r="AI69" s="184">
        <v>31628</v>
      </c>
      <c r="AJ69" s="184">
        <v>165354</v>
      </c>
      <c r="AK69" s="184">
        <v>0</v>
      </c>
      <c r="AL69" s="184">
        <v>0</v>
      </c>
      <c r="AM69" s="184">
        <v>0</v>
      </c>
      <c r="AN69" s="184">
        <v>0</v>
      </c>
      <c r="AO69" s="183">
        <v>0</v>
      </c>
      <c r="AP69" s="184">
        <v>0</v>
      </c>
      <c r="AQ69" s="183">
        <v>0</v>
      </c>
      <c r="AR69" s="183">
        <v>135247</v>
      </c>
      <c r="AS69" s="183">
        <v>0</v>
      </c>
      <c r="AT69" s="183">
        <v>0</v>
      </c>
      <c r="AU69" s="184">
        <v>0</v>
      </c>
      <c r="AV69" s="184">
        <v>18952</v>
      </c>
      <c r="AW69" s="184">
        <v>0</v>
      </c>
      <c r="AX69" s="184">
        <v>0</v>
      </c>
      <c r="AY69" s="184">
        <v>6522</v>
      </c>
      <c r="AZ69" s="184">
        <v>0</v>
      </c>
      <c r="BA69" s="184">
        <v>0</v>
      </c>
      <c r="BB69" s="184">
        <v>0</v>
      </c>
      <c r="BC69" s="184">
        <v>0</v>
      </c>
      <c r="BD69" s="184">
        <v>42311</v>
      </c>
      <c r="BE69" s="184">
        <v>143695</v>
      </c>
      <c r="BF69" s="184">
        <v>2478</v>
      </c>
      <c r="BG69" s="184">
        <v>23004</v>
      </c>
      <c r="BH69" s="220">
        <v>288736</v>
      </c>
      <c r="BI69" s="184">
        <v>0</v>
      </c>
      <c r="BJ69" s="184">
        <v>120967</v>
      </c>
      <c r="BK69" s="184">
        <v>1897</v>
      </c>
      <c r="BL69" s="184">
        <v>506</v>
      </c>
      <c r="BM69" s="184">
        <v>5466</v>
      </c>
      <c r="BN69" s="184">
        <v>93130</v>
      </c>
      <c r="BO69" s="184">
        <v>357</v>
      </c>
      <c r="BP69" s="184">
        <v>141201</v>
      </c>
      <c r="BQ69" s="184">
        <v>0</v>
      </c>
      <c r="BR69" s="184">
        <v>114898</v>
      </c>
      <c r="BS69" s="184">
        <v>0</v>
      </c>
      <c r="BT69" s="184">
        <v>0</v>
      </c>
      <c r="BU69" s="184">
        <v>0</v>
      </c>
      <c r="BV69" s="184">
        <v>997</v>
      </c>
      <c r="BW69" s="184">
        <v>15237</v>
      </c>
      <c r="BX69" s="184">
        <v>874</v>
      </c>
      <c r="BY69" s="184">
        <v>18755</v>
      </c>
      <c r="BZ69" s="184">
        <v>0</v>
      </c>
      <c r="CA69" s="184">
        <v>0</v>
      </c>
      <c r="CB69" s="184">
        <v>0</v>
      </c>
      <c r="CC69" s="184">
        <v>344462</v>
      </c>
      <c r="CD69" s="186"/>
      <c r="CE69" s="193">
        <f t="shared" si="0"/>
        <v>2604154</v>
      </c>
      <c r="CF69" s="247"/>
    </row>
    <row r="70" spans="1:84" ht="12.65" customHeight="1" x14ac:dyDescent="0.3">
      <c r="A70" s="170" t="s">
        <v>242</v>
      </c>
      <c r="B70" s="174"/>
      <c r="C70" s="183">
        <v>0</v>
      </c>
      <c r="D70" s="183">
        <v>0</v>
      </c>
      <c r="E70" s="183">
        <v>0</v>
      </c>
      <c r="F70" s="184">
        <v>0</v>
      </c>
      <c r="G70" s="183">
        <v>0</v>
      </c>
      <c r="H70" s="183">
        <v>0</v>
      </c>
      <c r="I70" s="183">
        <v>0</v>
      </c>
      <c r="J70" s="184">
        <v>0</v>
      </c>
      <c r="K70" s="184">
        <v>0</v>
      </c>
      <c r="L70" s="184">
        <v>0</v>
      </c>
      <c r="M70" s="183">
        <v>0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4">
        <v>0</v>
      </c>
      <c r="V70" s="183">
        <v>0</v>
      </c>
      <c r="W70" s="183">
        <v>0</v>
      </c>
      <c r="X70" s="184">
        <v>0</v>
      </c>
      <c r="Y70" s="184">
        <v>0</v>
      </c>
      <c r="Z70" s="184">
        <v>0</v>
      </c>
      <c r="AA70" s="184">
        <v>0</v>
      </c>
      <c r="AB70" s="184">
        <v>3694223</v>
      </c>
      <c r="AC70" s="184">
        <v>0</v>
      </c>
      <c r="AD70" s="184">
        <v>0</v>
      </c>
      <c r="AE70" s="184">
        <v>0</v>
      </c>
      <c r="AF70" s="184">
        <v>0</v>
      </c>
      <c r="AG70" s="184">
        <v>0</v>
      </c>
      <c r="AH70" s="184">
        <v>0</v>
      </c>
      <c r="AI70" s="184">
        <v>4295</v>
      </c>
      <c r="AJ70" s="184">
        <v>408991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24282</v>
      </c>
      <c r="AW70" s="184">
        <v>0</v>
      </c>
      <c r="AX70" s="184">
        <v>0</v>
      </c>
      <c r="AY70" s="184">
        <v>600075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0</v>
      </c>
      <c r="BF70" s="184">
        <v>0</v>
      </c>
      <c r="BG70" s="184">
        <v>0</v>
      </c>
      <c r="BH70" s="184">
        <v>0</v>
      </c>
      <c r="BI70" s="184">
        <v>0</v>
      </c>
      <c r="BJ70" s="184">
        <v>0</v>
      </c>
      <c r="BK70" s="184">
        <v>0</v>
      </c>
      <c r="BL70" s="184">
        <v>0</v>
      </c>
      <c r="BM70" s="184">
        <v>0</v>
      </c>
      <c r="BN70" s="184">
        <v>0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6138</v>
      </c>
      <c r="CC70" s="184">
        <v>7839</v>
      </c>
      <c r="CD70" s="186">
        <v>328936</v>
      </c>
      <c r="CE70" s="193">
        <f t="shared" si="0"/>
        <v>5074779</v>
      </c>
      <c r="CF70" s="247"/>
    </row>
    <row r="71" spans="1:84" ht="12.65" customHeight="1" x14ac:dyDescent="0.3">
      <c r="A71" s="170" t="s">
        <v>243</v>
      </c>
      <c r="B71" s="174"/>
      <c r="C71" s="193">
        <f>SUM(C61:C68)+C69-C70</f>
        <v>1339761</v>
      </c>
      <c r="D71" s="193">
        <f t="shared" ref="D71:AI71" si="5">SUM(D61:D69)-D70</f>
        <v>0</v>
      </c>
      <c r="E71" s="193">
        <f t="shared" si="5"/>
        <v>4110844</v>
      </c>
      <c r="F71" s="193">
        <f t="shared" si="5"/>
        <v>0</v>
      </c>
      <c r="G71" s="193">
        <f t="shared" si="5"/>
        <v>0</v>
      </c>
      <c r="H71" s="193">
        <f t="shared" si="5"/>
        <v>0</v>
      </c>
      <c r="I71" s="193">
        <f t="shared" si="5"/>
        <v>0</v>
      </c>
      <c r="J71" s="193">
        <f t="shared" si="5"/>
        <v>1946</v>
      </c>
      <c r="K71" s="193">
        <f t="shared" si="5"/>
        <v>0</v>
      </c>
      <c r="L71" s="193">
        <f t="shared" si="5"/>
        <v>49429</v>
      </c>
      <c r="M71" s="193">
        <f t="shared" si="5"/>
        <v>0</v>
      </c>
      <c r="N71" s="193">
        <f t="shared" si="5"/>
        <v>2504170</v>
      </c>
      <c r="O71" s="193">
        <f t="shared" si="5"/>
        <v>1528693</v>
      </c>
      <c r="P71" s="193">
        <f t="shared" si="5"/>
        <v>3930788</v>
      </c>
      <c r="Q71" s="193">
        <f t="shared" si="5"/>
        <v>26882</v>
      </c>
      <c r="R71" s="193">
        <f t="shared" si="5"/>
        <v>1644045</v>
      </c>
      <c r="S71" s="193">
        <f t="shared" si="5"/>
        <v>1782556</v>
      </c>
      <c r="T71" s="193">
        <f t="shared" si="5"/>
        <v>0</v>
      </c>
      <c r="U71" s="193">
        <f t="shared" si="5"/>
        <v>6341944</v>
      </c>
      <c r="V71" s="193">
        <f t="shared" si="5"/>
        <v>0</v>
      </c>
      <c r="W71" s="193">
        <f t="shared" si="5"/>
        <v>663478</v>
      </c>
      <c r="X71" s="193">
        <f t="shared" si="5"/>
        <v>360653</v>
      </c>
      <c r="Y71" s="193">
        <f t="shared" si="5"/>
        <v>2756902</v>
      </c>
      <c r="Z71" s="193">
        <f t="shared" si="5"/>
        <v>0</v>
      </c>
      <c r="AA71" s="193">
        <f t="shared" si="5"/>
        <v>272776</v>
      </c>
      <c r="AB71" s="193">
        <f t="shared" si="5"/>
        <v>13996738</v>
      </c>
      <c r="AC71" s="193">
        <f t="shared" si="5"/>
        <v>1123699</v>
      </c>
      <c r="AD71" s="193">
        <f t="shared" si="5"/>
        <v>0</v>
      </c>
      <c r="AE71" s="193">
        <f t="shared" si="5"/>
        <v>3626164</v>
      </c>
      <c r="AF71" s="193">
        <f t="shared" si="5"/>
        <v>0</v>
      </c>
      <c r="AG71" s="193">
        <f t="shared" si="5"/>
        <v>6184968</v>
      </c>
      <c r="AH71" s="193">
        <f t="shared" si="5"/>
        <v>0</v>
      </c>
      <c r="AI71" s="193">
        <f t="shared" si="5"/>
        <v>4789040</v>
      </c>
      <c r="AJ71" s="193">
        <f t="shared" ref="AJ71:BO71" si="6">SUM(AJ61:AJ69)-AJ70</f>
        <v>28450572</v>
      </c>
      <c r="AK71" s="193">
        <f t="shared" si="6"/>
        <v>0</v>
      </c>
      <c r="AL71" s="193">
        <f t="shared" si="6"/>
        <v>0</v>
      </c>
      <c r="AM71" s="193">
        <f t="shared" si="6"/>
        <v>0</v>
      </c>
      <c r="AN71" s="193">
        <f t="shared" si="6"/>
        <v>0</v>
      </c>
      <c r="AO71" s="193">
        <f t="shared" si="6"/>
        <v>0</v>
      </c>
      <c r="AP71" s="193">
        <f t="shared" si="6"/>
        <v>0</v>
      </c>
      <c r="AQ71" s="193">
        <f t="shared" si="6"/>
        <v>0</v>
      </c>
      <c r="AR71" s="193">
        <f t="shared" si="6"/>
        <v>4392980</v>
      </c>
      <c r="AS71" s="193">
        <f t="shared" si="6"/>
        <v>0</v>
      </c>
      <c r="AT71" s="193">
        <f t="shared" si="6"/>
        <v>0</v>
      </c>
      <c r="AU71" s="193">
        <f t="shared" si="6"/>
        <v>0</v>
      </c>
      <c r="AV71" s="193">
        <f t="shared" si="6"/>
        <v>2418672</v>
      </c>
      <c r="AW71" s="193">
        <f t="shared" si="6"/>
        <v>0</v>
      </c>
      <c r="AX71" s="193">
        <f t="shared" si="6"/>
        <v>0</v>
      </c>
      <c r="AY71" s="193">
        <f t="shared" si="6"/>
        <v>829549</v>
      </c>
      <c r="AZ71" s="193">
        <f t="shared" si="6"/>
        <v>0</v>
      </c>
      <c r="BA71" s="193">
        <f t="shared" si="6"/>
        <v>316115</v>
      </c>
      <c r="BB71" s="193">
        <f t="shared" si="6"/>
        <v>1743</v>
      </c>
      <c r="BC71" s="193">
        <f t="shared" si="6"/>
        <v>0</v>
      </c>
      <c r="BD71" s="193">
        <f t="shared" si="6"/>
        <v>807322</v>
      </c>
      <c r="BE71" s="193">
        <f t="shared" si="6"/>
        <v>3157351</v>
      </c>
      <c r="BF71" s="193">
        <f t="shared" si="6"/>
        <v>1521090</v>
      </c>
      <c r="BG71" s="193">
        <f t="shared" si="6"/>
        <v>309526</v>
      </c>
      <c r="BH71" s="193">
        <f t="shared" si="6"/>
        <v>4465175</v>
      </c>
      <c r="BI71" s="193">
        <f t="shared" si="6"/>
        <v>0</v>
      </c>
      <c r="BJ71" s="193">
        <f t="shared" si="6"/>
        <v>1223008</v>
      </c>
      <c r="BK71" s="193">
        <f t="shared" si="6"/>
        <v>1758123</v>
      </c>
      <c r="BL71" s="193">
        <f t="shared" si="6"/>
        <v>891275</v>
      </c>
      <c r="BM71" s="193">
        <f t="shared" si="6"/>
        <v>430479</v>
      </c>
      <c r="BN71" s="193">
        <f t="shared" si="6"/>
        <v>4141221</v>
      </c>
      <c r="BO71" s="193">
        <f t="shared" si="6"/>
        <v>90862</v>
      </c>
      <c r="BP71" s="193">
        <f t="shared" ref="BP71:CC71" si="7">SUM(BP61:BP69)-BP70</f>
        <v>363135</v>
      </c>
      <c r="BQ71" s="193">
        <f t="shared" si="7"/>
        <v>0</v>
      </c>
      <c r="BR71" s="193">
        <f t="shared" si="7"/>
        <v>1245608</v>
      </c>
      <c r="BS71" s="193">
        <f t="shared" si="7"/>
        <v>115282</v>
      </c>
      <c r="BT71" s="193">
        <f t="shared" si="7"/>
        <v>0</v>
      </c>
      <c r="BU71" s="193">
        <f t="shared" si="7"/>
        <v>0</v>
      </c>
      <c r="BV71" s="193">
        <f t="shared" si="7"/>
        <v>906593</v>
      </c>
      <c r="BW71" s="193">
        <f t="shared" si="7"/>
        <v>768572</v>
      </c>
      <c r="BX71" s="193">
        <f t="shared" si="7"/>
        <v>664092</v>
      </c>
      <c r="BY71" s="193">
        <f t="shared" si="7"/>
        <v>1577781</v>
      </c>
      <c r="BZ71" s="193">
        <f t="shared" si="7"/>
        <v>0</v>
      </c>
      <c r="CA71" s="193">
        <f t="shared" si="7"/>
        <v>0</v>
      </c>
      <c r="CB71" s="193">
        <f t="shared" si="7"/>
        <v>92696</v>
      </c>
      <c r="CC71" s="193">
        <f t="shared" si="7"/>
        <v>2750106</v>
      </c>
      <c r="CD71" s="240">
        <f>CD69-CD70</f>
        <v>-328936</v>
      </c>
      <c r="CE71" s="193">
        <f>SUM(CE61:CE69)-CE70</f>
        <v>120395468</v>
      </c>
      <c r="CF71" s="247"/>
    </row>
    <row r="72" spans="1:84" ht="12.65" customHeight="1" x14ac:dyDescent="0.3">
      <c r="A72" s="170" t="s">
        <v>244</v>
      </c>
      <c r="B72" s="174"/>
      <c r="C72" s="244" t="s">
        <v>221</v>
      </c>
      <c r="D72" s="244" t="s">
        <v>221</v>
      </c>
      <c r="E72" s="244" t="s">
        <v>221</v>
      </c>
      <c r="F72" s="244" t="s">
        <v>221</v>
      </c>
      <c r="G72" s="244" t="s">
        <v>221</v>
      </c>
      <c r="H72" s="244" t="s">
        <v>221</v>
      </c>
      <c r="I72" s="244" t="s">
        <v>221</v>
      </c>
      <c r="J72" s="244" t="s">
        <v>221</v>
      </c>
      <c r="K72" s="248" t="s">
        <v>221</v>
      </c>
      <c r="L72" s="244" t="s">
        <v>221</v>
      </c>
      <c r="M72" s="244" t="s">
        <v>221</v>
      </c>
      <c r="N72" s="244" t="s">
        <v>221</v>
      </c>
      <c r="O72" s="244" t="s">
        <v>221</v>
      </c>
      <c r="P72" s="244" t="s">
        <v>221</v>
      </c>
      <c r="Q72" s="244" t="s">
        <v>221</v>
      </c>
      <c r="R72" s="244" t="s">
        <v>221</v>
      </c>
      <c r="S72" s="244" t="s">
        <v>221</v>
      </c>
      <c r="T72" s="244" t="s">
        <v>221</v>
      </c>
      <c r="U72" s="244" t="s">
        <v>221</v>
      </c>
      <c r="V72" s="244" t="s">
        <v>221</v>
      </c>
      <c r="W72" s="244" t="s">
        <v>221</v>
      </c>
      <c r="X72" s="244" t="s">
        <v>221</v>
      </c>
      <c r="Y72" s="244" t="s">
        <v>221</v>
      </c>
      <c r="Z72" s="244" t="s">
        <v>221</v>
      </c>
      <c r="AA72" s="244" t="s">
        <v>221</v>
      </c>
      <c r="AB72" s="244" t="s">
        <v>221</v>
      </c>
      <c r="AC72" s="244" t="s">
        <v>221</v>
      </c>
      <c r="AD72" s="244" t="s">
        <v>221</v>
      </c>
      <c r="AE72" s="244" t="s">
        <v>221</v>
      </c>
      <c r="AF72" s="244" t="s">
        <v>221</v>
      </c>
      <c r="AG72" s="244" t="s">
        <v>221</v>
      </c>
      <c r="AH72" s="244" t="s">
        <v>221</v>
      </c>
      <c r="AI72" s="244" t="s">
        <v>221</v>
      </c>
      <c r="AJ72" s="244" t="s">
        <v>221</v>
      </c>
      <c r="AK72" s="244" t="s">
        <v>221</v>
      </c>
      <c r="AL72" s="244" t="s">
        <v>221</v>
      </c>
      <c r="AM72" s="244" t="s">
        <v>221</v>
      </c>
      <c r="AN72" s="244" t="s">
        <v>221</v>
      </c>
      <c r="AO72" s="244" t="s">
        <v>221</v>
      </c>
      <c r="AP72" s="244" t="s">
        <v>221</v>
      </c>
      <c r="AQ72" s="244" t="s">
        <v>221</v>
      </c>
      <c r="AR72" s="244" t="s">
        <v>221</v>
      </c>
      <c r="AS72" s="244" t="s">
        <v>221</v>
      </c>
      <c r="AT72" s="244" t="s">
        <v>221</v>
      </c>
      <c r="AU72" s="244" t="s">
        <v>221</v>
      </c>
      <c r="AV72" s="244" t="s">
        <v>221</v>
      </c>
      <c r="AW72" s="244" t="s">
        <v>221</v>
      </c>
      <c r="AX72" s="244" t="s">
        <v>221</v>
      </c>
      <c r="AY72" s="244" t="s">
        <v>221</v>
      </c>
      <c r="AZ72" s="244" t="s">
        <v>221</v>
      </c>
      <c r="BA72" s="244" t="s">
        <v>221</v>
      </c>
      <c r="BB72" s="244" t="s">
        <v>221</v>
      </c>
      <c r="BC72" s="244" t="s">
        <v>221</v>
      </c>
      <c r="BD72" s="244" t="s">
        <v>221</v>
      </c>
      <c r="BE72" s="244" t="s">
        <v>221</v>
      </c>
      <c r="BF72" s="244" t="s">
        <v>221</v>
      </c>
      <c r="BG72" s="244" t="s">
        <v>221</v>
      </c>
      <c r="BH72" s="244" t="s">
        <v>221</v>
      </c>
      <c r="BI72" s="244" t="s">
        <v>221</v>
      </c>
      <c r="BJ72" s="244" t="s">
        <v>221</v>
      </c>
      <c r="BK72" s="244" t="s">
        <v>221</v>
      </c>
      <c r="BL72" s="244" t="s">
        <v>221</v>
      </c>
      <c r="BM72" s="244" t="s">
        <v>221</v>
      </c>
      <c r="BN72" s="244" t="s">
        <v>221</v>
      </c>
      <c r="BO72" s="244" t="s">
        <v>221</v>
      </c>
      <c r="BP72" s="244" t="s">
        <v>221</v>
      </c>
      <c r="BQ72" s="244" t="s">
        <v>221</v>
      </c>
      <c r="BR72" s="244" t="s">
        <v>221</v>
      </c>
      <c r="BS72" s="244" t="s">
        <v>221</v>
      </c>
      <c r="BT72" s="244" t="s">
        <v>221</v>
      </c>
      <c r="BU72" s="244" t="s">
        <v>221</v>
      </c>
      <c r="BV72" s="244" t="s">
        <v>221</v>
      </c>
      <c r="BW72" s="244" t="s">
        <v>221</v>
      </c>
      <c r="BX72" s="244" t="s">
        <v>221</v>
      </c>
      <c r="BY72" s="244" t="s">
        <v>221</v>
      </c>
      <c r="BZ72" s="244" t="s">
        <v>221</v>
      </c>
      <c r="CA72" s="244" t="s">
        <v>221</v>
      </c>
      <c r="CB72" s="244" t="s">
        <v>221</v>
      </c>
      <c r="CC72" s="244" t="s">
        <v>221</v>
      </c>
      <c r="CD72" s="244" t="s">
        <v>221</v>
      </c>
      <c r="CE72" s="186">
        <v>484235</v>
      </c>
      <c r="CF72" s="247"/>
    </row>
    <row r="73" spans="1:84" ht="12.65" customHeight="1" x14ac:dyDescent="0.3">
      <c r="A73" s="170" t="s">
        <v>245</v>
      </c>
      <c r="B73" s="174"/>
      <c r="C73" s="183">
        <v>1988716</v>
      </c>
      <c r="D73" s="183">
        <v>0</v>
      </c>
      <c r="E73" s="184">
        <v>7015219</v>
      </c>
      <c r="F73" s="184">
        <v>0</v>
      </c>
      <c r="G73" s="183">
        <v>0</v>
      </c>
      <c r="H73" s="183">
        <v>0</v>
      </c>
      <c r="I73" s="184">
        <v>0</v>
      </c>
      <c r="J73" s="184">
        <v>239815</v>
      </c>
      <c r="K73" s="184">
        <v>0</v>
      </c>
      <c r="L73" s="184">
        <v>264632</v>
      </c>
      <c r="M73" s="183">
        <v>0</v>
      </c>
      <c r="N73" s="183">
        <v>1651219</v>
      </c>
      <c r="O73" s="183">
        <v>775981</v>
      </c>
      <c r="P73" s="184">
        <v>8722989</v>
      </c>
      <c r="Q73" s="184">
        <v>539374</v>
      </c>
      <c r="R73" s="184">
        <v>2638417</v>
      </c>
      <c r="S73" s="184">
        <v>22617</v>
      </c>
      <c r="T73" s="184">
        <v>0</v>
      </c>
      <c r="U73" s="184">
        <v>1523448</v>
      </c>
      <c r="V73" s="184">
        <v>0</v>
      </c>
      <c r="W73" s="184">
        <v>346692</v>
      </c>
      <c r="X73" s="184">
        <v>922824</v>
      </c>
      <c r="Y73" s="184">
        <v>997206</v>
      </c>
      <c r="Z73" s="184">
        <v>0</v>
      </c>
      <c r="AA73" s="184">
        <v>11820</v>
      </c>
      <c r="AB73" s="184">
        <v>3526678</v>
      </c>
      <c r="AC73" s="184">
        <v>1612586</v>
      </c>
      <c r="AD73" s="184">
        <v>0</v>
      </c>
      <c r="AE73" s="184">
        <v>522288</v>
      </c>
      <c r="AF73" s="184">
        <v>0</v>
      </c>
      <c r="AG73" s="184">
        <v>1072142</v>
      </c>
      <c r="AH73" s="184">
        <v>0</v>
      </c>
      <c r="AI73" s="184">
        <v>33936</v>
      </c>
      <c r="AJ73" s="184">
        <v>1574402</v>
      </c>
      <c r="AK73" s="184">
        <v>0</v>
      </c>
      <c r="AL73" s="184">
        <v>0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419573</v>
      </c>
      <c r="AW73" s="244" t="s">
        <v>221</v>
      </c>
      <c r="AX73" s="244" t="s">
        <v>221</v>
      </c>
      <c r="AY73" s="244" t="s">
        <v>221</v>
      </c>
      <c r="AZ73" s="244" t="s">
        <v>221</v>
      </c>
      <c r="BA73" s="244" t="s">
        <v>221</v>
      </c>
      <c r="BB73" s="244" t="s">
        <v>221</v>
      </c>
      <c r="BC73" s="244" t="s">
        <v>221</v>
      </c>
      <c r="BD73" s="244" t="s">
        <v>221</v>
      </c>
      <c r="BE73" s="244" t="s">
        <v>221</v>
      </c>
      <c r="BF73" s="244" t="s">
        <v>221</v>
      </c>
      <c r="BG73" s="244" t="s">
        <v>221</v>
      </c>
      <c r="BH73" s="244" t="s">
        <v>221</v>
      </c>
      <c r="BI73" s="244" t="s">
        <v>221</v>
      </c>
      <c r="BJ73" s="244" t="s">
        <v>221</v>
      </c>
      <c r="BK73" s="244" t="s">
        <v>221</v>
      </c>
      <c r="BL73" s="244" t="s">
        <v>221</v>
      </c>
      <c r="BM73" s="244" t="s">
        <v>221</v>
      </c>
      <c r="BN73" s="244" t="s">
        <v>221</v>
      </c>
      <c r="BO73" s="244" t="s">
        <v>221</v>
      </c>
      <c r="BP73" s="244" t="s">
        <v>221</v>
      </c>
      <c r="BQ73" s="244" t="s">
        <v>221</v>
      </c>
      <c r="BR73" s="244" t="s">
        <v>221</v>
      </c>
      <c r="BS73" s="244" t="s">
        <v>221</v>
      </c>
      <c r="BT73" s="244" t="s">
        <v>221</v>
      </c>
      <c r="BU73" s="244" t="s">
        <v>221</v>
      </c>
      <c r="BV73" s="244" t="s">
        <v>221</v>
      </c>
      <c r="BW73" s="244" t="s">
        <v>221</v>
      </c>
      <c r="BX73" s="244" t="s">
        <v>221</v>
      </c>
      <c r="BY73" s="244" t="s">
        <v>221</v>
      </c>
      <c r="BZ73" s="244" t="s">
        <v>221</v>
      </c>
      <c r="CA73" s="244" t="s">
        <v>221</v>
      </c>
      <c r="CB73" s="244" t="s">
        <v>221</v>
      </c>
      <c r="CC73" s="244" t="s">
        <v>221</v>
      </c>
      <c r="CD73" s="244" t="s">
        <v>221</v>
      </c>
      <c r="CE73" s="193">
        <f t="shared" ref="CE73:CE80" si="8">SUM(C73:CD73)</f>
        <v>36422574</v>
      </c>
      <c r="CF73" s="247"/>
    </row>
    <row r="74" spans="1:84" ht="12.65" customHeight="1" x14ac:dyDescent="0.3">
      <c r="A74" s="170" t="s">
        <v>246</v>
      </c>
      <c r="B74" s="174"/>
      <c r="C74" s="183">
        <v>13107</v>
      </c>
      <c r="D74" s="183">
        <v>0</v>
      </c>
      <c r="E74" s="184">
        <v>1811737</v>
      </c>
      <c r="F74" s="184">
        <v>0</v>
      </c>
      <c r="G74" s="183">
        <v>0</v>
      </c>
      <c r="H74" s="183">
        <v>0</v>
      </c>
      <c r="I74" s="183">
        <v>0</v>
      </c>
      <c r="J74" s="184">
        <v>669</v>
      </c>
      <c r="K74" s="184">
        <v>0</v>
      </c>
      <c r="L74" s="184">
        <v>0</v>
      </c>
      <c r="M74" s="183">
        <v>0</v>
      </c>
      <c r="N74" s="183">
        <v>389154</v>
      </c>
      <c r="O74" s="183">
        <v>206615</v>
      </c>
      <c r="P74" s="184">
        <v>15142369</v>
      </c>
      <c r="Q74" s="184">
        <v>4015308</v>
      </c>
      <c r="R74" s="184">
        <v>6980654</v>
      </c>
      <c r="S74" s="184">
        <v>422114</v>
      </c>
      <c r="T74" s="184">
        <v>0</v>
      </c>
      <c r="U74" s="184">
        <v>16450267</v>
      </c>
      <c r="V74" s="184">
        <v>138</v>
      </c>
      <c r="W74" s="184">
        <v>4803596</v>
      </c>
      <c r="X74" s="184">
        <v>13219956</v>
      </c>
      <c r="Y74" s="184">
        <v>11390733</v>
      </c>
      <c r="Z74" s="184">
        <v>0</v>
      </c>
      <c r="AA74" s="184">
        <v>2875803</v>
      </c>
      <c r="AB74" s="184">
        <v>44684307</v>
      </c>
      <c r="AC74" s="184">
        <v>1673273</v>
      </c>
      <c r="AD74" s="184">
        <v>0</v>
      </c>
      <c r="AE74" s="184">
        <v>7413485</v>
      </c>
      <c r="AF74" s="184">
        <v>0</v>
      </c>
      <c r="AG74" s="184">
        <v>29273848</v>
      </c>
      <c r="AH74" s="184">
        <v>0</v>
      </c>
      <c r="AI74" s="184">
        <v>7814620</v>
      </c>
      <c r="AJ74" s="184">
        <v>36398495</v>
      </c>
      <c r="AK74" s="184">
        <v>0</v>
      </c>
      <c r="AL74" s="184">
        <v>0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6399431</v>
      </c>
      <c r="AS74" s="184">
        <v>0</v>
      </c>
      <c r="AT74" s="184">
        <v>0</v>
      </c>
      <c r="AU74" s="184">
        <v>0</v>
      </c>
      <c r="AV74" s="184">
        <v>8363997</v>
      </c>
      <c r="AW74" s="244" t="s">
        <v>221</v>
      </c>
      <c r="AX74" s="244" t="s">
        <v>221</v>
      </c>
      <c r="AY74" s="244" t="s">
        <v>221</v>
      </c>
      <c r="AZ74" s="244" t="s">
        <v>221</v>
      </c>
      <c r="BA74" s="244" t="s">
        <v>221</v>
      </c>
      <c r="BB74" s="244" t="s">
        <v>221</v>
      </c>
      <c r="BC74" s="244" t="s">
        <v>221</v>
      </c>
      <c r="BD74" s="244" t="s">
        <v>221</v>
      </c>
      <c r="BE74" s="244" t="s">
        <v>221</v>
      </c>
      <c r="BF74" s="244" t="s">
        <v>221</v>
      </c>
      <c r="BG74" s="244" t="s">
        <v>221</v>
      </c>
      <c r="BH74" s="244" t="s">
        <v>221</v>
      </c>
      <c r="BI74" s="244" t="s">
        <v>221</v>
      </c>
      <c r="BJ74" s="244" t="s">
        <v>221</v>
      </c>
      <c r="BK74" s="244" t="s">
        <v>221</v>
      </c>
      <c r="BL74" s="244" t="s">
        <v>221</v>
      </c>
      <c r="BM74" s="244" t="s">
        <v>221</v>
      </c>
      <c r="BN74" s="244" t="s">
        <v>221</v>
      </c>
      <c r="BO74" s="244" t="s">
        <v>221</v>
      </c>
      <c r="BP74" s="244" t="s">
        <v>221</v>
      </c>
      <c r="BQ74" s="244" t="s">
        <v>221</v>
      </c>
      <c r="BR74" s="244" t="s">
        <v>221</v>
      </c>
      <c r="BS74" s="244" t="s">
        <v>221</v>
      </c>
      <c r="BT74" s="244" t="s">
        <v>221</v>
      </c>
      <c r="BU74" s="244" t="s">
        <v>221</v>
      </c>
      <c r="BV74" s="244" t="s">
        <v>221</v>
      </c>
      <c r="BW74" s="244" t="s">
        <v>221</v>
      </c>
      <c r="BX74" s="244" t="s">
        <v>221</v>
      </c>
      <c r="BY74" s="244" t="s">
        <v>221</v>
      </c>
      <c r="BZ74" s="244" t="s">
        <v>221</v>
      </c>
      <c r="CA74" s="244" t="s">
        <v>221</v>
      </c>
      <c r="CB74" s="244" t="s">
        <v>221</v>
      </c>
      <c r="CC74" s="244" t="s">
        <v>221</v>
      </c>
      <c r="CD74" s="244" t="s">
        <v>221</v>
      </c>
      <c r="CE74" s="193">
        <f t="shared" si="8"/>
        <v>219743676</v>
      </c>
      <c r="CF74" s="247"/>
    </row>
    <row r="75" spans="1:84" ht="12.65" customHeight="1" x14ac:dyDescent="0.3">
      <c r="A75" s="170" t="s">
        <v>247</v>
      </c>
      <c r="B75" s="174"/>
      <c r="C75" s="193">
        <f t="shared" ref="C75:AV75" si="9">SUM(C73:C74)</f>
        <v>2001823</v>
      </c>
      <c r="D75" s="193">
        <f t="shared" si="9"/>
        <v>0</v>
      </c>
      <c r="E75" s="193">
        <f t="shared" si="9"/>
        <v>8826956</v>
      </c>
      <c r="F75" s="193">
        <f t="shared" si="9"/>
        <v>0</v>
      </c>
      <c r="G75" s="193">
        <f t="shared" si="9"/>
        <v>0</v>
      </c>
      <c r="H75" s="193">
        <f t="shared" si="9"/>
        <v>0</v>
      </c>
      <c r="I75" s="193">
        <f t="shared" si="9"/>
        <v>0</v>
      </c>
      <c r="J75" s="193">
        <f t="shared" si="9"/>
        <v>240484</v>
      </c>
      <c r="K75" s="193">
        <f t="shared" si="9"/>
        <v>0</v>
      </c>
      <c r="L75" s="193">
        <f t="shared" si="9"/>
        <v>264632</v>
      </c>
      <c r="M75" s="193">
        <f t="shared" si="9"/>
        <v>0</v>
      </c>
      <c r="N75" s="193">
        <f t="shared" si="9"/>
        <v>2040373</v>
      </c>
      <c r="O75" s="193">
        <f t="shared" si="9"/>
        <v>982596</v>
      </c>
      <c r="P75" s="193">
        <f t="shared" si="9"/>
        <v>23865358</v>
      </c>
      <c r="Q75" s="193">
        <f t="shared" si="9"/>
        <v>4554682</v>
      </c>
      <c r="R75" s="193">
        <f t="shared" si="9"/>
        <v>9619071</v>
      </c>
      <c r="S75" s="193">
        <f t="shared" si="9"/>
        <v>444731</v>
      </c>
      <c r="T75" s="193">
        <f t="shared" si="9"/>
        <v>0</v>
      </c>
      <c r="U75" s="193">
        <f t="shared" si="9"/>
        <v>17973715</v>
      </c>
      <c r="V75" s="193">
        <f t="shared" si="9"/>
        <v>138</v>
      </c>
      <c r="W75" s="193">
        <f t="shared" si="9"/>
        <v>5150288</v>
      </c>
      <c r="X75" s="193">
        <f t="shared" si="9"/>
        <v>14142780</v>
      </c>
      <c r="Y75" s="193">
        <f t="shared" si="9"/>
        <v>12387939</v>
      </c>
      <c r="Z75" s="193">
        <f t="shared" si="9"/>
        <v>0</v>
      </c>
      <c r="AA75" s="193">
        <f t="shared" si="9"/>
        <v>2887623</v>
      </c>
      <c r="AB75" s="193">
        <f t="shared" si="9"/>
        <v>48210985</v>
      </c>
      <c r="AC75" s="193">
        <f t="shared" si="9"/>
        <v>3285859</v>
      </c>
      <c r="AD75" s="193">
        <f t="shared" si="9"/>
        <v>0</v>
      </c>
      <c r="AE75" s="193">
        <f t="shared" si="9"/>
        <v>7935773</v>
      </c>
      <c r="AF75" s="193">
        <f t="shared" si="9"/>
        <v>0</v>
      </c>
      <c r="AG75" s="193">
        <f t="shared" si="9"/>
        <v>30345990</v>
      </c>
      <c r="AH75" s="193">
        <f t="shared" si="9"/>
        <v>0</v>
      </c>
      <c r="AI75" s="193">
        <f t="shared" si="9"/>
        <v>7848556</v>
      </c>
      <c r="AJ75" s="193">
        <f t="shared" si="9"/>
        <v>37972897</v>
      </c>
      <c r="AK75" s="193">
        <f t="shared" si="9"/>
        <v>0</v>
      </c>
      <c r="AL75" s="193">
        <f t="shared" si="9"/>
        <v>0</v>
      </c>
      <c r="AM75" s="193">
        <f t="shared" si="9"/>
        <v>0</v>
      </c>
      <c r="AN75" s="193">
        <f t="shared" si="9"/>
        <v>0</v>
      </c>
      <c r="AO75" s="193">
        <f t="shared" si="9"/>
        <v>0</v>
      </c>
      <c r="AP75" s="193">
        <f t="shared" si="9"/>
        <v>0</v>
      </c>
      <c r="AQ75" s="193">
        <f t="shared" si="9"/>
        <v>0</v>
      </c>
      <c r="AR75" s="193">
        <f t="shared" si="9"/>
        <v>6399431</v>
      </c>
      <c r="AS75" s="193">
        <f t="shared" si="9"/>
        <v>0</v>
      </c>
      <c r="AT75" s="193">
        <f t="shared" si="9"/>
        <v>0</v>
      </c>
      <c r="AU75" s="193">
        <f t="shared" si="9"/>
        <v>0</v>
      </c>
      <c r="AV75" s="193">
        <f t="shared" si="9"/>
        <v>8783570</v>
      </c>
      <c r="AW75" s="244" t="s">
        <v>221</v>
      </c>
      <c r="AX75" s="244" t="s">
        <v>221</v>
      </c>
      <c r="AY75" s="244" t="s">
        <v>221</v>
      </c>
      <c r="AZ75" s="244" t="s">
        <v>221</v>
      </c>
      <c r="BA75" s="244" t="s">
        <v>221</v>
      </c>
      <c r="BB75" s="244" t="s">
        <v>221</v>
      </c>
      <c r="BC75" s="244" t="s">
        <v>221</v>
      </c>
      <c r="BD75" s="244" t="s">
        <v>221</v>
      </c>
      <c r="BE75" s="244" t="s">
        <v>221</v>
      </c>
      <c r="BF75" s="244" t="s">
        <v>221</v>
      </c>
      <c r="BG75" s="244" t="s">
        <v>221</v>
      </c>
      <c r="BH75" s="244" t="s">
        <v>221</v>
      </c>
      <c r="BI75" s="244" t="s">
        <v>221</v>
      </c>
      <c r="BJ75" s="244" t="s">
        <v>221</v>
      </c>
      <c r="BK75" s="244" t="s">
        <v>221</v>
      </c>
      <c r="BL75" s="244" t="s">
        <v>221</v>
      </c>
      <c r="BM75" s="244" t="s">
        <v>221</v>
      </c>
      <c r="BN75" s="244" t="s">
        <v>221</v>
      </c>
      <c r="BO75" s="244" t="s">
        <v>221</v>
      </c>
      <c r="BP75" s="244" t="s">
        <v>221</v>
      </c>
      <c r="BQ75" s="244" t="s">
        <v>221</v>
      </c>
      <c r="BR75" s="244" t="s">
        <v>221</v>
      </c>
      <c r="BS75" s="244" t="s">
        <v>221</v>
      </c>
      <c r="BT75" s="244" t="s">
        <v>221</v>
      </c>
      <c r="BU75" s="244" t="s">
        <v>221</v>
      </c>
      <c r="BV75" s="244" t="s">
        <v>221</v>
      </c>
      <c r="BW75" s="244" t="s">
        <v>221</v>
      </c>
      <c r="BX75" s="244" t="s">
        <v>221</v>
      </c>
      <c r="BY75" s="244" t="s">
        <v>221</v>
      </c>
      <c r="BZ75" s="244" t="s">
        <v>221</v>
      </c>
      <c r="CA75" s="244" t="s">
        <v>221</v>
      </c>
      <c r="CB75" s="244" t="s">
        <v>221</v>
      </c>
      <c r="CC75" s="244" t="s">
        <v>221</v>
      </c>
      <c r="CD75" s="244" t="s">
        <v>221</v>
      </c>
      <c r="CE75" s="193">
        <f t="shared" si="8"/>
        <v>256166250</v>
      </c>
      <c r="CF75" s="247"/>
    </row>
    <row r="76" spans="1:84" ht="12.65" customHeight="1" x14ac:dyDescent="0.3">
      <c r="A76" s="170" t="s">
        <v>248</v>
      </c>
      <c r="B76" s="174"/>
      <c r="C76" s="183">
        <v>2604.9500000000003</v>
      </c>
      <c r="D76" s="183">
        <v>0</v>
      </c>
      <c r="E76" s="183">
        <v>5567.3899999999985</v>
      </c>
      <c r="F76" s="183">
        <v>0</v>
      </c>
      <c r="G76" s="183">
        <v>0</v>
      </c>
      <c r="H76" s="183">
        <v>0</v>
      </c>
      <c r="I76" s="183">
        <v>0</v>
      </c>
      <c r="J76" s="183">
        <v>86.40000000000002</v>
      </c>
      <c r="K76" s="183">
        <v>0</v>
      </c>
      <c r="L76" s="183">
        <v>2190.0999999999995</v>
      </c>
      <c r="M76" s="183">
        <v>0</v>
      </c>
      <c r="N76" s="183">
        <v>290</v>
      </c>
      <c r="O76" s="183">
        <v>2915.5</v>
      </c>
      <c r="P76" s="183">
        <v>9766.899999999996</v>
      </c>
      <c r="Q76" s="183">
        <v>588.5</v>
      </c>
      <c r="R76" s="183">
        <v>135.99999999999997</v>
      </c>
      <c r="S76" s="183">
        <v>746.09999999999991</v>
      </c>
      <c r="T76" s="183">
        <v>0</v>
      </c>
      <c r="U76" s="183">
        <v>3920.8000000000011</v>
      </c>
      <c r="V76" s="183">
        <v>0</v>
      </c>
      <c r="W76" s="183">
        <v>1107.2</v>
      </c>
      <c r="X76" s="183">
        <v>533.80000000000007</v>
      </c>
      <c r="Y76" s="183">
        <v>4606.3</v>
      </c>
      <c r="Z76" s="183">
        <v>0</v>
      </c>
      <c r="AA76" s="183">
        <v>357.50000000000017</v>
      </c>
      <c r="AB76" s="183">
        <v>2480.9</v>
      </c>
      <c r="AC76" s="183">
        <v>1843.8000000000004</v>
      </c>
      <c r="AD76" s="183">
        <v>0</v>
      </c>
      <c r="AE76" s="183">
        <v>6487.5999999999985</v>
      </c>
      <c r="AF76" s="183">
        <v>0</v>
      </c>
      <c r="AG76" s="183">
        <v>6349.699999999998</v>
      </c>
      <c r="AH76" s="183">
        <v>0</v>
      </c>
      <c r="AI76" s="183">
        <v>6371</v>
      </c>
      <c r="AJ76" s="183">
        <v>44812.021666666667</v>
      </c>
      <c r="AK76" s="183">
        <v>0</v>
      </c>
      <c r="AL76" s="183">
        <v>0</v>
      </c>
      <c r="AM76" s="183">
        <v>0</v>
      </c>
      <c r="AN76" s="183">
        <v>0</v>
      </c>
      <c r="AO76" s="183">
        <v>0</v>
      </c>
      <c r="AP76" s="183">
        <v>0</v>
      </c>
      <c r="AQ76" s="183">
        <v>0</v>
      </c>
      <c r="AR76" s="183">
        <v>3737.1666666666661</v>
      </c>
      <c r="AS76" s="183">
        <v>0</v>
      </c>
      <c r="AT76" s="183">
        <v>0</v>
      </c>
      <c r="AU76" s="183">
        <v>0</v>
      </c>
      <c r="AV76" s="183">
        <v>4630.09</v>
      </c>
      <c r="AW76" s="183">
        <v>0</v>
      </c>
      <c r="AX76" s="183">
        <v>0</v>
      </c>
      <c r="AY76" s="183">
        <v>3888.416666666667</v>
      </c>
      <c r="AZ76" s="183">
        <v>0</v>
      </c>
      <c r="BA76" s="183">
        <v>0</v>
      </c>
      <c r="BB76" s="183">
        <v>77.40000000000002</v>
      </c>
      <c r="BC76" s="183">
        <v>0</v>
      </c>
      <c r="BD76" s="183">
        <v>2434.8000000000002</v>
      </c>
      <c r="BE76" s="183">
        <v>11972.476666666667</v>
      </c>
      <c r="BF76" s="183">
        <v>3119.0916666666676</v>
      </c>
      <c r="BG76" s="183">
        <v>0</v>
      </c>
      <c r="BH76" s="183">
        <v>4162.9816666666666</v>
      </c>
      <c r="BI76" s="183">
        <v>0</v>
      </c>
      <c r="BJ76" s="183">
        <v>1083.8483333333334</v>
      </c>
      <c r="BK76" s="183">
        <v>3796.5</v>
      </c>
      <c r="BL76" s="183">
        <v>1980.9999999999993</v>
      </c>
      <c r="BM76" s="183">
        <v>366</v>
      </c>
      <c r="BN76" s="183">
        <v>11265.671666666667</v>
      </c>
      <c r="BO76" s="183">
        <v>243</v>
      </c>
      <c r="BP76" s="183">
        <v>288.89999999999992</v>
      </c>
      <c r="BQ76" s="183">
        <v>0</v>
      </c>
      <c r="BR76" s="183">
        <v>1598.8000000000004</v>
      </c>
      <c r="BS76" s="183">
        <v>531.77916666666658</v>
      </c>
      <c r="BT76" s="183">
        <v>0</v>
      </c>
      <c r="BU76" s="183">
        <v>0</v>
      </c>
      <c r="BV76" s="183">
        <v>847.99999999999989</v>
      </c>
      <c r="BW76" s="183">
        <v>391.00833333333344</v>
      </c>
      <c r="BX76" s="183">
        <v>360.22500000000002</v>
      </c>
      <c r="BY76" s="183">
        <v>905.22083333333353</v>
      </c>
      <c r="BZ76" s="183">
        <v>0</v>
      </c>
      <c r="CA76" s="183">
        <v>0</v>
      </c>
      <c r="CB76" s="183">
        <v>1602.9999999999998</v>
      </c>
      <c r="CC76" s="183">
        <v>3454.8016666666663</v>
      </c>
      <c r="CD76" s="244" t="s">
        <v>221</v>
      </c>
      <c r="CE76" s="193">
        <f t="shared" si="8"/>
        <v>166502.63999999998</v>
      </c>
      <c r="CF76" s="193">
        <f>BE59-CE76</f>
        <v>44768.360000000015</v>
      </c>
    </row>
    <row r="77" spans="1:84" ht="12.65" customHeight="1" x14ac:dyDescent="0.3">
      <c r="A77" s="170" t="s">
        <v>249</v>
      </c>
      <c r="B77" s="174"/>
      <c r="C77" s="183">
        <v>736</v>
      </c>
      <c r="D77" s="183"/>
      <c r="E77" s="183">
        <v>11556</v>
      </c>
      <c r="F77" s="183"/>
      <c r="G77" s="183"/>
      <c r="H77" s="183"/>
      <c r="I77" s="183"/>
      <c r="J77" s="183"/>
      <c r="K77" s="183"/>
      <c r="L77" s="183">
        <v>527</v>
      </c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244" t="s">
        <v>221</v>
      </c>
      <c r="AY77" s="244" t="s">
        <v>221</v>
      </c>
      <c r="AZ77" s="183"/>
      <c r="BA77" s="183"/>
      <c r="BB77" s="183"/>
      <c r="BC77" s="183"/>
      <c r="BD77" s="244" t="s">
        <v>221</v>
      </c>
      <c r="BE77" s="244" t="s">
        <v>221</v>
      </c>
      <c r="BF77" s="183"/>
      <c r="BG77" s="244" t="s">
        <v>221</v>
      </c>
      <c r="BH77" s="183"/>
      <c r="BI77" s="183"/>
      <c r="BJ77" s="244" t="s">
        <v>221</v>
      </c>
      <c r="BK77" s="183"/>
      <c r="BL77" s="183"/>
      <c r="BM77" s="183"/>
      <c r="BN77" s="244" t="s">
        <v>221</v>
      </c>
      <c r="BO77" s="244" t="s">
        <v>221</v>
      </c>
      <c r="BP77" s="244" t="s">
        <v>221</v>
      </c>
      <c r="BQ77" s="244" t="s">
        <v>221</v>
      </c>
      <c r="BR77" s="183"/>
      <c r="BS77" s="183"/>
      <c r="BT77" s="183"/>
      <c r="BU77" s="183"/>
      <c r="BV77" s="183"/>
      <c r="BW77" s="183"/>
      <c r="BX77" s="183"/>
      <c r="BY77" s="183"/>
      <c r="BZ77" s="183"/>
      <c r="CA77" s="183"/>
      <c r="CB77" s="183"/>
      <c r="CC77" s="244" t="s">
        <v>221</v>
      </c>
      <c r="CD77" s="244" t="s">
        <v>221</v>
      </c>
      <c r="CE77" s="193">
        <f>SUM(C77:CD77)</f>
        <v>12819</v>
      </c>
      <c r="CF77" s="193">
        <f>AY59-CE77</f>
        <v>0</v>
      </c>
    </row>
    <row r="78" spans="1:84" ht="12.65" customHeight="1" x14ac:dyDescent="0.3">
      <c r="A78" s="170" t="s">
        <v>250</v>
      </c>
      <c r="B78" s="174"/>
      <c r="C78" s="183">
        <v>1048.1232945257636</v>
      </c>
      <c r="D78" s="183">
        <v>0</v>
      </c>
      <c r="E78" s="183">
        <v>5482.7257094508841</v>
      </c>
      <c r="F78" s="183">
        <v>0</v>
      </c>
      <c r="G78" s="183">
        <v>0</v>
      </c>
      <c r="H78" s="183">
        <v>0</v>
      </c>
      <c r="I78" s="183">
        <v>0</v>
      </c>
      <c r="J78" s="183">
        <v>0</v>
      </c>
      <c r="K78" s="183">
        <v>0</v>
      </c>
      <c r="L78" s="183">
        <v>0</v>
      </c>
      <c r="M78" s="183">
        <v>0</v>
      </c>
      <c r="N78" s="183">
        <v>0</v>
      </c>
      <c r="O78" s="183">
        <v>1105.6957272188847</v>
      </c>
      <c r="P78" s="183">
        <v>5619.2219406041113</v>
      </c>
      <c r="Q78" s="183">
        <v>0</v>
      </c>
      <c r="R78" s="183">
        <v>0</v>
      </c>
      <c r="S78" s="183">
        <v>47.405115661223455</v>
      </c>
      <c r="T78" s="183">
        <v>0</v>
      </c>
      <c r="U78" s="183">
        <v>81.97399356967594</v>
      </c>
      <c r="V78" s="183">
        <v>0</v>
      </c>
      <c r="W78" s="183">
        <v>0</v>
      </c>
      <c r="X78" s="183">
        <v>0</v>
      </c>
      <c r="Y78" s="183">
        <v>3399.6966325408239</v>
      </c>
      <c r="Z78" s="183">
        <v>0</v>
      </c>
      <c r="AA78" s="183">
        <v>0</v>
      </c>
      <c r="AB78" s="183">
        <v>0</v>
      </c>
      <c r="AC78" s="183">
        <v>0</v>
      </c>
      <c r="AD78" s="183">
        <v>0</v>
      </c>
      <c r="AE78" s="183">
        <v>2880.019640747948</v>
      </c>
      <c r="AF78" s="183">
        <v>0</v>
      </c>
      <c r="AG78" s="183">
        <v>6302.3385536847445</v>
      </c>
      <c r="AH78" s="183">
        <v>0</v>
      </c>
      <c r="AI78" s="183">
        <v>1814.357724342161</v>
      </c>
      <c r="AJ78" s="183">
        <v>5159.4050278365339</v>
      </c>
      <c r="AK78" s="183">
        <v>0</v>
      </c>
      <c r="AL78" s="183">
        <v>0</v>
      </c>
      <c r="AM78" s="183">
        <v>0</v>
      </c>
      <c r="AN78" s="183">
        <v>0</v>
      </c>
      <c r="AO78" s="183">
        <v>0</v>
      </c>
      <c r="AP78" s="183">
        <v>0</v>
      </c>
      <c r="AQ78" s="183">
        <v>0</v>
      </c>
      <c r="AR78" s="183">
        <v>0</v>
      </c>
      <c r="AS78" s="183">
        <v>0</v>
      </c>
      <c r="AT78" s="183">
        <v>0</v>
      </c>
      <c r="AU78" s="183">
        <v>0</v>
      </c>
      <c r="AV78" s="183">
        <v>1689.9351821643118</v>
      </c>
      <c r="AW78" s="183">
        <v>0</v>
      </c>
      <c r="AX78" s="244" t="s">
        <v>221</v>
      </c>
      <c r="AY78" s="244" t="s">
        <v>221</v>
      </c>
      <c r="AZ78" s="244" t="s">
        <v>221</v>
      </c>
      <c r="BA78" s="183">
        <v>2419.058904814282</v>
      </c>
      <c r="BB78" s="183">
        <v>0</v>
      </c>
      <c r="BC78" s="183">
        <v>0</v>
      </c>
      <c r="BD78" s="244" t="s">
        <v>221</v>
      </c>
      <c r="BE78" s="244" t="s">
        <v>221</v>
      </c>
      <c r="BF78" s="244" t="s">
        <v>221</v>
      </c>
      <c r="BG78" s="244" t="s">
        <v>221</v>
      </c>
      <c r="BH78" s="183"/>
      <c r="BI78" s="183"/>
      <c r="BJ78" s="244" t="s">
        <v>221</v>
      </c>
      <c r="BK78" s="183"/>
      <c r="BL78" s="183"/>
      <c r="BM78" s="183"/>
      <c r="BN78" s="244" t="s">
        <v>221</v>
      </c>
      <c r="BO78" s="244" t="s">
        <v>221</v>
      </c>
      <c r="BP78" s="244" t="s">
        <v>221</v>
      </c>
      <c r="BQ78" s="244" t="s">
        <v>221</v>
      </c>
      <c r="BR78" s="244" t="s">
        <v>221</v>
      </c>
      <c r="BS78" s="183"/>
      <c r="BT78" s="183"/>
      <c r="BU78" s="183"/>
      <c r="BV78" s="183"/>
      <c r="BW78" s="183"/>
      <c r="BX78" s="183"/>
      <c r="BY78" s="183"/>
      <c r="BZ78" s="183"/>
      <c r="CA78" s="183"/>
      <c r="CB78" s="183"/>
      <c r="CC78" s="244" t="s">
        <v>221</v>
      </c>
      <c r="CD78" s="244" t="s">
        <v>221</v>
      </c>
      <c r="CE78" s="193">
        <f t="shared" si="8"/>
        <v>37049.957447161352</v>
      </c>
      <c r="CF78" s="193"/>
    </row>
    <row r="79" spans="1:84" ht="12.65" customHeight="1" x14ac:dyDescent="0.3">
      <c r="A79" s="170" t="s">
        <v>251</v>
      </c>
      <c r="B79" s="174"/>
      <c r="C79" s="221">
        <v>14257</v>
      </c>
      <c r="D79" s="221">
        <v>0</v>
      </c>
      <c r="E79" s="183">
        <v>64663</v>
      </c>
      <c r="F79" s="183">
        <v>0</v>
      </c>
      <c r="G79" s="183">
        <v>0</v>
      </c>
      <c r="H79" s="183">
        <v>0</v>
      </c>
      <c r="I79" s="183">
        <v>0</v>
      </c>
      <c r="J79" s="183">
        <v>0</v>
      </c>
      <c r="K79" s="183">
        <v>0</v>
      </c>
      <c r="L79" s="183">
        <v>0</v>
      </c>
      <c r="M79" s="183">
        <v>0</v>
      </c>
      <c r="N79" s="183">
        <v>0</v>
      </c>
      <c r="O79" s="183">
        <v>0</v>
      </c>
      <c r="P79" s="183">
        <v>41607</v>
      </c>
      <c r="Q79" s="183">
        <v>0</v>
      </c>
      <c r="R79" s="183">
        <v>0</v>
      </c>
      <c r="S79" s="183">
        <v>0</v>
      </c>
      <c r="T79" s="183">
        <v>0</v>
      </c>
      <c r="U79" s="183">
        <v>7715</v>
      </c>
      <c r="V79" s="183">
        <v>0</v>
      </c>
      <c r="W79" s="183">
        <v>33870</v>
      </c>
      <c r="X79" s="183">
        <v>0</v>
      </c>
      <c r="Y79" s="183">
        <v>10096</v>
      </c>
      <c r="Z79" s="183">
        <v>0</v>
      </c>
      <c r="AA79" s="183">
        <v>0</v>
      </c>
      <c r="AB79" s="183">
        <v>0</v>
      </c>
      <c r="AC79" s="183">
        <v>0</v>
      </c>
      <c r="AD79" s="183">
        <v>0</v>
      </c>
      <c r="AE79" s="183">
        <v>29861</v>
      </c>
      <c r="AF79" s="183">
        <v>0</v>
      </c>
      <c r="AG79" s="183">
        <v>56819</v>
      </c>
      <c r="AH79" s="183">
        <v>0</v>
      </c>
      <c r="AI79" s="183">
        <v>32827</v>
      </c>
      <c r="AJ79" s="183">
        <v>50036</v>
      </c>
      <c r="AK79" s="183">
        <v>0</v>
      </c>
      <c r="AL79" s="183">
        <v>0</v>
      </c>
      <c r="AM79" s="183">
        <v>0</v>
      </c>
      <c r="AN79" s="183">
        <v>0</v>
      </c>
      <c r="AO79" s="183">
        <v>0</v>
      </c>
      <c r="AP79" s="183">
        <v>0</v>
      </c>
      <c r="AQ79" s="183">
        <v>0</v>
      </c>
      <c r="AR79" s="183">
        <v>0</v>
      </c>
      <c r="AS79" s="183">
        <v>0</v>
      </c>
      <c r="AT79" s="183">
        <v>0</v>
      </c>
      <c r="AU79" s="183">
        <v>0</v>
      </c>
      <c r="AV79" s="183">
        <v>32331</v>
      </c>
      <c r="AW79" s="183">
        <v>0</v>
      </c>
      <c r="AX79" s="244" t="s">
        <v>221</v>
      </c>
      <c r="AY79" s="244" t="s">
        <v>221</v>
      </c>
      <c r="AZ79" s="244" t="s">
        <v>221</v>
      </c>
      <c r="BA79" s="244" t="s">
        <v>221</v>
      </c>
      <c r="BB79" s="183"/>
      <c r="BC79" s="183"/>
      <c r="BD79" s="244" t="s">
        <v>221</v>
      </c>
      <c r="BE79" s="244" t="s">
        <v>221</v>
      </c>
      <c r="BF79" s="244" t="s">
        <v>221</v>
      </c>
      <c r="BG79" s="244" t="s">
        <v>221</v>
      </c>
      <c r="BH79" s="183"/>
      <c r="BI79" s="183">
        <v>82283</v>
      </c>
      <c r="BJ79" s="244" t="s">
        <v>221</v>
      </c>
      <c r="BK79" s="183"/>
      <c r="BL79" s="183"/>
      <c r="BM79" s="183"/>
      <c r="BN79" s="244" t="s">
        <v>221</v>
      </c>
      <c r="BO79" s="244" t="s">
        <v>221</v>
      </c>
      <c r="BP79" s="244" t="s">
        <v>221</v>
      </c>
      <c r="BQ79" s="244" t="s">
        <v>221</v>
      </c>
      <c r="BR79" s="244" t="s">
        <v>221</v>
      </c>
      <c r="BS79" s="183"/>
      <c r="BT79" s="183"/>
      <c r="BU79" s="183"/>
      <c r="BV79" s="183"/>
      <c r="BW79" s="183"/>
      <c r="BX79" s="183"/>
      <c r="BY79" s="183"/>
      <c r="BZ79" s="183"/>
      <c r="CA79" s="183"/>
      <c r="CB79" s="183"/>
      <c r="CC79" s="244" t="s">
        <v>221</v>
      </c>
      <c r="CD79" s="244" t="s">
        <v>221</v>
      </c>
      <c r="CE79" s="193">
        <f t="shared" si="8"/>
        <v>456365</v>
      </c>
      <c r="CF79" s="193">
        <f>BA59</f>
        <v>0</v>
      </c>
    </row>
    <row r="80" spans="1:84" ht="21" customHeight="1" x14ac:dyDescent="0.3">
      <c r="A80" s="170" t="s">
        <v>252</v>
      </c>
      <c r="B80" s="174"/>
      <c r="C80" s="185">
        <v>6.9399278846153907</v>
      </c>
      <c r="D80" s="185">
        <v>0</v>
      </c>
      <c r="E80" s="185">
        <v>18.744644230769193</v>
      </c>
      <c r="F80" s="185">
        <v>0</v>
      </c>
      <c r="G80" s="185">
        <v>0</v>
      </c>
      <c r="H80" s="185">
        <v>0</v>
      </c>
      <c r="I80" s="185">
        <v>0</v>
      </c>
      <c r="J80" s="185">
        <v>0</v>
      </c>
      <c r="K80" s="185">
        <v>0</v>
      </c>
      <c r="L80" s="185">
        <v>2.403846153846154E-3</v>
      </c>
      <c r="M80" s="185">
        <v>0</v>
      </c>
      <c r="N80" s="185">
        <v>0</v>
      </c>
      <c r="O80" s="185">
        <v>9.6889951923076865</v>
      </c>
      <c r="P80" s="185">
        <v>9.4553461538461612</v>
      </c>
      <c r="Q80" s="185">
        <v>1.5048076923076923E-2</v>
      </c>
      <c r="R80" s="185">
        <v>0</v>
      </c>
      <c r="S80" s="185">
        <v>0</v>
      </c>
      <c r="T80" s="185">
        <v>0</v>
      </c>
      <c r="U80" s="185">
        <v>0</v>
      </c>
      <c r="V80" s="185">
        <v>0</v>
      </c>
      <c r="W80" s="185">
        <v>0</v>
      </c>
      <c r="X80" s="185">
        <v>0</v>
      </c>
      <c r="Y80" s="185">
        <v>0.26495192307692311</v>
      </c>
      <c r="Z80" s="185">
        <v>0</v>
      </c>
      <c r="AA80" s="185">
        <v>0</v>
      </c>
      <c r="AB80" s="185">
        <v>0</v>
      </c>
      <c r="AC80" s="185">
        <v>0</v>
      </c>
      <c r="AD80" s="185">
        <v>0</v>
      </c>
      <c r="AE80" s="185">
        <v>0</v>
      </c>
      <c r="AF80" s="185">
        <v>0</v>
      </c>
      <c r="AG80" s="185">
        <v>13.530028846153824</v>
      </c>
      <c r="AH80" s="185">
        <v>0</v>
      </c>
      <c r="AI80" s="185">
        <v>11.037567307692303</v>
      </c>
      <c r="AJ80" s="185">
        <v>24.392091346153848</v>
      </c>
      <c r="AK80" s="185">
        <v>0</v>
      </c>
      <c r="AL80" s="185">
        <v>0</v>
      </c>
      <c r="AM80" s="185">
        <v>0</v>
      </c>
      <c r="AN80" s="185">
        <v>0</v>
      </c>
      <c r="AO80" s="185">
        <v>0</v>
      </c>
      <c r="AP80" s="185">
        <v>0</v>
      </c>
      <c r="AQ80" s="185">
        <v>0</v>
      </c>
      <c r="AR80" s="185">
        <v>13.744812500000023</v>
      </c>
      <c r="AS80" s="185">
        <v>0</v>
      </c>
      <c r="AT80" s="185">
        <v>0</v>
      </c>
      <c r="AU80" s="185">
        <v>0</v>
      </c>
      <c r="AV80" s="185">
        <v>3.8883990384615372</v>
      </c>
      <c r="AW80" s="244" t="s">
        <v>221</v>
      </c>
      <c r="AX80" s="244" t="s">
        <v>221</v>
      </c>
      <c r="AY80" s="244" t="s">
        <v>221</v>
      </c>
      <c r="AZ80" s="244" t="s">
        <v>221</v>
      </c>
      <c r="BA80" s="244" t="s">
        <v>221</v>
      </c>
      <c r="BB80" s="244" t="s">
        <v>221</v>
      </c>
      <c r="BC80" s="244" t="s">
        <v>221</v>
      </c>
      <c r="BD80" s="244" t="s">
        <v>221</v>
      </c>
      <c r="BE80" s="244" t="s">
        <v>221</v>
      </c>
      <c r="BF80" s="244" t="s">
        <v>221</v>
      </c>
      <c r="BG80" s="244" t="s">
        <v>221</v>
      </c>
      <c r="BH80" s="244" t="s">
        <v>221</v>
      </c>
      <c r="BI80" s="244" t="s">
        <v>221</v>
      </c>
      <c r="BJ80" s="244" t="s">
        <v>221</v>
      </c>
      <c r="BK80" s="244" t="s">
        <v>221</v>
      </c>
      <c r="BL80" s="244" t="s">
        <v>221</v>
      </c>
      <c r="BM80" s="244" t="s">
        <v>221</v>
      </c>
      <c r="BN80" s="244" t="s">
        <v>221</v>
      </c>
      <c r="BO80" s="244" t="s">
        <v>221</v>
      </c>
      <c r="BP80" s="244" t="s">
        <v>221</v>
      </c>
      <c r="BQ80" s="244" t="s">
        <v>221</v>
      </c>
      <c r="BR80" s="244" t="s">
        <v>221</v>
      </c>
      <c r="BS80" s="244" t="s">
        <v>221</v>
      </c>
      <c r="BT80" s="244" t="s">
        <v>221</v>
      </c>
      <c r="BU80" s="249"/>
      <c r="BV80" s="249"/>
      <c r="BW80" s="249"/>
      <c r="BX80" s="249"/>
      <c r="BY80" s="249"/>
      <c r="BZ80" s="249"/>
      <c r="CA80" s="249"/>
      <c r="CB80" s="249"/>
      <c r="CC80" s="244" t="s">
        <v>221</v>
      </c>
      <c r="CD80" s="244" t="s">
        <v>221</v>
      </c>
      <c r="CE80" s="250">
        <f t="shared" si="8"/>
        <v>111.70421634615381</v>
      </c>
      <c r="CF80" s="250"/>
    </row>
    <row r="81" spans="1:5" ht="12.65" customHeight="1" x14ac:dyDescent="0.3">
      <c r="A81" s="206" t="s">
        <v>253</v>
      </c>
      <c r="B81" s="206"/>
      <c r="C81" s="206"/>
      <c r="D81" s="206"/>
      <c r="E81" s="206"/>
    </row>
    <row r="82" spans="1:5" ht="12.65" customHeight="1" x14ac:dyDescent="0.3">
      <c r="A82" s="170" t="s">
        <v>254</v>
      </c>
      <c r="B82" s="171"/>
      <c r="C82" s="309" t="s">
        <v>1281</v>
      </c>
      <c r="D82" s="251"/>
      <c r="E82" s="174"/>
    </row>
    <row r="83" spans="1:5" ht="12.65" customHeight="1" x14ac:dyDescent="0.3">
      <c r="A83" s="172" t="s">
        <v>255</v>
      </c>
      <c r="B83" s="171" t="s">
        <v>256</v>
      </c>
      <c r="C83" s="311" t="s">
        <v>1268</v>
      </c>
      <c r="D83" s="251"/>
      <c r="E83" s="174"/>
    </row>
    <row r="84" spans="1:5" ht="12.65" customHeight="1" x14ac:dyDescent="0.3">
      <c r="A84" s="172" t="s">
        <v>257</v>
      </c>
      <c r="B84" s="171" t="s">
        <v>256</v>
      </c>
      <c r="C84" s="224" t="s">
        <v>1269</v>
      </c>
      <c r="D84" s="203"/>
      <c r="E84" s="202"/>
    </row>
    <row r="85" spans="1:5" ht="12.65" customHeight="1" x14ac:dyDescent="0.3">
      <c r="A85" s="172" t="s">
        <v>1250</v>
      </c>
      <c r="B85" s="171"/>
      <c r="C85" s="266" t="s">
        <v>1270</v>
      </c>
      <c r="D85" s="203"/>
      <c r="E85" s="202"/>
    </row>
    <row r="86" spans="1:5" ht="12.65" customHeight="1" x14ac:dyDescent="0.3">
      <c r="A86" s="172" t="s">
        <v>1251</v>
      </c>
      <c r="B86" s="171" t="s">
        <v>256</v>
      </c>
      <c r="C86" s="225" t="s">
        <v>1270</v>
      </c>
      <c r="D86" s="203"/>
      <c r="E86" s="202"/>
    </row>
    <row r="87" spans="1:5" ht="12.65" customHeight="1" x14ac:dyDescent="0.3">
      <c r="A87" s="172" t="s">
        <v>258</v>
      </c>
      <c r="B87" s="171" t="s">
        <v>256</v>
      </c>
      <c r="C87" s="224" t="s">
        <v>1271</v>
      </c>
      <c r="D87" s="203"/>
      <c r="E87" s="202"/>
    </row>
    <row r="88" spans="1:5" ht="12.65" customHeight="1" x14ac:dyDescent="0.3">
      <c r="A88" s="172" t="s">
        <v>259</v>
      </c>
      <c r="B88" s="171" t="s">
        <v>256</v>
      </c>
      <c r="C88" s="224" t="s">
        <v>1272</v>
      </c>
      <c r="D88" s="203"/>
      <c r="E88" s="202"/>
    </row>
    <row r="89" spans="1:5" ht="12.65" customHeight="1" x14ac:dyDescent="0.3">
      <c r="A89" s="172" t="s">
        <v>260</v>
      </c>
      <c r="B89" s="171" t="s">
        <v>256</v>
      </c>
      <c r="C89" s="224" t="s">
        <v>1273</v>
      </c>
      <c r="D89" s="203"/>
      <c r="E89" s="202"/>
    </row>
    <row r="90" spans="1:5" ht="12.65" customHeight="1" x14ac:dyDescent="0.3">
      <c r="A90" s="172" t="s">
        <v>261</v>
      </c>
      <c r="B90" s="171" t="s">
        <v>256</v>
      </c>
      <c r="C90" s="224" t="s">
        <v>1280</v>
      </c>
      <c r="D90" s="203"/>
      <c r="E90" s="202"/>
    </row>
    <row r="91" spans="1:5" ht="12.65" customHeight="1" x14ac:dyDescent="0.3">
      <c r="A91" s="172" t="s">
        <v>262</v>
      </c>
      <c r="B91" s="171" t="s">
        <v>256</v>
      </c>
      <c r="C91" s="224" t="s">
        <v>1275</v>
      </c>
      <c r="D91" s="203"/>
      <c r="E91" s="202"/>
    </row>
    <row r="92" spans="1:5" ht="12.65" customHeight="1" x14ac:dyDescent="0.3">
      <c r="A92" s="172" t="s">
        <v>263</v>
      </c>
      <c r="B92" s="171" t="s">
        <v>256</v>
      </c>
      <c r="C92" s="222" t="s">
        <v>1276</v>
      </c>
      <c r="D92" s="251"/>
      <c r="E92" s="174"/>
    </row>
    <row r="93" spans="1:5" ht="12.65" customHeight="1" x14ac:dyDescent="0.3">
      <c r="A93" s="172" t="s">
        <v>264</v>
      </c>
      <c r="B93" s="171" t="s">
        <v>256</v>
      </c>
      <c r="C93" s="265" t="s">
        <v>1277</v>
      </c>
      <c r="D93" s="251"/>
      <c r="E93" s="174"/>
    </row>
    <row r="94" spans="1:5" ht="12.65" customHeight="1" x14ac:dyDescent="0.3">
      <c r="A94" s="172"/>
      <c r="B94" s="172"/>
      <c r="C94" s="189"/>
      <c r="D94" s="174"/>
      <c r="E94" s="174"/>
    </row>
    <row r="95" spans="1:5" ht="12.65" customHeight="1" x14ac:dyDescent="0.3">
      <c r="A95" s="206" t="s">
        <v>265</v>
      </c>
      <c r="B95" s="206"/>
      <c r="C95" s="206"/>
      <c r="D95" s="206"/>
      <c r="E95" s="206"/>
    </row>
    <row r="96" spans="1:5" ht="12.65" customHeight="1" x14ac:dyDescent="0.3">
      <c r="A96" s="252" t="s">
        <v>266</v>
      </c>
      <c r="B96" s="252"/>
      <c r="C96" s="252"/>
      <c r="D96" s="252"/>
      <c r="E96" s="252"/>
    </row>
    <row r="97" spans="1:5" ht="12.65" customHeight="1" x14ac:dyDescent="0.3">
      <c r="A97" s="172" t="s">
        <v>267</v>
      </c>
      <c r="B97" s="171" t="s">
        <v>256</v>
      </c>
      <c r="C97" s="187"/>
      <c r="D97" s="174"/>
      <c r="E97" s="174"/>
    </row>
    <row r="98" spans="1:5" ht="12.65" customHeight="1" x14ac:dyDescent="0.3">
      <c r="A98" s="172" t="s">
        <v>259</v>
      </c>
      <c r="B98" s="171" t="s">
        <v>256</v>
      </c>
      <c r="C98" s="187"/>
      <c r="D98" s="174"/>
      <c r="E98" s="174"/>
    </row>
    <row r="99" spans="1:5" ht="12.65" customHeight="1" x14ac:dyDescent="0.3">
      <c r="A99" s="172" t="s">
        <v>268</v>
      </c>
      <c r="B99" s="171" t="s">
        <v>256</v>
      </c>
      <c r="C99" s="187">
        <v>1</v>
      </c>
      <c r="D99" s="174"/>
      <c r="E99" s="174"/>
    </row>
    <row r="100" spans="1:5" ht="12.65" customHeight="1" x14ac:dyDescent="0.3">
      <c r="A100" s="252" t="s">
        <v>269</v>
      </c>
      <c r="B100" s="252"/>
      <c r="C100" s="252"/>
      <c r="D100" s="252"/>
      <c r="E100" s="252"/>
    </row>
    <row r="101" spans="1:5" ht="12.65" customHeight="1" x14ac:dyDescent="0.3">
      <c r="A101" s="172" t="s">
        <v>270</v>
      </c>
      <c r="B101" s="171" t="s">
        <v>256</v>
      </c>
      <c r="C101" s="187"/>
      <c r="D101" s="174"/>
      <c r="E101" s="174"/>
    </row>
    <row r="102" spans="1:5" ht="12.65" customHeight="1" x14ac:dyDescent="0.3">
      <c r="A102" s="172" t="s">
        <v>132</v>
      </c>
      <c r="B102" s="171" t="s">
        <v>256</v>
      </c>
      <c r="C102" s="219"/>
      <c r="D102" s="174"/>
      <c r="E102" s="174"/>
    </row>
    <row r="103" spans="1:5" ht="12.65" customHeight="1" x14ac:dyDescent="0.3">
      <c r="A103" s="252" t="s">
        <v>271</v>
      </c>
      <c r="B103" s="252"/>
      <c r="C103" s="252"/>
      <c r="D103" s="252"/>
      <c r="E103" s="252"/>
    </row>
    <row r="104" spans="1:5" ht="12.65" customHeight="1" x14ac:dyDescent="0.3">
      <c r="A104" s="172" t="s">
        <v>272</v>
      </c>
      <c r="B104" s="171" t="s">
        <v>256</v>
      </c>
      <c r="C104" s="187"/>
      <c r="D104" s="174"/>
      <c r="E104" s="174"/>
    </row>
    <row r="105" spans="1:5" ht="12.65" customHeight="1" x14ac:dyDescent="0.3">
      <c r="A105" s="172" t="s">
        <v>273</v>
      </c>
      <c r="B105" s="171" t="s">
        <v>256</v>
      </c>
      <c r="C105" s="187"/>
      <c r="D105" s="174"/>
      <c r="E105" s="174"/>
    </row>
    <row r="106" spans="1:5" ht="12.65" customHeight="1" x14ac:dyDescent="0.3">
      <c r="A106" s="172" t="s">
        <v>274</v>
      </c>
      <c r="B106" s="171" t="s">
        <v>256</v>
      </c>
      <c r="C106" s="187"/>
      <c r="D106" s="174"/>
      <c r="E106" s="174"/>
    </row>
    <row r="107" spans="1:5" ht="21.75" customHeight="1" x14ac:dyDescent="0.3">
      <c r="A107" s="172"/>
      <c r="B107" s="171"/>
      <c r="C107" s="188"/>
      <c r="D107" s="174"/>
      <c r="E107" s="174"/>
    </row>
    <row r="108" spans="1:5" ht="13.5" customHeight="1" x14ac:dyDescent="0.3">
      <c r="A108" s="205" t="s">
        <v>275</v>
      </c>
      <c r="B108" s="206"/>
      <c r="C108" s="206"/>
      <c r="D108" s="206"/>
      <c r="E108" s="206"/>
    </row>
    <row r="109" spans="1:5" ht="13.5" customHeight="1" x14ac:dyDescent="0.3">
      <c r="A109" s="172"/>
      <c r="B109" s="171"/>
      <c r="C109" s="188"/>
      <c r="D109" s="174"/>
      <c r="E109" s="174"/>
    </row>
    <row r="110" spans="1:5" ht="12.65" customHeight="1" x14ac:dyDescent="0.3">
      <c r="A110" s="170" t="s">
        <v>276</v>
      </c>
      <c r="B110" s="174"/>
      <c r="C110" s="181" t="s">
        <v>277</v>
      </c>
      <c r="D110" s="169" t="s">
        <v>215</v>
      </c>
      <c r="E110" s="174"/>
    </row>
    <row r="111" spans="1:5" ht="12.65" customHeight="1" x14ac:dyDescent="0.3">
      <c r="A111" s="172" t="s">
        <v>278</v>
      </c>
      <c r="B111" s="171" t="s">
        <v>256</v>
      </c>
      <c r="C111" s="187">
        <v>975</v>
      </c>
      <c r="D111" s="173">
        <v>2851</v>
      </c>
      <c r="E111" s="174"/>
    </row>
    <row r="112" spans="1:5" ht="12.65" customHeight="1" x14ac:dyDescent="0.3">
      <c r="A112" s="172" t="s">
        <v>279</v>
      </c>
      <c r="B112" s="171" t="s">
        <v>256</v>
      </c>
      <c r="C112" s="187">
        <v>10</v>
      </c>
      <c r="D112" s="173">
        <v>152</v>
      </c>
      <c r="E112" s="174"/>
    </row>
    <row r="113" spans="1:5" ht="12.65" customHeight="1" x14ac:dyDescent="0.3">
      <c r="A113" s="172" t="s">
        <v>280</v>
      </c>
      <c r="B113" s="171" t="s">
        <v>256</v>
      </c>
      <c r="C113" s="187"/>
      <c r="D113" s="173"/>
      <c r="E113" s="174"/>
    </row>
    <row r="114" spans="1:5" ht="12.65" customHeight="1" x14ac:dyDescent="0.3">
      <c r="A114" s="172" t="s">
        <v>281</v>
      </c>
      <c r="B114" s="171" t="s">
        <v>256</v>
      </c>
      <c r="C114" s="187">
        <v>88</v>
      </c>
      <c r="D114" s="173">
        <v>197</v>
      </c>
      <c r="E114" s="174"/>
    </row>
    <row r="115" spans="1:5" ht="12.65" customHeight="1" x14ac:dyDescent="0.3">
      <c r="A115" s="170" t="s">
        <v>282</v>
      </c>
      <c r="B115" s="174"/>
      <c r="C115" s="181" t="s">
        <v>167</v>
      </c>
      <c r="D115" s="174"/>
      <c r="E115" s="174"/>
    </row>
    <row r="116" spans="1:5" ht="12.65" customHeight="1" x14ac:dyDescent="0.3">
      <c r="A116" s="172" t="s">
        <v>283</v>
      </c>
      <c r="B116" s="171" t="s">
        <v>256</v>
      </c>
      <c r="C116" s="187">
        <v>6</v>
      </c>
      <c r="D116" s="174"/>
      <c r="E116" s="174"/>
    </row>
    <row r="117" spans="1:5" ht="12.65" customHeight="1" x14ac:dyDescent="0.3">
      <c r="A117" s="172" t="s">
        <v>284</v>
      </c>
      <c r="B117" s="171" t="s">
        <v>256</v>
      </c>
      <c r="C117" s="187"/>
      <c r="D117" s="174"/>
      <c r="E117" s="174"/>
    </row>
    <row r="118" spans="1:5" ht="12.65" customHeight="1" x14ac:dyDescent="0.3">
      <c r="A118" s="172" t="s">
        <v>1238</v>
      </c>
      <c r="B118" s="171" t="s">
        <v>256</v>
      </c>
      <c r="C118" s="187">
        <v>10</v>
      </c>
      <c r="D118" s="174"/>
      <c r="E118" s="174"/>
    </row>
    <row r="119" spans="1:5" ht="12.65" customHeight="1" x14ac:dyDescent="0.3">
      <c r="A119" s="172" t="s">
        <v>285</v>
      </c>
      <c r="B119" s="171" t="s">
        <v>256</v>
      </c>
      <c r="C119" s="187"/>
      <c r="D119" s="174"/>
      <c r="E119" s="174"/>
    </row>
    <row r="120" spans="1:5" ht="12.65" customHeight="1" x14ac:dyDescent="0.3">
      <c r="A120" s="172" t="s">
        <v>286</v>
      </c>
      <c r="B120" s="171" t="s">
        <v>256</v>
      </c>
      <c r="C120" s="187">
        <v>4</v>
      </c>
      <c r="D120" s="174"/>
      <c r="E120" s="174"/>
    </row>
    <row r="121" spans="1:5" ht="12.65" customHeight="1" x14ac:dyDescent="0.3">
      <c r="A121" s="172" t="s">
        <v>287</v>
      </c>
      <c r="B121" s="171" t="s">
        <v>256</v>
      </c>
      <c r="C121" s="187"/>
      <c r="D121" s="174"/>
      <c r="E121" s="174"/>
    </row>
    <row r="122" spans="1:5" ht="12.65" customHeight="1" x14ac:dyDescent="0.3">
      <c r="A122" s="172" t="s">
        <v>97</v>
      </c>
      <c r="B122" s="171" t="s">
        <v>256</v>
      </c>
      <c r="C122" s="187"/>
      <c r="D122" s="174"/>
      <c r="E122" s="174"/>
    </row>
    <row r="123" spans="1:5" ht="12.65" customHeight="1" x14ac:dyDescent="0.3">
      <c r="A123" s="172" t="s">
        <v>288</v>
      </c>
      <c r="B123" s="171" t="s">
        <v>256</v>
      </c>
      <c r="C123" s="187">
        <v>5</v>
      </c>
      <c r="D123" s="174"/>
      <c r="E123" s="174"/>
    </row>
    <row r="124" spans="1:5" ht="12.65" customHeight="1" x14ac:dyDescent="0.3">
      <c r="A124" s="172" t="s">
        <v>289</v>
      </c>
      <c r="B124" s="171"/>
      <c r="C124" s="187"/>
      <c r="D124" s="174"/>
      <c r="E124" s="174"/>
    </row>
    <row r="125" spans="1:5" ht="12.65" customHeight="1" x14ac:dyDescent="0.3">
      <c r="A125" s="172" t="s">
        <v>280</v>
      </c>
      <c r="B125" s="171" t="s">
        <v>256</v>
      </c>
      <c r="C125" s="187"/>
      <c r="D125" s="174"/>
      <c r="E125" s="174"/>
    </row>
    <row r="126" spans="1:5" ht="12.65" customHeight="1" x14ac:dyDescent="0.3">
      <c r="A126" s="172" t="s">
        <v>290</v>
      </c>
      <c r="B126" s="171" t="s">
        <v>256</v>
      </c>
      <c r="C126" s="187"/>
      <c r="D126" s="174"/>
      <c r="E126" s="174"/>
    </row>
    <row r="127" spans="1:5" ht="12.65" customHeight="1" x14ac:dyDescent="0.3">
      <c r="A127" s="172" t="s">
        <v>291</v>
      </c>
      <c r="B127" s="174"/>
      <c r="C127" s="189"/>
      <c r="D127" s="174"/>
      <c r="E127" s="174">
        <f>SUM(C116:C126)</f>
        <v>25</v>
      </c>
    </row>
    <row r="128" spans="1:5" ht="12.65" customHeight="1" x14ac:dyDescent="0.3">
      <c r="A128" s="172" t="s">
        <v>292</v>
      </c>
      <c r="B128" s="171" t="s">
        <v>256</v>
      </c>
      <c r="C128" s="187">
        <v>4</v>
      </c>
      <c r="D128" s="174"/>
      <c r="E128" s="174"/>
    </row>
    <row r="129" spans="1:6" ht="12.65" customHeight="1" x14ac:dyDescent="0.3">
      <c r="A129" s="172" t="s">
        <v>293</v>
      </c>
      <c r="B129" s="171" t="s">
        <v>256</v>
      </c>
      <c r="C129" s="187">
        <v>4</v>
      </c>
      <c r="D129" s="174"/>
      <c r="E129" s="174"/>
    </row>
    <row r="130" spans="1:6" ht="12.65" customHeight="1" x14ac:dyDescent="0.3">
      <c r="A130" s="172"/>
      <c r="B130" s="174"/>
      <c r="C130" s="189"/>
      <c r="D130" s="174"/>
      <c r="E130" s="174"/>
    </row>
    <row r="131" spans="1:6" ht="12.65" customHeight="1" x14ac:dyDescent="0.3">
      <c r="A131" s="172" t="s">
        <v>294</v>
      </c>
      <c r="B131" s="171" t="s">
        <v>256</v>
      </c>
      <c r="C131" s="187"/>
      <c r="D131" s="174"/>
      <c r="E131" s="174"/>
    </row>
    <row r="132" spans="1:6" ht="12.65" customHeight="1" x14ac:dyDescent="0.3">
      <c r="A132" s="172"/>
      <c r="B132" s="172"/>
      <c r="C132" s="189"/>
      <c r="D132" s="174"/>
      <c r="E132" s="174"/>
    </row>
    <row r="133" spans="1:6" ht="12.65" customHeight="1" x14ac:dyDescent="0.3">
      <c r="A133" s="172"/>
      <c r="B133" s="172"/>
      <c r="C133" s="189"/>
      <c r="D133" s="174"/>
      <c r="E133" s="174"/>
    </row>
    <row r="134" spans="1:6" ht="12.65" customHeight="1" x14ac:dyDescent="0.3">
      <c r="A134" s="172"/>
      <c r="B134" s="172"/>
      <c r="C134" s="189"/>
      <c r="D134" s="174"/>
      <c r="E134" s="174"/>
    </row>
    <row r="135" spans="1:6" ht="18" customHeight="1" x14ac:dyDescent="0.3">
      <c r="A135" s="172"/>
      <c r="B135" s="172"/>
      <c r="C135" s="189"/>
      <c r="D135" s="174"/>
      <c r="E135" s="174"/>
    </row>
    <row r="136" spans="1:6" ht="12.65" customHeight="1" x14ac:dyDescent="0.3">
      <c r="A136" s="206" t="s">
        <v>1239</v>
      </c>
      <c r="B136" s="205"/>
      <c r="C136" s="205"/>
      <c r="D136" s="205"/>
      <c r="E136" s="205"/>
    </row>
    <row r="137" spans="1:6" ht="12.65" customHeight="1" x14ac:dyDescent="0.3">
      <c r="A137" s="253" t="s">
        <v>295</v>
      </c>
      <c r="B137" s="175" t="s">
        <v>296</v>
      </c>
      <c r="C137" s="190" t="s">
        <v>297</v>
      </c>
      <c r="D137" s="175" t="s">
        <v>132</v>
      </c>
      <c r="E137" s="175" t="s">
        <v>203</v>
      </c>
    </row>
    <row r="138" spans="1:6" ht="12.65" customHeight="1" x14ac:dyDescent="0.3">
      <c r="A138" s="172" t="s">
        <v>277</v>
      </c>
      <c r="B138" s="173">
        <v>732</v>
      </c>
      <c r="C138" s="187">
        <v>99</v>
      </c>
      <c r="D138" s="173">
        <v>144</v>
      </c>
      <c r="E138" s="174">
        <f>SUM(B138:D138)</f>
        <v>975</v>
      </c>
    </row>
    <row r="139" spans="1:6" ht="12.65" customHeight="1" x14ac:dyDescent="0.3">
      <c r="A139" s="172" t="s">
        <v>215</v>
      </c>
      <c r="B139" s="173">
        <v>2132</v>
      </c>
      <c r="C139" s="187">
        <v>340</v>
      </c>
      <c r="D139" s="173">
        <v>379</v>
      </c>
      <c r="E139" s="174">
        <f>SUM(B139:D139)</f>
        <v>2851</v>
      </c>
    </row>
    <row r="140" spans="1:6" ht="12.65" customHeight="1" x14ac:dyDescent="0.3">
      <c r="A140" s="172" t="s">
        <v>298</v>
      </c>
      <c r="B140" s="173"/>
      <c r="C140" s="173"/>
      <c r="D140" s="173"/>
      <c r="E140" s="174">
        <f>SUM(B140:D140)</f>
        <v>0</v>
      </c>
    </row>
    <row r="141" spans="1:6" ht="12.65" customHeight="1" x14ac:dyDescent="0.3">
      <c r="A141" s="172" t="s">
        <v>245</v>
      </c>
      <c r="B141" s="173">
        <f>23634024+222745</f>
        <v>23856769</v>
      </c>
      <c r="C141" s="187">
        <v>5594630</v>
      </c>
      <c r="D141" s="173">
        <v>6929288</v>
      </c>
      <c r="E141" s="174">
        <f>SUM(B141:D141)</f>
        <v>36380687</v>
      </c>
      <c r="F141" s="197"/>
    </row>
    <row r="142" spans="1:6" ht="12.65" customHeight="1" x14ac:dyDescent="0.3">
      <c r="A142" s="172" t="s">
        <v>246</v>
      </c>
      <c r="B142" s="173">
        <v>131770813</v>
      </c>
      <c r="C142" s="187">
        <v>28781995</v>
      </c>
      <c r="D142" s="173">
        <v>58968123</v>
      </c>
      <c r="E142" s="174">
        <f>SUM(B142:D142)</f>
        <v>219520931</v>
      </c>
      <c r="F142" s="197"/>
    </row>
    <row r="143" spans="1:6" ht="12.65" customHeight="1" x14ac:dyDescent="0.3">
      <c r="A143" s="253" t="s">
        <v>299</v>
      </c>
      <c r="B143" s="175" t="s">
        <v>296</v>
      </c>
      <c r="C143" s="190" t="s">
        <v>297</v>
      </c>
      <c r="D143" s="175" t="s">
        <v>132</v>
      </c>
      <c r="E143" s="175" t="s">
        <v>203</v>
      </c>
    </row>
    <row r="144" spans="1:6" ht="12.65" customHeight="1" x14ac:dyDescent="0.3">
      <c r="A144" s="172" t="s">
        <v>277</v>
      </c>
      <c r="B144" s="173">
        <v>7</v>
      </c>
      <c r="C144" s="187">
        <v>1</v>
      </c>
      <c r="D144" s="173">
        <v>2</v>
      </c>
      <c r="E144" s="174">
        <f>SUM(B144:D144)</f>
        <v>10</v>
      </c>
    </row>
    <row r="145" spans="1:5" ht="12.65" customHeight="1" x14ac:dyDescent="0.3">
      <c r="A145" s="172" t="s">
        <v>215</v>
      </c>
      <c r="B145" s="173">
        <v>122</v>
      </c>
      <c r="C145" s="187">
        <v>12</v>
      </c>
      <c r="D145" s="173">
        <v>18</v>
      </c>
      <c r="E145" s="174">
        <f>SUM(B145:D145)</f>
        <v>152</v>
      </c>
    </row>
    <row r="146" spans="1:5" ht="12.65" customHeight="1" x14ac:dyDescent="0.3">
      <c r="A146" s="172" t="s">
        <v>298</v>
      </c>
      <c r="B146" s="173"/>
      <c r="C146" s="187"/>
      <c r="D146" s="173"/>
      <c r="E146" s="174">
        <f>SUM(B146:D146)</f>
        <v>0</v>
      </c>
    </row>
    <row r="147" spans="1:5" ht="12.65" customHeight="1" x14ac:dyDescent="0.3">
      <c r="A147" s="172" t="s">
        <v>245</v>
      </c>
      <c r="B147" s="173">
        <v>226058</v>
      </c>
      <c r="C147" s="187">
        <v>7236</v>
      </c>
      <c r="D147" s="173">
        <v>31338</v>
      </c>
      <c r="E147" s="174">
        <f>SUM(B147:D147)</f>
        <v>264632</v>
      </c>
    </row>
    <row r="148" spans="1:5" ht="12.65" customHeight="1" x14ac:dyDescent="0.3">
      <c r="A148" s="172" t="s">
        <v>246</v>
      </c>
      <c r="B148" s="173">
        <v>0</v>
      </c>
      <c r="C148" s="187">
        <v>0</v>
      </c>
      <c r="D148" s="173">
        <v>0</v>
      </c>
      <c r="E148" s="174">
        <f>SUM(B148:D148)</f>
        <v>0</v>
      </c>
    </row>
    <row r="149" spans="1:5" ht="12.65" customHeight="1" x14ac:dyDescent="0.3">
      <c r="A149" s="253" t="s">
        <v>300</v>
      </c>
      <c r="B149" s="175" t="s">
        <v>296</v>
      </c>
      <c r="C149" s="190" t="s">
        <v>297</v>
      </c>
      <c r="D149" s="175" t="s">
        <v>132</v>
      </c>
      <c r="E149" s="175" t="s">
        <v>203</v>
      </c>
    </row>
    <row r="150" spans="1:5" ht="12.65" customHeight="1" x14ac:dyDescent="0.3">
      <c r="A150" s="172" t="s">
        <v>277</v>
      </c>
      <c r="B150" s="173"/>
      <c r="C150" s="187"/>
      <c r="D150" s="173"/>
      <c r="E150" s="174">
        <f>SUM(B150:D150)</f>
        <v>0</v>
      </c>
    </row>
    <row r="151" spans="1:5" ht="12.65" customHeight="1" x14ac:dyDescent="0.3">
      <c r="A151" s="172" t="s">
        <v>215</v>
      </c>
      <c r="B151" s="173"/>
      <c r="C151" s="187"/>
      <c r="D151" s="173"/>
      <c r="E151" s="174">
        <f>SUM(B151:D151)</f>
        <v>0</v>
      </c>
    </row>
    <row r="152" spans="1:5" ht="12.65" customHeight="1" x14ac:dyDescent="0.3">
      <c r="A152" s="172" t="s">
        <v>298</v>
      </c>
      <c r="B152" s="173"/>
      <c r="C152" s="187"/>
      <c r="D152" s="173"/>
      <c r="E152" s="174">
        <f>SUM(B152:D152)</f>
        <v>0</v>
      </c>
    </row>
    <row r="153" spans="1:5" ht="12.65" customHeight="1" x14ac:dyDescent="0.3">
      <c r="A153" s="172" t="s">
        <v>245</v>
      </c>
      <c r="B153" s="173"/>
      <c r="C153" s="187"/>
      <c r="D153" s="173"/>
      <c r="E153" s="174">
        <f>SUM(B153:D153)</f>
        <v>0</v>
      </c>
    </row>
    <row r="154" spans="1:5" ht="12.65" customHeight="1" x14ac:dyDescent="0.3">
      <c r="A154" s="172" t="s">
        <v>246</v>
      </c>
      <c r="B154" s="173"/>
      <c r="C154" s="187"/>
      <c r="D154" s="173"/>
      <c r="E154" s="174">
        <f>SUM(B154:D154)</f>
        <v>0</v>
      </c>
    </row>
    <row r="155" spans="1:5" ht="12.65" customHeight="1" x14ac:dyDescent="0.3">
      <c r="A155" s="176"/>
      <c r="B155" s="176"/>
      <c r="C155" s="191"/>
      <c r="D155" s="177"/>
      <c r="E155" s="174"/>
    </row>
    <row r="156" spans="1:5" ht="12.65" customHeight="1" x14ac:dyDescent="0.3">
      <c r="A156" s="253" t="s">
        <v>301</v>
      </c>
      <c r="B156" s="175" t="s">
        <v>302</v>
      </c>
      <c r="C156" s="190" t="s">
        <v>303</v>
      </c>
      <c r="D156" s="174"/>
      <c r="E156" s="174"/>
    </row>
    <row r="157" spans="1:5" ht="12.65" customHeight="1" x14ac:dyDescent="0.3">
      <c r="A157" s="176" t="s">
        <v>304</v>
      </c>
      <c r="B157" s="173">
        <v>31008939</v>
      </c>
      <c r="C157" s="173">
        <v>9302681.6999999993</v>
      </c>
      <c r="D157" s="174"/>
      <c r="E157" s="174"/>
    </row>
    <row r="158" spans="1:5" ht="12.65" customHeight="1" x14ac:dyDescent="0.3">
      <c r="A158" s="176"/>
      <c r="B158" s="177"/>
      <c r="C158" s="191"/>
      <c r="D158" s="174"/>
      <c r="E158" s="174"/>
    </row>
    <row r="159" spans="1:5" ht="12.65" customHeight="1" x14ac:dyDescent="0.3">
      <c r="A159" s="176"/>
      <c r="B159" s="176"/>
      <c r="C159" s="191"/>
      <c r="D159" s="177"/>
      <c r="E159" s="174"/>
    </row>
    <row r="160" spans="1:5" ht="12.65" customHeight="1" x14ac:dyDescent="0.3">
      <c r="A160" s="176"/>
      <c r="B160" s="176"/>
      <c r="C160" s="191"/>
      <c r="D160" s="177"/>
      <c r="E160" s="174"/>
    </row>
    <row r="161" spans="1:5" ht="12.65" customHeight="1" x14ac:dyDescent="0.3">
      <c r="A161" s="176"/>
      <c r="B161" s="176"/>
      <c r="C161" s="191"/>
      <c r="D161" s="177"/>
      <c r="E161" s="174"/>
    </row>
    <row r="162" spans="1:5" ht="21.75" customHeight="1" x14ac:dyDescent="0.3">
      <c r="A162" s="176"/>
      <c r="B162" s="176"/>
      <c r="C162" s="191"/>
      <c r="D162" s="177"/>
      <c r="E162" s="174"/>
    </row>
    <row r="163" spans="1:5" ht="11.5" customHeight="1" x14ac:dyDescent="0.3">
      <c r="A163" s="205" t="s">
        <v>305</v>
      </c>
      <c r="B163" s="206"/>
      <c r="C163" s="206"/>
      <c r="D163" s="206"/>
      <c r="E163" s="206"/>
    </row>
    <row r="164" spans="1:5" ht="11.5" customHeight="1" x14ac:dyDescent="0.3">
      <c r="A164" s="252" t="s">
        <v>306</v>
      </c>
      <c r="B164" s="252"/>
      <c r="C164" s="252"/>
      <c r="D164" s="252"/>
      <c r="E164" s="252"/>
    </row>
    <row r="165" spans="1:5" ht="11.5" customHeight="1" x14ac:dyDescent="0.3">
      <c r="A165" s="172" t="s">
        <v>307</v>
      </c>
      <c r="B165" s="171" t="s">
        <v>256</v>
      </c>
      <c r="C165" s="187">
        <v>4257243</v>
      </c>
      <c r="D165" s="174"/>
      <c r="E165" s="174"/>
    </row>
    <row r="166" spans="1:5" ht="11.5" customHeight="1" x14ac:dyDescent="0.3">
      <c r="A166" s="172" t="s">
        <v>308</v>
      </c>
      <c r="B166" s="171" t="s">
        <v>256</v>
      </c>
      <c r="C166" s="187">
        <v>209472</v>
      </c>
      <c r="D166" s="174"/>
      <c r="E166" s="174"/>
    </row>
    <row r="167" spans="1:5" ht="11.5" customHeight="1" x14ac:dyDescent="0.3">
      <c r="A167" s="176" t="s">
        <v>309</v>
      </c>
      <c r="B167" s="171" t="s">
        <v>256</v>
      </c>
      <c r="C167" s="187">
        <v>424046</v>
      </c>
      <c r="D167" s="174"/>
      <c r="E167" s="174"/>
    </row>
    <row r="168" spans="1:5" ht="11.5" customHeight="1" x14ac:dyDescent="0.3">
      <c r="A168" s="172" t="s">
        <v>310</v>
      </c>
      <c r="B168" s="171" t="s">
        <v>256</v>
      </c>
      <c r="C168" s="187">
        <v>7297614</v>
      </c>
      <c r="D168" s="174"/>
      <c r="E168" s="174"/>
    </row>
    <row r="169" spans="1:5" ht="11.5" customHeight="1" x14ac:dyDescent="0.3">
      <c r="A169" s="172" t="s">
        <v>311</v>
      </c>
      <c r="B169" s="171" t="s">
        <v>256</v>
      </c>
      <c r="C169" s="187">
        <v>79884</v>
      </c>
      <c r="D169" s="174"/>
      <c r="E169" s="174"/>
    </row>
    <row r="170" spans="1:5" ht="11.5" customHeight="1" x14ac:dyDescent="0.3">
      <c r="A170" s="172" t="s">
        <v>312</v>
      </c>
      <c r="B170" s="171" t="s">
        <v>256</v>
      </c>
      <c r="C170" s="187">
        <v>2384763</v>
      </c>
      <c r="D170" s="174"/>
      <c r="E170" s="174"/>
    </row>
    <row r="171" spans="1:5" ht="11.5" customHeight="1" x14ac:dyDescent="0.3">
      <c r="A171" s="172" t="s">
        <v>313</v>
      </c>
      <c r="B171" s="171" t="s">
        <v>256</v>
      </c>
      <c r="C171" s="187">
        <v>81638</v>
      </c>
      <c r="D171" s="174"/>
      <c r="E171" s="174"/>
    </row>
    <row r="172" spans="1:5" ht="11.5" customHeight="1" x14ac:dyDescent="0.3">
      <c r="A172" s="172" t="s">
        <v>313</v>
      </c>
      <c r="B172" s="171" t="s">
        <v>256</v>
      </c>
      <c r="C172" s="187">
        <v>16436</v>
      </c>
      <c r="D172" s="174"/>
      <c r="E172" s="174"/>
    </row>
    <row r="173" spans="1:5" ht="11.5" customHeight="1" x14ac:dyDescent="0.3">
      <c r="A173" s="172" t="s">
        <v>203</v>
      </c>
      <c r="B173" s="174"/>
      <c r="C173" s="189"/>
      <c r="D173" s="174">
        <f>SUM(C165:C172)</f>
        <v>14751096</v>
      </c>
      <c r="E173" s="174"/>
    </row>
    <row r="174" spans="1:5" ht="11.5" customHeight="1" x14ac:dyDescent="0.3">
      <c r="A174" s="252" t="s">
        <v>314</v>
      </c>
      <c r="B174" s="252"/>
      <c r="C174" s="252"/>
      <c r="D174" s="252"/>
      <c r="E174" s="252"/>
    </row>
    <row r="175" spans="1:5" ht="11.5" customHeight="1" x14ac:dyDescent="0.3">
      <c r="A175" s="172" t="s">
        <v>315</v>
      </c>
      <c r="B175" s="171" t="s">
        <v>256</v>
      </c>
      <c r="C175" s="187">
        <v>648078</v>
      </c>
      <c r="D175" s="174"/>
      <c r="E175" s="174"/>
    </row>
    <row r="176" spans="1:5" ht="11.5" customHeight="1" x14ac:dyDescent="0.3">
      <c r="A176" s="172" t="s">
        <v>316</v>
      </c>
      <c r="B176" s="171" t="s">
        <v>256</v>
      </c>
      <c r="C176" s="187">
        <v>968143</v>
      </c>
      <c r="D176" s="174"/>
      <c r="E176" s="174"/>
    </row>
    <row r="177" spans="1:5" ht="11.5" customHeight="1" x14ac:dyDescent="0.3">
      <c r="A177" s="172" t="s">
        <v>203</v>
      </c>
      <c r="B177" s="174"/>
      <c r="C177" s="189"/>
      <c r="D177" s="174">
        <f>SUM(C175:C176)</f>
        <v>1616221</v>
      </c>
      <c r="E177" s="174"/>
    </row>
    <row r="178" spans="1:5" ht="11.5" customHeight="1" x14ac:dyDescent="0.3">
      <c r="A178" s="252" t="s">
        <v>317</v>
      </c>
      <c r="B178" s="252"/>
      <c r="C178" s="252"/>
      <c r="D178" s="252"/>
      <c r="E178" s="252"/>
    </row>
    <row r="179" spans="1:5" ht="11.5" customHeight="1" x14ac:dyDescent="0.3">
      <c r="A179" s="172" t="s">
        <v>318</v>
      </c>
      <c r="B179" s="171" t="s">
        <v>256</v>
      </c>
      <c r="C179" s="187">
        <v>699240</v>
      </c>
      <c r="D179" s="174"/>
      <c r="E179" s="174"/>
    </row>
    <row r="180" spans="1:5" ht="11.5" customHeight="1" x14ac:dyDescent="0.3">
      <c r="A180" s="172" t="s">
        <v>319</v>
      </c>
      <c r="B180" s="171" t="s">
        <v>256</v>
      </c>
      <c r="C180" s="187">
        <v>198544</v>
      </c>
      <c r="D180" s="174"/>
      <c r="E180" s="174"/>
    </row>
    <row r="181" spans="1:5" ht="11.5" customHeight="1" x14ac:dyDescent="0.3">
      <c r="A181" s="172" t="s">
        <v>203</v>
      </c>
      <c r="B181" s="174"/>
      <c r="C181" s="189"/>
      <c r="D181" s="174">
        <f>SUM(C179:C180)</f>
        <v>897784</v>
      </c>
      <c r="E181" s="174"/>
    </row>
    <row r="182" spans="1:5" ht="11.5" customHeight="1" x14ac:dyDescent="0.3">
      <c r="A182" s="252" t="s">
        <v>320</v>
      </c>
      <c r="B182" s="252"/>
      <c r="C182" s="252"/>
      <c r="D182" s="252"/>
      <c r="E182" s="252"/>
    </row>
    <row r="183" spans="1:5" ht="11.5" customHeight="1" x14ac:dyDescent="0.3">
      <c r="A183" s="172" t="s">
        <v>321</v>
      </c>
      <c r="B183" s="171" t="s">
        <v>256</v>
      </c>
      <c r="C183" s="187"/>
      <c r="D183" s="174"/>
      <c r="E183" s="174"/>
    </row>
    <row r="184" spans="1:5" ht="11.5" customHeight="1" x14ac:dyDescent="0.3">
      <c r="A184" s="172" t="s">
        <v>322</v>
      </c>
      <c r="B184" s="171" t="s">
        <v>256</v>
      </c>
      <c r="C184" s="187"/>
      <c r="D184" s="174"/>
      <c r="E184" s="174"/>
    </row>
    <row r="185" spans="1:5" ht="11.5" customHeight="1" x14ac:dyDescent="0.3">
      <c r="A185" s="172" t="s">
        <v>132</v>
      </c>
      <c r="B185" s="171" t="s">
        <v>256</v>
      </c>
      <c r="C185" s="187"/>
      <c r="D185" s="174"/>
      <c r="E185" s="174"/>
    </row>
    <row r="186" spans="1:5" ht="11.5" customHeight="1" x14ac:dyDescent="0.3">
      <c r="A186" s="172" t="s">
        <v>203</v>
      </c>
      <c r="B186" s="174"/>
      <c r="C186" s="189"/>
      <c r="D186" s="174">
        <f>SUM(C183:C185)</f>
        <v>0</v>
      </c>
      <c r="E186" s="174"/>
    </row>
    <row r="187" spans="1:5" ht="11.5" customHeight="1" x14ac:dyDescent="0.3">
      <c r="A187" s="252" t="s">
        <v>323</v>
      </c>
      <c r="B187" s="252"/>
      <c r="C187" s="252"/>
      <c r="D187" s="252"/>
      <c r="E187" s="252"/>
    </row>
    <row r="188" spans="1:5" ht="11.5" customHeight="1" x14ac:dyDescent="0.3">
      <c r="A188" s="172" t="s">
        <v>324</v>
      </c>
      <c r="B188" s="171" t="s">
        <v>256</v>
      </c>
      <c r="C188" s="187">
        <v>764625</v>
      </c>
      <c r="D188" s="174"/>
      <c r="E188" s="174"/>
    </row>
    <row r="189" spans="1:5" ht="11.5" customHeight="1" x14ac:dyDescent="0.3">
      <c r="A189" s="172" t="s">
        <v>325</v>
      </c>
      <c r="B189" s="171" t="s">
        <v>256</v>
      </c>
      <c r="C189" s="187">
        <v>195865</v>
      </c>
      <c r="D189" s="174"/>
      <c r="E189" s="174"/>
    </row>
    <row r="190" spans="1:5" ht="11.5" customHeight="1" x14ac:dyDescent="0.3">
      <c r="A190" s="172" t="s">
        <v>203</v>
      </c>
      <c r="B190" s="174"/>
      <c r="C190" s="189"/>
      <c r="D190" s="174">
        <f>SUM(C188:C189)</f>
        <v>960490</v>
      </c>
      <c r="E190" s="174"/>
    </row>
    <row r="191" spans="1:5" ht="18" customHeight="1" x14ac:dyDescent="0.3">
      <c r="A191" s="172"/>
      <c r="B191" s="174"/>
      <c r="C191" s="189"/>
      <c r="D191" s="174"/>
      <c r="E191" s="174"/>
    </row>
    <row r="192" spans="1:5" ht="12.65" customHeight="1" x14ac:dyDescent="0.3">
      <c r="A192" s="206" t="s">
        <v>326</v>
      </c>
      <c r="B192" s="206"/>
      <c r="C192" s="206"/>
      <c r="D192" s="206"/>
      <c r="E192" s="206"/>
    </row>
    <row r="193" spans="1:8" ht="12.65" customHeight="1" x14ac:dyDescent="0.3">
      <c r="A193" s="205" t="s">
        <v>327</v>
      </c>
      <c r="B193" s="206"/>
      <c r="C193" s="206"/>
      <c r="D193" s="206"/>
      <c r="E193" s="206"/>
    </row>
    <row r="194" spans="1:8" ht="12.65" customHeight="1" x14ac:dyDescent="0.3">
      <c r="A194" s="170"/>
      <c r="B194" s="169" t="s">
        <v>328</v>
      </c>
      <c r="C194" s="181" t="s">
        <v>329</v>
      </c>
      <c r="D194" s="169" t="s">
        <v>330</v>
      </c>
      <c r="E194" s="169" t="s">
        <v>331</v>
      </c>
    </row>
    <row r="195" spans="1:8" ht="12.65" customHeight="1" x14ac:dyDescent="0.3">
      <c r="A195" s="172" t="s">
        <v>332</v>
      </c>
      <c r="B195" s="173">
        <v>1549711.19</v>
      </c>
      <c r="C195" s="187">
        <v>165620</v>
      </c>
      <c r="D195" s="173"/>
      <c r="E195" s="174">
        <f t="shared" ref="E195:E203" si="10">SUM(B195:C195)-D195</f>
        <v>1715331.19</v>
      </c>
    </row>
    <row r="196" spans="1:8" ht="12.65" customHeight="1" x14ac:dyDescent="0.3">
      <c r="A196" s="172" t="s">
        <v>333</v>
      </c>
      <c r="B196" s="173">
        <v>4028158</v>
      </c>
      <c r="C196" s="187"/>
      <c r="D196" s="173"/>
      <c r="E196" s="174">
        <f t="shared" si="10"/>
        <v>4028158</v>
      </c>
    </row>
    <row r="197" spans="1:8" ht="12.65" customHeight="1" x14ac:dyDescent="0.3">
      <c r="A197" s="172" t="s">
        <v>334</v>
      </c>
      <c r="B197" s="173">
        <v>40757243</v>
      </c>
      <c r="C197" s="187"/>
      <c r="D197" s="173"/>
      <c r="E197" s="174">
        <f t="shared" si="10"/>
        <v>40757243</v>
      </c>
    </row>
    <row r="198" spans="1:8" ht="12.65" customHeight="1" x14ac:dyDescent="0.3">
      <c r="A198" s="172" t="s">
        <v>335</v>
      </c>
      <c r="B198" s="173">
        <v>0</v>
      </c>
      <c r="C198" s="187"/>
      <c r="D198" s="173"/>
      <c r="E198" s="174">
        <f t="shared" si="10"/>
        <v>0</v>
      </c>
    </row>
    <row r="199" spans="1:8" ht="12.65" customHeight="1" x14ac:dyDescent="0.3">
      <c r="A199" s="172" t="s">
        <v>336</v>
      </c>
      <c r="B199" s="173">
        <v>0</v>
      </c>
      <c r="C199" s="187"/>
      <c r="D199" s="173"/>
      <c r="E199" s="174">
        <f t="shared" si="10"/>
        <v>0</v>
      </c>
    </row>
    <row r="200" spans="1:8" ht="12.65" customHeight="1" x14ac:dyDescent="0.3">
      <c r="A200" s="172" t="s">
        <v>337</v>
      </c>
      <c r="B200" s="173">
        <v>39493280</v>
      </c>
      <c r="C200" s="187">
        <v>2037024</v>
      </c>
      <c r="D200" s="173"/>
      <c r="E200" s="174">
        <f t="shared" si="10"/>
        <v>41530304</v>
      </c>
    </row>
    <row r="201" spans="1:8" ht="12.65" customHeight="1" x14ac:dyDescent="0.3">
      <c r="A201" s="172" t="s">
        <v>338</v>
      </c>
      <c r="B201" s="173">
        <v>0</v>
      </c>
      <c r="C201" s="187"/>
      <c r="D201" s="173"/>
      <c r="E201" s="174">
        <f t="shared" si="10"/>
        <v>0</v>
      </c>
    </row>
    <row r="202" spans="1:8" ht="12.65" customHeight="1" x14ac:dyDescent="0.3">
      <c r="A202" s="172" t="s">
        <v>339</v>
      </c>
      <c r="B202" s="173">
        <v>1361180</v>
      </c>
      <c r="C202" s="187"/>
      <c r="D202" s="173"/>
      <c r="E202" s="174">
        <f t="shared" si="10"/>
        <v>1361180</v>
      </c>
    </row>
    <row r="203" spans="1:8" ht="12.65" customHeight="1" x14ac:dyDescent="0.3">
      <c r="A203" s="172" t="s">
        <v>340</v>
      </c>
      <c r="B203" s="173">
        <v>493251</v>
      </c>
      <c r="C203" s="187">
        <v>501992</v>
      </c>
      <c r="D203" s="173"/>
      <c r="E203" s="174">
        <f t="shared" si="10"/>
        <v>995243</v>
      </c>
    </row>
    <row r="204" spans="1:8" ht="12.65" customHeight="1" x14ac:dyDescent="0.3">
      <c r="A204" s="172" t="s">
        <v>203</v>
      </c>
      <c r="B204" s="174">
        <f>SUM(B195:B203)</f>
        <v>87682823.189999998</v>
      </c>
      <c r="C204" s="189">
        <f>SUM(C195:C203)</f>
        <v>2704636</v>
      </c>
      <c r="D204" s="174">
        <f>SUM(D195:D203)</f>
        <v>0</v>
      </c>
      <c r="E204" s="174">
        <f>SUM(E195:E203)</f>
        <v>90387459.189999998</v>
      </c>
    </row>
    <row r="205" spans="1:8" ht="12.65" customHeight="1" x14ac:dyDescent="0.3">
      <c r="A205" s="172"/>
      <c r="B205" s="172"/>
      <c r="C205" s="189"/>
      <c r="D205" s="174"/>
      <c r="E205" s="174"/>
    </row>
    <row r="206" spans="1:8" ht="12.65" customHeight="1" x14ac:dyDescent="0.3">
      <c r="A206" s="205" t="s">
        <v>341</v>
      </c>
      <c r="B206" s="205"/>
      <c r="C206" s="205"/>
      <c r="D206" s="205"/>
      <c r="E206" s="205"/>
    </row>
    <row r="207" spans="1:8" ht="12.65" customHeight="1" x14ac:dyDescent="0.3">
      <c r="A207" s="170"/>
      <c r="B207" s="169" t="s">
        <v>328</v>
      </c>
      <c r="C207" s="181" t="s">
        <v>329</v>
      </c>
      <c r="D207" s="169" t="s">
        <v>330</v>
      </c>
      <c r="E207" s="169" t="s">
        <v>331</v>
      </c>
      <c r="H207" s="254"/>
    </row>
    <row r="208" spans="1:8" ht="12.65" customHeight="1" x14ac:dyDescent="0.3">
      <c r="A208" s="172" t="s">
        <v>332</v>
      </c>
      <c r="B208" s="177"/>
      <c r="C208" s="191"/>
      <c r="D208" s="177"/>
      <c r="E208" s="174"/>
      <c r="H208" s="254"/>
    </row>
    <row r="209" spans="1:8" ht="12.65" customHeight="1" x14ac:dyDescent="0.3">
      <c r="A209" s="172" t="s">
        <v>333</v>
      </c>
      <c r="B209" s="173">
        <v>1515043</v>
      </c>
      <c r="C209" s="187">
        <v>251000</v>
      </c>
      <c r="D209" s="173"/>
      <c r="E209" s="174">
        <f t="shared" ref="E209:E216" si="11">SUM(B209:C209)-D209</f>
        <v>1766043</v>
      </c>
      <c r="H209" s="254"/>
    </row>
    <row r="210" spans="1:8" ht="12.65" customHeight="1" x14ac:dyDescent="0.3">
      <c r="A210" s="172" t="s">
        <v>334</v>
      </c>
      <c r="B210" s="173">
        <v>20142436</v>
      </c>
      <c r="C210" s="187">
        <v>1722816</v>
      </c>
      <c r="D210" s="173"/>
      <c r="E210" s="174">
        <f t="shared" si="11"/>
        <v>21865252</v>
      </c>
      <c r="H210" s="254"/>
    </row>
    <row r="211" spans="1:8" ht="12.65" customHeight="1" x14ac:dyDescent="0.3">
      <c r="A211" s="172" t="s">
        <v>335</v>
      </c>
      <c r="B211" s="173">
        <v>0</v>
      </c>
      <c r="C211" s="187">
        <v>0</v>
      </c>
      <c r="D211" s="173"/>
      <c r="E211" s="174">
        <f t="shared" si="11"/>
        <v>0</v>
      </c>
      <c r="H211" s="254"/>
    </row>
    <row r="212" spans="1:8" ht="12.65" customHeight="1" x14ac:dyDescent="0.3">
      <c r="A212" s="172" t="s">
        <v>336</v>
      </c>
      <c r="B212" s="173">
        <v>0</v>
      </c>
      <c r="C212" s="187">
        <v>0</v>
      </c>
      <c r="D212" s="173"/>
      <c r="E212" s="174">
        <f t="shared" si="11"/>
        <v>0</v>
      </c>
      <c r="H212" s="254"/>
    </row>
    <row r="213" spans="1:8" ht="12.65" customHeight="1" x14ac:dyDescent="0.3">
      <c r="A213" s="172" t="s">
        <v>337</v>
      </c>
      <c r="B213" s="173">
        <v>22593911</v>
      </c>
      <c r="C213" s="187">
        <v>2666214</v>
      </c>
      <c r="D213" s="173"/>
      <c r="E213" s="174">
        <f t="shared" si="11"/>
        <v>25260125</v>
      </c>
      <c r="H213" s="254"/>
    </row>
    <row r="214" spans="1:8" ht="12.65" customHeight="1" x14ac:dyDescent="0.3">
      <c r="A214" s="172" t="s">
        <v>338</v>
      </c>
      <c r="B214" s="173">
        <v>0</v>
      </c>
      <c r="C214" s="187">
        <v>0</v>
      </c>
      <c r="D214" s="173"/>
      <c r="E214" s="174">
        <f t="shared" si="11"/>
        <v>0</v>
      </c>
      <c r="H214" s="254"/>
    </row>
    <row r="215" spans="1:8" ht="12.65" customHeight="1" x14ac:dyDescent="0.3">
      <c r="A215" s="172" t="s">
        <v>339</v>
      </c>
      <c r="B215" s="173">
        <v>778739</v>
      </c>
      <c r="C215" s="187">
        <v>118978</v>
      </c>
      <c r="D215" s="173"/>
      <c r="E215" s="174">
        <f t="shared" si="11"/>
        <v>897717</v>
      </c>
      <c r="H215" s="254"/>
    </row>
    <row r="216" spans="1:8" ht="12.65" customHeight="1" x14ac:dyDescent="0.3">
      <c r="A216" s="172" t="s">
        <v>340</v>
      </c>
      <c r="B216" s="173">
        <v>0</v>
      </c>
      <c r="C216" s="187"/>
      <c r="D216" s="173"/>
      <c r="E216" s="174">
        <f t="shared" si="11"/>
        <v>0</v>
      </c>
      <c r="H216" s="254"/>
    </row>
    <row r="217" spans="1:8" ht="12.65" customHeight="1" x14ac:dyDescent="0.3">
      <c r="A217" s="172" t="s">
        <v>203</v>
      </c>
      <c r="B217" s="174">
        <f>SUM(B208:B216)</f>
        <v>45030129</v>
      </c>
      <c r="C217" s="189">
        <f>SUM(C208:C216)</f>
        <v>4759008</v>
      </c>
      <c r="D217" s="174">
        <f>SUM(D208:D216)</f>
        <v>0</v>
      </c>
      <c r="E217" s="174">
        <f>SUM(E208:E216)</f>
        <v>49789137</v>
      </c>
    </row>
    <row r="218" spans="1:8" ht="21.75" customHeight="1" x14ac:dyDescent="0.3">
      <c r="A218" s="172"/>
      <c r="B218" s="174"/>
      <c r="C218" s="189"/>
      <c r="D218" s="174"/>
      <c r="E218" s="174"/>
    </row>
    <row r="219" spans="1:8" ht="12.65" customHeight="1" x14ac:dyDescent="0.3">
      <c r="A219" s="206" t="s">
        <v>342</v>
      </c>
      <c r="B219" s="206"/>
      <c r="C219" s="206"/>
      <c r="D219" s="206"/>
      <c r="E219" s="206"/>
    </row>
    <row r="220" spans="1:8" ht="12.65" customHeight="1" x14ac:dyDescent="0.3">
      <c r="A220" s="206"/>
      <c r="B220" s="349" t="s">
        <v>1254</v>
      </c>
      <c r="C220" s="349"/>
      <c r="D220" s="206"/>
      <c r="E220" s="206"/>
    </row>
    <row r="221" spans="1:8" ht="12.65" customHeight="1" x14ac:dyDescent="0.3">
      <c r="A221" s="267" t="s">
        <v>1254</v>
      </c>
      <c r="B221" s="206"/>
      <c r="C221" s="187">
        <v>3778000</v>
      </c>
      <c r="D221" s="171">
        <f>C221</f>
        <v>3778000</v>
      </c>
      <c r="E221" s="206"/>
    </row>
    <row r="222" spans="1:8" ht="12.65" customHeight="1" x14ac:dyDescent="0.3">
      <c r="A222" s="252" t="s">
        <v>343</v>
      </c>
      <c r="B222" s="252"/>
      <c r="C222" s="252"/>
      <c r="D222" s="252"/>
      <c r="E222" s="252"/>
    </row>
    <row r="223" spans="1:8" ht="12.65" customHeight="1" x14ac:dyDescent="0.3">
      <c r="A223" s="172" t="s">
        <v>344</v>
      </c>
      <c r="B223" s="171" t="s">
        <v>256</v>
      </c>
      <c r="C223" s="187">
        <v>90312560</v>
      </c>
      <c r="D223" s="174"/>
      <c r="E223" s="174"/>
    </row>
    <row r="224" spans="1:8" ht="12.65" customHeight="1" x14ac:dyDescent="0.3">
      <c r="A224" s="172" t="s">
        <v>345</v>
      </c>
      <c r="B224" s="171" t="s">
        <v>256</v>
      </c>
      <c r="C224" s="187">
        <v>20739856</v>
      </c>
      <c r="D224" s="174"/>
      <c r="E224" s="174"/>
    </row>
    <row r="225" spans="1:5" ht="12.65" customHeight="1" x14ac:dyDescent="0.3">
      <c r="A225" s="172" t="s">
        <v>346</v>
      </c>
      <c r="B225" s="171" t="s">
        <v>256</v>
      </c>
      <c r="C225" s="187"/>
      <c r="D225" s="174"/>
      <c r="E225" s="174"/>
    </row>
    <row r="226" spans="1:5" ht="12.65" customHeight="1" x14ac:dyDescent="0.3">
      <c r="A226" s="172" t="s">
        <v>347</v>
      </c>
      <c r="B226" s="171" t="s">
        <v>256</v>
      </c>
      <c r="C226" s="187"/>
      <c r="D226" s="174"/>
      <c r="E226" s="174"/>
    </row>
    <row r="227" spans="1:5" ht="12.65" customHeight="1" x14ac:dyDescent="0.3">
      <c r="A227" s="172" t="s">
        <v>348</v>
      </c>
      <c r="B227" s="171" t="s">
        <v>256</v>
      </c>
      <c r="C227" s="187"/>
      <c r="D227" s="174"/>
      <c r="E227" s="174"/>
    </row>
    <row r="228" spans="1:5" ht="12.65" customHeight="1" x14ac:dyDescent="0.3">
      <c r="A228" s="172" t="s">
        <v>349</v>
      </c>
      <c r="B228" s="171" t="s">
        <v>256</v>
      </c>
      <c r="C228" s="187"/>
      <c r="D228" s="174"/>
      <c r="E228" s="174"/>
    </row>
    <row r="229" spans="1:5" ht="12.65" customHeight="1" x14ac:dyDescent="0.3">
      <c r="A229" s="172" t="s">
        <v>350</v>
      </c>
      <c r="B229" s="174"/>
      <c r="C229" s="189"/>
      <c r="D229" s="174">
        <f>SUM(C223:C228)</f>
        <v>111052416</v>
      </c>
      <c r="E229" s="174"/>
    </row>
    <row r="230" spans="1:5" ht="12.65" customHeight="1" x14ac:dyDescent="0.3">
      <c r="A230" s="252" t="s">
        <v>351</v>
      </c>
      <c r="B230" s="252"/>
      <c r="C230" s="252"/>
      <c r="D230" s="252"/>
      <c r="E230" s="252"/>
    </row>
    <row r="231" spans="1:5" ht="12.65" customHeight="1" x14ac:dyDescent="0.3">
      <c r="A231" s="170" t="s">
        <v>352</v>
      </c>
      <c r="B231" s="171" t="s">
        <v>256</v>
      </c>
      <c r="C231" s="187">
        <v>1773</v>
      </c>
      <c r="D231" s="174"/>
      <c r="E231" s="174"/>
    </row>
    <row r="232" spans="1:5" ht="12.65" customHeight="1" x14ac:dyDescent="0.3">
      <c r="A232" s="170"/>
      <c r="B232" s="171"/>
      <c r="C232" s="189"/>
      <c r="D232" s="174"/>
      <c r="E232" s="174"/>
    </row>
    <row r="233" spans="1:5" ht="12.65" customHeight="1" x14ac:dyDescent="0.3">
      <c r="A233" s="170" t="s">
        <v>353</v>
      </c>
      <c r="B233" s="171" t="s">
        <v>256</v>
      </c>
      <c r="C233" s="187">
        <v>336849</v>
      </c>
      <c r="D233" s="174"/>
      <c r="E233" s="174"/>
    </row>
    <row r="234" spans="1:5" ht="12.65" customHeight="1" x14ac:dyDescent="0.3">
      <c r="A234" s="170" t="s">
        <v>354</v>
      </c>
      <c r="B234" s="171" t="s">
        <v>256</v>
      </c>
      <c r="C234" s="187">
        <v>3339718.8199999938</v>
      </c>
      <c r="D234" s="174"/>
      <c r="E234" s="174"/>
    </row>
    <row r="235" spans="1:5" ht="12.65" customHeight="1" x14ac:dyDescent="0.3">
      <c r="A235" s="172"/>
      <c r="B235" s="174"/>
      <c r="C235" s="189"/>
      <c r="D235" s="174"/>
      <c r="E235" s="174"/>
    </row>
    <row r="236" spans="1:5" ht="12.65" customHeight="1" x14ac:dyDescent="0.3">
      <c r="A236" s="170" t="s">
        <v>355</v>
      </c>
      <c r="B236" s="174"/>
      <c r="C236" s="189"/>
      <c r="D236" s="174">
        <f>SUM(C233:C235)</f>
        <v>3676567.8199999938</v>
      </c>
      <c r="E236" s="174"/>
    </row>
    <row r="237" spans="1:5" ht="12.65" customHeight="1" x14ac:dyDescent="0.3">
      <c r="A237" s="252" t="s">
        <v>356</v>
      </c>
      <c r="B237" s="252"/>
      <c r="C237" s="252"/>
      <c r="D237" s="252"/>
      <c r="E237" s="252"/>
    </row>
    <row r="238" spans="1:5" ht="12.65" customHeight="1" x14ac:dyDescent="0.3">
      <c r="A238" s="172" t="s">
        <v>357</v>
      </c>
      <c r="B238" s="171" t="s">
        <v>256</v>
      </c>
      <c r="C238" s="187">
        <v>99324</v>
      </c>
      <c r="D238" s="174"/>
      <c r="E238" s="174"/>
    </row>
    <row r="239" spans="1:5" ht="12.65" customHeight="1" x14ac:dyDescent="0.3">
      <c r="A239" s="172" t="s">
        <v>356</v>
      </c>
      <c r="B239" s="171" t="s">
        <v>256</v>
      </c>
      <c r="C239" s="187">
        <v>22473973</v>
      </c>
      <c r="D239" s="174"/>
      <c r="E239" s="174"/>
    </row>
    <row r="240" spans="1:5" ht="12.65" customHeight="1" x14ac:dyDescent="0.3">
      <c r="A240" s="172" t="s">
        <v>358</v>
      </c>
      <c r="B240" s="174"/>
      <c r="C240" s="189"/>
      <c r="D240" s="174">
        <f>SUM(C238:C239)</f>
        <v>22573297</v>
      </c>
      <c r="E240" s="174"/>
    </row>
    <row r="241" spans="1:5" ht="12.65" customHeight="1" x14ac:dyDescent="0.3">
      <c r="A241" s="172"/>
      <c r="B241" s="174"/>
      <c r="C241" s="189"/>
      <c r="D241" s="174"/>
      <c r="E241" s="174"/>
    </row>
    <row r="242" spans="1:5" ht="12.65" customHeight="1" x14ac:dyDescent="0.3">
      <c r="A242" s="172" t="s">
        <v>359</v>
      </c>
      <c r="B242" s="174"/>
      <c r="C242" s="189"/>
      <c r="D242" s="174">
        <f>D221+D229+D236+D240</f>
        <v>141080280.81999999</v>
      </c>
      <c r="E242" s="174"/>
    </row>
    <row r="243" spans="1:5" ht="12.65" customHeight="1" x14ac:dyDescent="0.3">
      <c r="A243" s="172"/>
      <c r="B243" s="172"/>
      <c r="C243" s="189"/>
      <c r="D243" s="174"/>
      <c r="E243" s="174"/>
    </row>
    <row r="244" spans="1:5" ht="12.65" customHeight="1" x14ac:dyDescent="0.3">
      <c r="A244" s="172"/>
      <c r="B244" s="172"/>
      <c r="C244" s="189"/>
      <c r="D244" s="174"/>
      <c r="E244" s="174"/>
    </row>
    <row r="245" spans="1:5" ht="12.65" customHeight="1" x14ac:dyDescent="0.3">
      <c r="A245" s="172"/>
      <c r="B245" s="172"/>
      <c r="C245" s="189"/>
      <c r="D245" s="174"/>
      <c r="E245" s="174"/>
    </row>
    <row r="246" spans="1:5" ht="12.65" customHeight="1" x14ac:dyDescent="0.3">
      <c r="A246" s="172"/>
      <c r="B246" s="172"/>
      <c r="C246" s="189"/>
      <c r="D246" s="174"/>
      <c r="E246" s="174"/>
    </row>
    <row r="247" spans="1:5" ht="21.75" customHeight="1" x14ac:dyDescent="0.3">
      <c r="A247" s="172"/>
      <c r="B247" s="172"/>
      <c r="C247" s="189"/>
      <c r="D247" s="174"/>
      <c r="E247" s="174"/>
    </row>
    <row r="248" spans="1:5" ht="12.65" customHeight="1" x14ac:dyDescent="0.3">
      <c r="A248" s="206" t="s">
        <v>360</v>
      </c>
      <c r="B248" s="206"/>
      <c r="C248" s="206"/>
      <c r="D248" s="206"/>
      <c r="E248" s="206"/>
    </row>
    <row r="249" spans="1:5" ht="11.25" customHeight="1" x14ac:dyDescent="0.3">
      <c r="A249" s="252" t="s">
        <v>361</v>
      </c>
      <c r="B249" s="252"/>
      <c r="C249" s="252"/>
      <c r="D249" s="252"/>
      <c r="E249" s="252"/>
    </row>
    <row r="250" spans="1:5" ht="12.65" customHeight="1" x14ac:dyDescent="0.3">
      <c r="A250" s="172" t="s">
        <v>362</v>
      </c>
      <c r="B250" s="171" t="s">
        <v>256</v>
      </c>
      <c r="C250" s="187">
        <v>8737552</v>
      </c>
      <c r="D250" s="174"/>
      <c r="E250" s="174"/>
    </row>
    <row r="251" spans="1:5" ht="12.65" customHeight="1" x14ac:dyDescent="0.3">
      <c r="A251" s="172" t="s">
        <v>363</v>
      </c>
      <c r="B251" s="171" t="s">
        <v>256</v>
      </c>
      <c r="C251" s="187"/>
      <c r="D251" s="174"/>
      <c r="E251" s="174"/>
    </row>
    <row r="252" spans="1:5" ht="12.65" customHeight="1" x14ac:dyDescent="0.3">
      <c r="A252" s="172" t="s">
        <v>364</v>
      </c>
      <c r="B252" s="171" t="s">
        <v>256</v>
      </c>
      <c r="C252" s="187">
        <v>18331175</v>
      </c>
      <c r="D252" s="174"/>
      <c r="E252" s="174"/>
    </row>
    <row r="253" spans="1:5" ht="12.65" customHeight="1" x14ac:dyDescent="0.3">
      <c r="A253" s="172" t="s">
        <v>365</v>
      </c>
      <c r="B253" s="171" t="s">
        <v>256</v>
      </c>
      <c r="C253" s="187">
        <v>3713000</v>
      </c>
      <c r="D253" s="174"/>
      <c r="E253" s="174"/>
    </row>
    <row r="254" spans="1:5" ht="12.65" customHeight="1" x14ac:dyDescent="0.3">
      <c r="A254" s="172" t="s">
        <v>1240</v>
      </c>
      <c r="B254" s="171" t="s">
        <v>256</v>
      </c>
      <c r="C254" s="187">
        <v>2609993</v>
      </c>
      <c r="D254" s="174"/>
      <c r="E254" s="174"/>
    </row>
    <row r="255" spans="1:5" ht="12.65" customHeight="1" x14ac:dyDescent="0.3">
      <c r="A255" s="172" t="s">
        <v>366</v>
      </c>
      <c r="B255" s="171" t="s">
        <v>256</v>
      </c>
      <c r="C255" s="187">
        <v>1522924</v>
      </c>
      <c r="D255" s="174"/>
      <c r="E255" s="174"/>
    </row>
    <row r="256" spans="1:5" ht="12.65" customHeight="1" x14ac:dyDescent="0.3">
      <c r="A256" s="172" t="s">
        <v>367</v>
      </c>
      <c r="B256" s="171" t="s">
        <v>256</v>
      </c>
      <c r="C256" s="187"/>
      <c r="D256" s="174"/>
      <c r="E256" s="174"/>
    </row>
    <row r="257" spans="1:5" ht="12.65" customHeight="1" x14ac:dyDescent="0.3">
      <c r="A257" s="172" t="s">
        <v>368</v>
      </c>
      <c r="B257" s="171" t="s">
        <v>256</v>
      </c>
      <c r="C257" s="187">
        <v>4278466.6900000004</v>
      </c>
      <c r="D257" s="174"/>
      <c r="E257" s="174"/>
    </row>
    <row r="258" spans="1:5" ht="12.65" customHeight="1" x14ac:dyDescent="0.3">
      <c r="A258" s="172" t="s">
        <v>369</v>
      </c>
      <c r="B258" s="171" t="s">
        <v>256</v>
      </c>
      <c r="C258" s="187">
        <v>1212852.75</v>
      </c>
      <c r="D258" s="174"/>
      <c r="E258" s="174"/>
    </row>
    <row r="259" spans="1:5" ht="12.65" customHeight="1" x14ac:dyDescent="0.3">
      <c r="A259" s="172" t="s">
        <v>370</v>
      </c>
      <c r="B259" s="171" t="s">
        <v>256</v>
      </c>
      <c r="C259" s="187"/>
      <c r="D259" s="174"/>
      <c r="E259" s="174"/>
    </row>
    <row r="260" spans="1:5" ht="12.65" customHeight="1" x14ac:dyDescent="0.3">
      <c r="A260" s="172" t="s">
        <v>371</v>
      </c>
      <c r="B260" s="174"/>
      <c r="C260" s="189"/>
      <c r="D260" s="174">
        <f>SUM(C250:C252)-C253+SUM(C254:C259)</f>
        <v>32979963.440000001</v>
      </c>
      <c r="E260" s="174"/>
    </row>
    <row r="261" spans="1:5" ht="11.25" customHeight="1" x14ac:dyDescent="0.3">
      <c r="A261" s="252" t="s">
        <v>372</v>
      </c>
      <c r="B261" s="252"/>
      <c r="C261" s="252"/>
      <c r="D261" s="252"/>
      <c r="E261" s="252"/>
    </row>
    <row r="262" spans="1:5" ht="12.65" customHeight="1" x14ac:dyDescent="0.3">
      <c r="A262" s="172" t="s">
        <v>362</v>
      </c>
      <c r="B262" s="171" t="s">
        <v>256</v>
      </c>
      <c r="C262" s="187">
        <v>47779134.609999999</v>
      </c>
      <c r="D262" s="174"/>
      <c r="E262" s="174"/>
    </row>
    <row r="263" spans="1:5" ht="12.65" customHeight="1" x14ac:dyDescent="0.3">
      <c r="A263" s="172" t="s">
        <v>363</v>
      </c>
      <c r="B263" s="171" t="s">
        <v>256</v>
      </c>
      <c r="C263" s="187"/>
      <c r="D263" s="174"/>
      <c r="E263" s="174"/>
    </row>
    <row r="264" spans="1:5" ht="12.65" customHeight="1" x14ac:dyDescent="0.3">
      <c r="A264" s="172" t="s">
        <v>373</v>
      </c>
      <c r="B264" s="171" t="s">
        <v>256</v>
      </c>
      <c r="C264" s="187">
        <v>10939.32</v>
      </c>
      <c r="D264" s="174"/>
      <c r="E264" s="174"/>
    </row>
    <row r="265" spans="1:5" ht="12.65" customHeight="1" x14ac:dyDescent="0.3">
      <c r="A265" s="172" t="s">
        <v>374</v>
      </c>
      <c r="B265" s="174"/>
      <c r="C265" s="189"/>
      <c r="D265" s="174">
        <f>SUM(C262:C264)</f>
        <v>47790073.93</v>
      </c>
      <c r="E265" s="174"/>
    </row>
    <row r="266" spans="1:5" ht="11.25" customHeight="1" x14ac:dyDescent="0.3">
      <c r="A266" s="252" t="s">
        <v>375</v>
      </c>
      <c r="B266" s="252"/>
      <c r="C266" s="252"/>
      <c r="D266" s="252"/>
      <c r="E266" s="252"/>
    </row>
    <row r="267" spans="1:5" ht="12.65" customHeight="1" x14ac:dyDescent="0.3">
      <c r="A267" s="172" t="s">
        <v>332</v>
      </c>
      <c r="B267" s="171" t="s">
        <v>256</v>
      </c>
      <c r="C267" s="187">
        <v>1715331.19</v>
      </c>
      <c r="D267" s="174"/>
      <c r="E267" s="174"/>
    </row>
    <row r="268" spans="1:5" ht="12.65" customHeight="1" x14ac:dyDescent="0.3">
      <c r="A268" s="172" t="s">
        <v>333</v>
      </c>
      <c r="B268" s="171" t="s">
        <v>256</v>
      </c>
      <c r="C268" s="187">
        <v>4028158</v>
      </c>
      <c r="D268" s="174"/>
      <c r="E268" s="174"/>
    </row>
    <row r="269" spans="1:5" ht="12.65" customHeight="1" x14ac:dyDescent="0.3">
      <c r="A269" s="172" t="s">
        <v>334</v>
      </c>
      <c r="B269" s="171" t="s">
        <v>256</v>
      </c>
      <c r="C269" s="187">
        <v>40757243</v>
      </c>
      <c r="D269" s="174"/>
      <c r="E269" s="174"/>
    </row>
    <row r="270" spans="1:5" ht="12.65" customHeight="1" x14ac:dyDescent="0.3">
      <c r="A270" s="172" t="s">
        <v>376</v>
      </c>
      <c r="B270" s="171" t="s">
        <v>256</v>
      </c>
      <c r="C270" s="187">
        <v>0</v>
      </c>
      <c r="D270" s="174"/>
      <c r="E270" s="174"/>
    </row>
    <row r="271" spans="1:5" ht="12.65" customHeight="1" x14ac:dyDescent="0.3">
      <c r="A271" s="172" t="s">
        <v>377</v>
      </c>
      <c r="B271" s="171" t="s">
        <v>256</v>
      </c>
      <c r="C271" s="187">
        <v>0</v>
      </c>
      <c r="D271" s="174"/>
      <c r="E271" s="174"/>
    </row>
    <row r="272" spans="1:5" ht="12.65" customHeight="1" x14ac:dyDescent="0.3">
      <c r="A272" s="172" t="s">
        <v>378</v>
      </c>
      <c r="B272" s="171" t="s">
        <v>256</v>
      </c>
      <c r="C272" s="187">
        <v>41530304</v>
      </c>
      <c r="D272" s="174"/>
      <c r="E272" s="174"/>
    </row>
    <row r="273" spans="1:5" ht="12.65" customHeight="1" x14ac:dyDescent="0.3">
      <c r="A273" s="172" t="s">
        <v>339</v>
      </c>
      <c r="B273" s="171" t="s">
        <v>256</v>
      </c>
      <c r="C273" s="187">
        <v>0</v>
      </c>
      <c r="D273" s="174"/>
      <c r="E273" s="174"/>
    </row>
    <row r="274" spans="1:5" ht="12.65" customHeight="1" x14ac:dyDescent="0.3">
      <c r="A274" s="172" t="s">
        <v>340</v>
      </c>
      <c r="B274" s="171" t="s">
        <v>256</v>
      </c>
      <c r="C274" s="187">
        <v>1361180</v>
      </c>
      <c r="D274" s="174"/>
      <c r="E274" s="174"/>
    </row>
    <row r="275" spans="1:5" ht="12.65" customHeight="1" x14ac:dyDescent="0.3">
      <c r="A275" s="172" t="s">
        <v>379</v>
      </c>
      <c r="B275" s="174"/>
      <c r="C275" s="189"/>
      <c r="D275" s="174">
        <f>SUM(C267:C274)</f>
        <v>89392216.189999998</v>
      </c>
      <c r="E275" s="174"/>
    </row>
    <row r="276" spans="1:5" ht="12.65" customHeight="1" x14ac:dyDescent="0.3">
      <c r="A276" s="172" t="s">
        <v>380</v>
      </c>
      <c r="B276" s="171" t="s">
        <v>256</v>
      </c>
      <c r="C276" s="187">
        <v>49789137</v>
      </c>
      <c r="D276" s="174"/>
      <c r="E276" s="174"/>
    </row>
    <row r="277" spans="1:5" ht="12.65" customHeight="1" x14ac:dyDescent="0.3">
      <c r="A277" s="172" t="s">
        <v>381</v>
      </c>
      <c r="B277" s="174"/>
      <c r="C277" s="189"/>
      <c r="D277" s="174">
        <f>D275-C276</f>
        <v>39603079.189999998</v>
      </c>
      <c r="E277" s="174"/>
    </row>
    <row r="278" spans="1:5" ht="12.65" customHeight="1" x14ac:dyDescent="0.3">
      <c r="A278" s="252" t="s">
        <v>382</v>
      </c>
      <c r="B278" s="252"/>
      <c r="C278" s="252"/>
      <c r="D278" s="252"/>
      <c r="E278" s="252"/>
    </row>
    <row r="279" spans="1:5" ht="12.65" customHeight="1" x14ac:dyDescent="0.3">
      <c r="A279" s="172" t="s">
        <v>383</v>
      </c>
      <c r="B279" s="171" t="s">
        <v>256</v>
      </c>
      <c r="C279" s="187"/>
      <c r="D279" s="174"/>
      <c r="E279" s="174"/>
    </row>
    <row r="280" spans="1:5" ht="12.65" customHeight="1" x14ac:dyDescent="0.3">
      <c r="A280" s="172" t="s">
        <v>384</v>
      </c>
      <c r="B280" s="171" t="s">
        <v>256</v>
      </c>
      <c r="C280" s="187"/>
      <c r="D280" s="174"/>
      <c r="E280" s="174"/>
    </row>
    <row r="281" spans="1:5" ht="12.65" customHeight="1" x14ac:dyDescent="0.3">
      <c r="A281" s="172" t="s">
        <v>385</v>
      </c>
      <c r="B281" s="171" t="s">
        <v>256</v>
      </c>
      <c r="C281" s="187"/>
      <c r="D281" s="174"/>
      <c r="E281" s="174"/>
    </row>
    <row r="282" spans="1:5" ht="12.65" customHeight="1" x14ac:dyDescent="0.3">
      <c r="A282" s="172" t="s">
        <v>373</v>
      </c>
      <c r="B282" s="171" t="s">
        <v>256</v>
      </c>
      <c r="C282" s="187"/>
      <c r="D282" s="174"/>
      <c r="E282" s="174"/>
    </row>
    <row r="283" spans="1:5" ht="12.65" customHeight="1" x14ac:dyDescent="0.3">
      <c r="A283" s="172" t="s">
        <v>386</v>
      </c>
      <c r="B283" s="174"/>
      <c r="C283" s="189"/>
      <c r="D283" s="174">
        <f>C279-C280+C281+C282</f>
        <v>0</v>
      </c>
      <c r="E283" s="174"/>
    </row>
    <row r="284" spans="1:5" ht="12.65" customHeight="1" x14ac:dyDescent="0.3">
      <c r="A284" s="172"/>
      <c r="B284" s="174"/>
      <c r="C284" s="189"/>
      <c r="D284" s="174"/>
      <c r="E284" s="174"/>
    </row>
    <row r="285" spans="1:5" ht="12.65" customHeight="1" x14ac:dyDescent="0.3">
      <c r="A285" s="252" t="s">
        <v>387</v>
      </c>
      <c r="B285" s="252"/>
      <c r="C285" s="252"/>
      <c r="D285" s="252"/>
      <c r="E285" s="252"/>
    </row>
    <row r="286" spans="1:5" ht="12.65" customHeight="1" x14ac:dyDescent="0.3">
      <c r="A286" s="172" t="s">
        <v>388</v>
      </c>
      <c r="B286" s="171" t="s">
        <v>256</v>
      </c>
      <c r="C286" s="187"/>
      <c r="D286" s="174"/>
      <c r="E286" s="174"/>
    </row>
    <row r="287" spans="1:5" ht="12.65" customHeight="1" x14ac:dyDescent="0.3">
      <c r="A287" s="172" t="s">
        <v>389</v>
      </c>
      <c r="B287" s="171" t="s">
        <v>256</v>
      </c>
      <c r="C287" s="187"/>
      <c r="D287" s="174"/>
      <c r="E287" s="174"/>
    </row>
    <row r="288" spans="1:5" ht="12.65" customHeight="1" x14ac:dyDescent="0.3">
      <c r="A288" s="172" t="s">
        <v>390</v>
      </c>
      <c r="B288" s="171" t="s">
        <v>256</v>
      </c>
      <c r="C288" s="187"/>
      <c r="D288" s="174"/>
      <c r="E288" s="174"/>
    </row>
    <row r="289" spans="1:5" ht="12.65" customHeight="1" x14ac:dyDescent="0.3">
      <c r="A289" s="172" t="s">
        <v>391</v>
      </c>
      <c r="B289" s="171" t="s">
        <v>256</v>
      </c>
      <c r="C289" s="187"/>
      <c r="D289" s="174"/>
      <c r="E289" s="174"/>
    </row>
    <row r="290" spans="1:5" ht="12.65" customHeight="1" x14ac:dyDescent="0.3">
      <c r="A290" s="172" t="s">
        <v>392</v>
      </c>
      <c r="B290" s="174"/>
      <c r="C290" s="189"/>
      <c r="D290" s="174">
        <f>SUM(C286:C289)</f>
        <v>0</v>
      </c>
      <c r="E290" s="174"/>
    </row>
    <row r="291" spans="1:5" ht="12.65" customHeight="1" x14ac:dyDescent="0.3">
      <c r="A291" s="172"/>
      <c r="B291" s="174"/>
      <c r="C291" s="189"/>
      <c r="D291" s="174"/>
      <c r="E291" s="174"/>
    </row>
    <row r="292" spans="1:5" ht="12.65" customHeight="1" x14ac:dyDescent="0.3">
      <c r="A292" s="172" t="s">
        <v>393</v>
      </c>
      <c r="B292" s="174"/>
      <c r="C292" s="189"/>
      <c r="D292" s="174">
        <f>D260+D265+D277+D283+D290</f>
        <v>120373116.56</v>
      </c>
      <c r="E292" s="174"/>
    </row>
    <row r="293" spans="1:5" ht="12.65" customHeight="1" x14ac:dyDescent="0.3">
      <c r="A293" s="172"/>
      <c r="B293" s="172"/>
      <c r="C293" s="189"/>
      <c r="D293" s="174"/>
      <c r="E293" s="174"/>
    </row>
    <row r="294" spans="1:5" ht="12.65" customHeight="1" x14ac:dyDescent="0.3">
      <c r="A294" s="172"/>
      <c r="B294" s="172"/>
      <c r="C294" s="189"/>
      <c r="D294" s="174"/>
      <c r="E294" s="174"/>
    </row>
    <row r="295" spans="1:5" ht="12.65" customHeight="1" x14ac:dyDescent="0.3">
      <c r="A295" s="172"/>
      <c r="B295" s="172"/>
      <c r="C295" s="189"/>
      <c r="D295" s="174"/>
      <c r="E295" s="174"/>
    </row>
    <row r="296" spans="1:5" ht="12.65" customHeight="1" x14ac:dyDescent="0.3">
      <c r="A296" s="172"/>
      <c r="B296" s="172"/>
      <c r="C296" s="189"/>
      <c r="D296" s="174"/>
      <c r="E296" s="174"/>
    </row>
    <row r="297" spans="1:5" ht="12.65" customHeight="1" x14ac:dyDescent="0.3">
      <c r="A297" s="172"/>
      <c r="B297" s="172"/>
      <c r="C297" s="189"/>
      <c r="D297" s="174"/>
      <c r="E297" s="174"/>
    </row>
    <row r="298" spans="1:5" ht="12.65" customHeight="1" x14ac:dyDescent="0.3">
      <c r="A298" s="172"/>
      <c r="B298" s="172"/>
      <c r="C298" s="189"/>
      <c r="D298" s="174"/>
      <c r="E298" s="174"/>
    </row>
    <row r="299" spans="1:5" ht="12.65" customHeight="1" x14ac:dyDescent="0.3">
      <c r="A299" s="172"/>
      <c r="B299" s="172"/>
      <c r="C299" s="189"/>
      <c r="D299" s="174"/>
      <c r="E299" s="174"/>
    </row>
    <row r="300" spans="1:5" ht="12.65" customHeight="1" x14ac:dyDescent="0.3">
      <c r="A300" s="172"/>
      <c r="B300" s="172"/>
      <c r="C300" s="189"/>
      <c r="D300" s="174"/>
      <c r="E300" s="174"/>
    </row>
    <row r="301" spans="1:5" ht="20.25" customHeight="1" x14ac:dyDescent="0.3">
      <c r="A301" s="172"/>
      <c r="B301" s="172"/>
      <c r="C301" s="189"/>
      <c r="D301" s="174"/>
      <c r="E301" s="174"/>
    </row>
    <row r="302" spans="1:5" ht="12.65" customHeight="1" x14ac:dyDescent="0.3">
      <c r="A302" s="206" t="s">
        <v>394</v>
      </c>
      <c r="B302" s="206"/>
      <c r="C302" s="206"/>
      <c r="D302" s="206"/>
      <c r="E302" s="206"/>
    </row>
    <row r="303" spans="1:5" ht="14.25" customHeight="1" x14ac:dyDescent="0.3">
      <c r="A303" s="252" t="s">
        <v>395</v>
      </c>
      <c r="B303" s="252"/>
      <c r="C303" s="252"/>
      <c r="D303" s="252"/>
      <c r="E303" s="252"/>
    </row>
    <row r="304" spans="1:5" ht="12.65" customHeight="1" x14ac:dyDescent="0.3">
      <c r="A304" s="172" t="s">
        <v>396</v>
      </c>
      <c r="B304" s="171" t="s">
        <v>256</v>
      </c>
      <c r="C304" s="187"/>
      <c r="D304" s="174"/>
      <c r="E304" s="174"/>
    </row>
    <row r="305" spans="1:5" ht="12.65" customHeight="1" x14ac:dyDescent="0.3">
      <c r="A305" s="172" t="s">
        <v>397</v>
      </c>
      <c r="B305" s="171" t="s">
        <v>256</v>
      </c>
      <c r="C305" s="187">
        <v>3252332.93</v>
      </c>
      <c r="D305" s="174"/>
      <c r="E305" s="174"/>
    </row>
    <row r="306" spans="1:5" ht="12.65" customHeight="1" x14ac:dyDescent="0.3">
      <c r="A306" s="172" t="s">
        <v>398</v>
      </c>
      <c r="B306" s="171" t="s">
        <v>256</v>
      </c>
      <c r="C306" s="187">
        <v>8033225.3300000001</v>
      </c>
      <c r="D306" s="174"/>
      <c r="E306" s="174"/>
    </row>
    <row r="307" spans="1:5" ht="12.65" customHeight="1" x14ac:dyDescent="0.3">
      <c r="A307" s="172" t="s">
        <v>399</v>
      </c>
      <c r="B307" s="171" t="s">
        <v>256</v>
      </c>
      <c r="C307" s="187"/>
      <c r="D307" s="174"/>
      <c r="E307" s="174"/>
    </row>
    <row r="308" spans="1:5" ht="12.65" customHeight="1" x14ac:dyDescent="0.3">
      <c r="A308" s="172" t="s">
        <v>400</v>
      </c>
      <c r="B308" s="171" t="s">
        <v>256</v>
      </c>
      <c r="C308" s="187">
        <v>18241170</v>
      </c>
      <c r="D308" s="174"/>
      <c r="E308" s="174"/>
    </row>
    <row r="309" spans="1:5" ht="12.65" customHeight="1" x14ac:dyDescent="0.3">
      <c r="A309" s="172" t="s">
        <v>1241</v>
      </c>
      <c r="B309" s="171" t="s">
        <v>256</v>
      </c>
      <c r="C309" s="187"/>
      <c r="D309" s="174"/>
      <c r="E309" s="174"/>
    </row>
    <row r="310" spans="1:5" ht="12.65" customHeight="1" x14ac:dyDescent="0.3">
      <c r="A310" s="172" t="s">
        <v>401</v>
      </c>
      <c r="B310" s="171" t="s">
        <v>256</v>
      </c>
      <c r="C310" s="187"/>
      <c r="D310" s="174"/>
      <c r="E310" s="174"/>
    </row>
    <row r="311" spans="1:5" ht="12.65" customHeight="1" x14ac:dyDescent="0.3">
      <c r="A311" s="172" t="s">
        <v>402</v>
      </c>
      <c r="B311" s="171" t="s">
        <v>256</v>
      </c>
      <c r="C311" s="187"/>
      <c r="D311" s="174"/>
      <c r="E311" s="174"/>
    </row>
    <row r="312" spans="1:5" ht="12.65" customHeight="1" x14ac:dyDescent="0.3">
      <c r="A312" s="172" t="s">
        <v>403</v>
      </c>
      <c r="B312" s="171" t="s">
        <v>256</v>
      </c>
      <c r="C312" s="187">
        <v>381629</v>
      </c>
      <c r="D312" s="174"/>
      <c r="E312" s="174"/>
    </row>
    <row r="313" spans="1:5" ht="12.65" customHeight="1" x14ac:dyDescent="0.3">
      <c r="A313" s="172" t="s">
        <v>404</v>
      </c>
      <c r="B313" s="171" t="s">
        <v>256</v>
      </c>
      <c r="C313" s="187"/>
      <c r="D313" s="174"/>
      <c r="E313" s="174"/>
    </row>
    <row r="314" spans="1:5" ht="12.65" customHeight="1" x14ac:dyDescent="0.3">
      <c r="A314" s="172" t="s">
        <v>405</v>
      </c>
      <c r="B314" s="174"/>
      <c r="C314" s="189"/>
      <c r="D314" s="174">
        <f>SUM(C304:C313)</f>
        <v>29908357.259999998</v>
      </c>
      <c r="E314" s="174"/>
    </row>
    <row r="315" spans="1:5" ht="12.65" customHeight="1" x14ac:dyDescent="0.3">
      <c r="A315" s="252" t="s">
        <v>406</v>
      </c>
      <c r="B315" s="252"/>
      <c r="C315" s="252"/>
      <c r="D315" s="252"/>
      <c r="E315" s="252"/>
    </row>
    <row r="316" spans="1:5" ht="12.65" customHeight="1" x14ac:dyDescent="0.3">
      <c r="A316" s="172" t="s">
        <v>407</v>
      </c>
      <c r="B316" s="171" t="s">
        <v>256</v>
      </c>
      <c r="C316" s="187"/>
      <c r="D316" s="174"/>
      <c r="E316" s="174"/>
    </row>
    <row r="317" spans="1:5" ht="12.65" customHeight="1" x14ac:dyDescent="0.3">
      <c r="A317" s="172" t="s">
        <v>408</v>
      </c>
      <c r="B317" s="171" t="s">
        <v>256</v>
      </c>
      <c r="C317" s="187"/>
      <c r="D317" s="174"/>
      <c r="E317" s="174"/>
    </row>
    <row r="318" spans="1:5" ht="12.65" customHeight="1" x14ac:dyDescent="0.3">
      <c r="A318" s="172" t="s">
        <v>409</v>
      </c>
      <c r="B318" s="171" t="s">
        <v>256</v>
      </c>
      <c r="C318" s="187"/>
      <c r="D318" s="174"/>
      <c r="E318" s="174"/>
    </row>
    <row r="319" spans="1:5" ht="12.65" customHeight="1" x14ac:dyDescent="0.3">
      <c r="A319" s="172" t="s">
        <v>410</v>
      </c>
      <c r="B319" s="174"/>
      <c r="C319" s="189"/>
      <c r="D319" s="174">
        <f>SUM(C316:C318)</f>
        <v>0</v>
      </c>
      <c r="E319" s="174"/>
    </row>
    <row r="320" spans="1:5" ht="12.65" customHeight="1" x14ac:dyDescent="0.3">
      <c r="A320" s="252" t="s">
        <v>411</v>
      </c>
      <c r="B320" s="252"/>
      <c r="C320" s="252"/>
      <c r="D320" s="252"/>
      <c r="E320" s="252"/>
    </row>
    <row r="321" spans="1:5" ht="12.65" customHeight="1" x14ac:dyDescent="0.3">
      <c r="A321" s="172" t="s">
        <v>412</v>
      </c>
      <c r="B321" s="171" t="s">
        <v>256</v>
      </c>
      <c r="C321" s="187"/>
      <c r="D321" s="174"/>
      <c r="E321" s="174"/>
    </row>
    <row r="322" spans="1:5" ht="12.65" customHeight="1" x14ac:dyDescent="0.3">
      <c r="A322" s="172" t="s">
        <v>413</v>
      </c>
      <c r="B322" s="171" t="s">
        <v>256</v>
      </c>
      <c r="C322" s="187"/>
      <c r="D322" s="174"/>
      <c r="E322" s="174"/>
    </row>
    <row r="323" spans="1:5" ht="12.65" customHeight="1" x14ac:dyDescent="0.3">
      <c r="A323" s="172" t="s">
        <v>414</v>
      </c>
      <c r="B323" s="171" t="s">
        <v>256</v>
      </c>
      <c r="C323" s="187">
        <v>3923948</v>
      </c>
      <c r="D323" s="174"/>
      <c r="E323" s="174"/>
    </row>
    <row r="324" spans="1:5" ht="12.65" customHeight="1" x14ac:dyDescent="0.3">
      <c r="A324" s="170" t="s">
        <v>415</v>
      </c>
      <c r="B324" s="171" t="s">
        <v>256</v>
      </c>
      <c r="C324" s="187"/>
      <c r="D324" s="174"/>
      <c r="E324" s="174"/>
    </row>
    <row r="325" spans="1:5" ht="12.65" customHeight="1" x14ac:dyDescent="0.3">
      <c r="A325" s="172" t="s">
        <v>416</v>
      </c>
      <c r="B325" s="171" t="s">
        <v>256</v>
      </c>
      <c r="C325" s="187">
        <v>24343151</v>
      </c>
      <c r="D325" s="174"/>
      <c r="E325" s="174"/>
    </row>
    <row r="326" spans="1:5" ht="12.65" customHeight="1" x14ac:dyDescent="0.3">
      <c r="A326" s="170" t="s">
        <v>417</v>
      </c>
      <c r="B326" s="171" t="s">
        <v>256</v>
      </c>
      <c r="C326" s="187"/>
      <c r="D326" s="174"/>
      <c r="E326" s="174"/>
    </row>
    <row r="327" spans="1:5" ht="12.65" customHeight="1" x14ac:dyDescent="0.3">
      <c r="A327" s="172" t="s">
        <v>418</v>
      </c>
      <c r="B327" s="171" t="s">
        <v>256</v>
      </c>
      <c r="C327" s="187"/>
      <c r="D327" s="174"/>
      <c r="E327" s="174"/>
    </row>
    <row r="328" spans="1:5" ht="19.5" customHeight="1" x14ac:dyDescent="0.3">
      <c r="A328" s="172" t="s">
        <v>203</v>
      </c>
      <c r="B328" s="174"/>
      <c r="C328" s="189"/>
      <c r="D328" s="174">
        <f>SUM(C321:C327)</f>
        <v>28267099</v>
      </c>
      <c r="E328" s="174"/>
    </row>
    <row r="329" spans="1:5" ht="12.65" customHeight="1" x14ac:dyDescent="0.3">
      <c r="A329" s="172" t="s">
        <v>419</v>
      </c>
      <c r="B329" s="174"/>
      <c r="C329" s="189"/>
      <c r="D329" s="174">
        <f>C313</f>
        <v>0</v>
      </c>
      <c r="E329" s="174"/>
    </row>
    <row r="330" spans="1:5" ht="12.65" customHeight="1" x14ac:dyDescent="0.3">
      <c r="A330" s="172" t="s">
        <v>420</v>
      </c>
      <c r="B330" s="174"/>
      <c r="C330" s="189"/>
      <c r="D330" s="174">
        <f>D328-D329</f>
        <v>28267099</v>
      </c>
      <c r="E330" s="174"/>
    </row>
    <row r="331" spans="1:5" ht="12.65" customHeight="1" x14ac:dyDescent="0.3">
      <c r="A331" s="172"/>
      <c r="B331" s="174"/>
      <c r="C331" s="189"/>
      <c r="D331" s="174"/>
      <c r="E331" s="174"/>
    </row>
    <row r="332" spans="1:5" ht="12.65" customHeight="1" x14ac:dyDescent="0.3">
      <c r="A332" s="172" t="s">
        <v>421</v>
      </c>
      <c r="B332" s="171" t="s">
        <v>256</v>
      </c>
      <c r="C332" s="219">
        <v>63160338.240000002</v>
      </c>
      <c r="D332" s="174"/>
      <c r="E332" s="174"/>
    </row>
    <row r="333" spans="1:5" ht="12.65" customHeight="1" x14ac:dyDescent="0.3">
      <c r="A333" s="172"/>
      <c r="B333" s="171"/>
      <c r="C333" s="226"/>
      <c r="D333" s="174"/>
      <c r="E333" s="174"/>
    </row>
    <row r="334" spans="1:5" ht="12.65" customHeight="1" x14ac:dyDescent="0.3">
      <c r="A334" s="172" t="s">
        <v>1142</v>
      </c>
      <c r="B334" s="171" t="s">
        <v>256</v>
      </c>
      <c r="C334" s="219"/>
      <c r="D334" s="174"/>
      <c r="E334" s="174"/>
    </row>
    <row r="335" spans="1:5" ht="12.65" customHeight="1" x14ac:dyDescent="0.3">
      <c r="A335" s="172" t="s">
        <v>1143</v>
      </c>
      <c r="B335" s="171" t="s">
        <v>256</v>
      </c>
      <c r="C335" s="219"/>
      <c r="D335" s="174"/>
      <c r="E335" s="174"/>
    </row>
    <row r="336" spans="1:5" ht="12.65" customHeight="1" x14ac:dyDescent="0.3">
      <c r="A336" s="172" t="s">
        <v>423</v>
      </c>
      <c r="B336" s="171" t="s">
        <v>256</v>
      </c>
      <c r="C336" s="219"/>
      <c r="D336" s="174"/>
      <c r="E336" s="174"/>
    </row>
    <row r="337" spans="1:5" ht="12.65" customHeight="1" x14ac:dyDescent="0.3">
      <c r="A337" s="172" t="s">
        <v>422</v>
      </c>
      <c r="B337" s="171" t="s">
        <v>256</v>
      </c>
      <c r="C337" s="187"/>
      <c r="D337" s="174"/>
      <c r="E337" s="174"/>
    </row>
    <row r="338" spans="1:5" ht="12.65" customHeight="1" x14ac:dyDescent="0.3">
      <c r="A338" s="172" t="s">
        <v>1252</v>
      </c>
      <c r="B338" s="171" t="s">
        <v>256</v>
      </c>
      <c r="C338" s="187"/>
      <c r="D338" s="174"/>
      <c r="E338" s="174"/>
    </row>
    <row r="339" spans="1:5" ht="12.65" customHeight="1" x14ac:dyDescent="0.3">
      <c r="A339" s="172" t="s">
        <v>424</v>
      </c>
      <c r="B339" s="174"/>
      <c r="C339" s="189"/>
      <c r="D339" s="174">
        <f>D314+D319+D330+C332+C336+C337</f>
        <v>121335794.5</v>
      </c>
      <c r="E339" s="174"/>
    </row>
    <row r="340" spans="1:5" ht="12.65" customHeight="1" x14ac:dyDescent="0.3">
      <c r="A340" s="172"/>
      <c r="B340" s="174"/>
      <c r="C340" s="189"/>
      <c r="D340" s="174"/>
      <c r="E340" s="174"/>
    </row>
    <row r="341" spans="1:5" ht="12.65" customHeight="1" x14ac:dyDescent="0.3">
      <c r="A341" s="172" t="s">
        <v>425</v>
      </c>
      <c r="B341" s="174"/>
      <c r="C341" s="189"/>
      <c r="D341" s="174">
        <f>D292</f>
        <v>120373116.56</v>
      </c>
      <c r="E341" s="174"/>
    </row>
    <row r="342" spans="1:5" ht="12.65" customHeight="1" x14ac:dyDescent="0.3">
      <c r="A342" s="172"/>
      <c r="B342" s="172"/>
      <c r="C342" s="189"/>
      <c r="D342" s="174"/>
      <c r="E342" s="174"/>
    </row>
    <row r="343" spans="1:5" ht="12.65" customHeight="1" x14ac:dyDescent="0.3">
      <c r="A343" s="172"/>
      <c r="B343" s="172"/>
      <c r="C343" s="189"/>
      <c r="D343" s="174"/>
      <c r="E343" s="174"/>
    </row>
    <row r="344" spans="1:5" ht="12.65" customHeight="1" x14ac:dyDescent="0.3">
      <c r="A344" s="172"/>
      <c r="B344" s="172"/>
      <c r="C344" s="189"/>
      <c r="D344" s="174"/>
      <c r="E344" s="174"/>
    </row>
    <row r="345" spans="1:5" ht="12.65" customHeight="1" x14ac:dyDescent="0.3">
      <c r="A345" s="172"/>
      <c r="B345" s="172"/>
      <c r="C345" s="189"/>
      <c r="D345" s="174"/>
      <c r="E345" s="174"/>
    </row>
    <row r="346" spans="1:5" ht="12.65" customHeight="1" x14ac:dyDescent="0.3">
      <c r="A346" s="172"/>
      <c r="B346" s="172"/>
      <c r="C346" s="189"/>
      <c r="D346" s="174"/>
      <c r="E346" s="174"/>
    </row>
    <row r="347" spans="1:5" ht="12.65" customHeight="1" x14ac:dyDescent="0.3">
      <c r="A347" s="172"/>
      <c r="B347" s="172"/>
      <c r="C347" s="189"/>
      <c r="D347" s="174"/>
      <c r="E347" s="174"/>
    </row>
    <row r="348" spans="1:5" ht="12.65" customHeight="1" x14ac:dyDescent="0.3">
      <c r="A348" s="172"/>
      <c r="B348" s="172"/>
      <c r="C348" s="189"/>
      <c r="D348" s="174"/>
      <c r="E348" s="174"/>
    </row>
    <row r="349" spans="1:5" ht="12.65" customHeight="1" x14ac:dyDescent="0.3">
      <c r="A349" s="172"/>
      <c r="B349" s="172"/>
      <c r="C349" s="189"/>
      <c r="D349" s="174"/>
      <c r="E349" s="174"/>
    </row>
    <row r="350" spans="1:5" ht="12.65" customHeight="1" x14ac:dyDescent="0.3">
      <c r="A350" s="172"/>
      <c r="B350" s="172"/>
      <c r="C350" s="189"/>
      <c r="D350" s="174"/>
      <c r="E350" s="174"/>
    </row>
    <row r="351" spans="1:5" ht="12.65" customHeight="1" x14ac:dyDescent="0.3">
      <c r="A351" s="172"/>
      <c r="B351" s="172"/>
      <c r="C351" s="189"/>
      <c r="D351" s="174"/>
      <c r="E351" s="174"/>
    </row>
    <row r="352" spans="1:5" ht="12.65" customHeight="1" x14ac:dyDescent="0.3">
      <c r="A352" s="172"/>
      <c r="B352" s="172"/>
      <c r="C352" s="189"/>
      <c r="D352" s="174"/>
      <c r="E352" s="174"/>
    </row>
    <row r="353" spans="1:5" ht="12.65" customHeight="1" x14ac:dyDescent="0.3">
      <c r="A353" s="172"/>
      <c r="B353" s="172"/>
      <c r="C353" s="189"/>
      <c r="D353" s="174"/>
      <c r="E353" s="174"/>
    </row>
    <row r="354" spans="1:5" ht="12.65" customHeight="1" x14ac:dyDescent="0.3">
      <c r="A354" s="172"/>
      <c r="B354" s="172"/>
      <c r="C354" s="189"/>
      <c r="D354" s="174"/>
      <c r="E354" s="174"/>
    </row>
    <row r="355" spans="1:5" ht="12.65" customHeight="1" x14ac:dyDescent="0.3">
      <c r="A355" s="172"/>
      <c r="B355" s="172"/>
      <c r="C355" s="189"/>
      <c r="D355" s="174"/>
      <c r="E355" s="174"/>
    </row>
    <row r="356" spans="1:5" ht="20.25" customHeight="1" x14ac:dyDescent="0.3">
      <c r="A356" s="172"/>
      <c r="B356" s="172"/>
      <c r="C356" s="189"/>
      <c r="D356" s="174"/>
      <c r="E356" s="174"/>
    </row>
    <row r="357" spans="1:5" ht="12.65" customHeight="1" x14ac:dyDescent="0.3">
      <c r="A357" s="206" t="s">
        <v>426</v>
      </c>
      <c r="B357" s="206"/>
      <c r="C357" s="206"/>
      <c r="D357" s="206"/>
      <c r="E357" s="206"/>
    </row>
    <row r="358" spans="1:5" ht="12.65" customHeight="1" x14ac:dyDescent="0.3">
      <c r="A358" s="252" t="s">
        <v>427</v>
      </c>
      <c r="B358" s="252"/>
      <c r="C358" s="252"/>
      <c r="D358" s="252"/>
      <c r="E358" s="252"/>
    </row>
    <row r="359" spans="1:5" ht="12.65" customHeight="1" x14ac:dyDescent="0.3">
      <c r="A359" s="172" t="s">
        <v>428</v>
      </c>
      <c r="B359" s="171" t="s">
        <v>256</v>
      </c>
      <c r="C359" s="187">
        <v>36422817</v>
      </c>
      <c r="D359" s="174"/>
      <c r="E359" s="174"/>
    </row>
    <row r="360" spans="1:5" ht="12.65" customHeight="1" x14ac:dyDescent="0.3">
      <c r="A360" s="172" t="s">
        <v>429</v>
      </c>
      <c r="B360" s="171" t="s">
        <v>256</v>
      </c>
      <c r="C360" s="187">
        <v>219712976</v>
      </c>
      <c r="D360" s="174"/>
      <c r="E360" s="174"/>
    </row>
    <row r="361" spans="1:5" ht="12.65" customHeight="1" x14ac:dyDescent="0.3">
      <c r="A361" s="172" t="s">
        <v>430</v>
      </c>
      <c r="B361" s="174"/>
      <c r="C361" s="189"/>
      <c r="D361" s="174">
        <f>SUM(C359:C360)</f>
        <v>256135793</v>
      </c>
      <c r="E361" s="174"/>
    </row>
    <row r="362" spans="1:5" ht="12.65" customHeight="1" x14ac:dyDescent="0.3">
      <c r="A362" s="252" t="s">
        <v>431</v>
      </c>
      <c r="B362" s="252"/>
      <c r="C362" s="252"/>
      <c r="D362" s="252"/>
      <c r="E362" s="252"/>
    </row>
    <row r="363" spans="1:5" ht="12.65" customHeight="1" x14ac:dyDescent="0.3">
      <c r="A363" s="172" t="s">
        <v>1254</v>
      </c>
      <c r="B363" s="252"/>
      <c r="C363" s="187">
        <v>3778000</v>
      </c>
      <c r="D363" s="174"/>
      <c r="E363" s="252"/>
    </row>
    <row r="364" spans="1:5" ht="12.65" customHeight="1" x14ac:dyDescent="0.3">
      <c r="A364" s="172" t="s">
        <v>432</v>
      </c>
      <c r="B364" s="171" t="s">
        <v>256</v>
      </c>
      <c r="C364" s="187">
        <v>106984645.75</v>
      </c>
      <c r="D364" s="174"/>
      <c r="E364" s="174"/>
    </row>
    <row r="365" spans="1:5" ht="12.65" customHeight="1" x14ac:dyDescent="0.3">
      <c r="A365" s="172" t="s">
        <v>433</v>
      </c>
      <c r="B365" s="171" t="s">
        <v>256</v>
      </c>
      <c r="C365" s="187">
        <v>3658134.69</v>
      </c>
      <c r="D365" s="174"/>
      <c r="E365" s="174"/>
    </row>
    <row r="366" spans="1:5" ht="12.65" customHeight="1" x14ac:dyDescent="0.3">
      <c r="A366" s="172" t="s">
        <v>434</v>
      </c>
      <c r="B366" s="171" t="s">
        <v>256</v>
      </c>
      <c r="C366" s="187">
        <v>26659500</v>
      </c>
      <c r="D366" s="174"/>
      <c r="E366" s="174"/>
    </row>
    <row r="367" spans="1:5" ht="12.65" customHeight="1" x14ac:dyDescent="0.3">
      <c r="A367" s="172" t="s">
        <v>359</v>
      </c>
      <c r="B367" s="174"/>
      <c r="C367" s="189"/>
      <c r="D367" s="174">
        <f>SUM(C363:C366)</f>
        <v>141080280.44</v>
      </c>
      <c r="E367" s="174"/>
    </row>
    <row r="368" spans="1:5" ht="12.65" customHeight="1" x14ac:dyDescent="0.3">
      <c r="A368" s="172" t="s">
        <v>435</v>
      </c>
      <c r="B368" s="174"/>
      <c r="C368" s="189"/>
      <c r="D368" s="174">
        <f>D361-D367</f>
        <v>115055512.56</v>
      </c>
      <c r="E368" s="174"/>
    </row>
    <row r="369" spans="1:5" ht="12.65" customHeight="1" x14ac:dyDescent="0.3">
      <c r="A369" s="252" t="s">
        <v>436</v>
      </c>
      <c r="B369" s="252"/>
      <c r="C369" s="252"/>
      <c r="D369" s="252"/>
      <c r="E369" s="252"/>
    </row>
    <row r="370" spans="1:5" ht="12.65" customHeight="1" x14ac:dyDescent="0.3">
      <c r="A370" s="172" t="s">
        <v>437</v>
      </c>
      <c r="B370" s="171" t="s">
        <v>256</v>
      </c>
      <c r="C370" s="187">
        <v>15262648.530000001</v>
      </c>
      <c r="D370" s="174"/>
      <c r="E370" s="174"/>
    </row>
    <row r="371" spans="1:5" ht="12.65" customHeight="1" x14ac:dyDescent="0.3">
      <c r="A371" s="172" t="s">
        <v>438</v>
      </c>
      <c r="B371" s="171" t="s">
        <v>256</v>
      </c>
      <c r="C371" s="187">
        <v>0</v>
      </c>
      <c r="D371" s="174"/>
      <c r="E371" s="174"/>
    </row>
    <row r="372" spans="1:5" ht="12.65" customHeight="1" x14ac:dyDescent="0.3">
      <c r="A372" s="172" t="s">
        <v>439</v>
      </c>
      <c r="B372" s="174"/>
      <c r="C372" s="189"/>
      <c r="D372" s="174">
        <f>SUM(C370:C371)</f>
        <v>15262648.530000001</v>
      </c>
      <c r="E372" s="174"/>
    </row>
    <row r="373" spans="1:5" ht="12.65" customHeight="1" x14ac:dyDescent="0.3">
      <c r="A373" s="172" t="s">
        <v>440</v>
      </c>
      <c r="B373" s="174"/>
      <c r="C373" s="189"/>
      <c r="D373" s="174">
        <f>D368+D372</f>
        <v>130318161.09</v>
      </c>
      <c r="E373" s="174"/>
    </row>
    <row r="374" spans="1:5" ht="12.65" customHeight="1" x14ac:dyDescent="0.3">
      <c r="A374" s="172"/>
      <c r="B374" s="174"/>
      <c r="C374" s="189"/>
      <c r="D374" s="174"/>
      <c r="E374" s="174"/>
    </row>
    <row r="375" spans="1:5" ht="12.65" customHeight="1" x14ac:dyDescent="0.3">
      <c r="A375" s="172"/>
      <c r="B375" s="174"/>
      <c r="C375" s="189"/>
      <c r="D375" s="174"/>
      <c r="E375" s="174"/>
    </row>
    <row r="376" spans="1:5" ht="12.65" customHeight="1" x14ac:dyDescent="0.3">
      <c r="A376" s="172"/>
      <c r="B376" s="174"/>
      <c r="C376" s="189"/>
      <c r="D376" s="174"/>
      <c r="E376" s="174"/>
    </row>
    <row r="377" spans="1:5" ht="12.65" customHeight="1" x14ac:dyDescent="0.3">
      <c r="A377" s="252" t="s">
        <v>441</v>
      </c>
      <c r="B377" s="252"/>
      <c r="C377" s="252"/>
      <c r="D377" s="252"/>
      <c r="E377" s="252"/>
    </row>
    <row r="378" spans="1:5" ht="12.65" customHeight="1" x14ac:dyDescent="0.3">
      <c r="A378" s="172" t="s">
        <v>442</v>
      </c>
      <c r="B378" s="171" t="s">
        <v>256</v>
      </c>
      <c r="C378" s="187">
        <v>65363392</v>
      </c>
      <c r="D378" s="174"/>
      <c r="E378" s="174"/>
    </row>
    <row r="379" spans="1:5" ht="12.65" customHeight="1" x14ac:dyDescent="0.3">
      <c r="A379" s="172" t="s">
        <v>3</v>
      </c>
      <c r="B379" s="171" t="s">
        <v>256</v>
      </c>
      <c r="C379" s="187">
        <v>14751096</v>
      </c>
      <c r="D379" s="174"/>
      <c r="E379" s="174"/>
    </row>
    <row r="380" spans="1:5" ht="12.65" customHeight="1" x14ac:dyDescent="0.3">
      <c r="A380" s="172" t="s">
        <v>236</v>
      </c>
      <c r="B380" s="171" t="s">
        <v>256</v>
      </c>
      <c r="C380" s="187">
        <v>3034303</v>
      </c>
      <c r="D380" s="174"/>
      <c r="E380" s="174"/>
    </row>
    <row r="381" spans="1:5" ht="12.65" customHeight="1" x14ac:dyDescent="0.3">
      <c r="A381" s="172" t="s">
        <v>443</v>
      </c>
      <c r="B381" s="171" t="s">
        <v>256</v>
      </c>
      <c r="C381" s="187">
        <v>24818051</v>
      </c>
      <c r="D381" s="174"/>
      <c r="E381" s="174"/>
    </row>
    <row r="382" spans="1:5" ht="12.65" customHeight="1" x14ac:dyDescent="0.3">
      <c r="A382" s="172" t="s">
        <v>444</v>
      </c>
      <c r="B382" s="171" t="s">
        <v>256</v>
      </c>
      <c r="C382" s="187">
        <v>1201686</v>
      </c>
      <c r="D382" s="174"/>
      <c r="E382" s="174"/>
    </row>
    <row r="383" spans="1:5" ht="12.65" customHeight="1" x14ac:dyDescent="0.3">
      <c r="A383" s="172" t="s">
        <v>445</v>
      </c>
      <c r="B383" s="171" t="s">
        <v>256</v>
      </c>
      <c r="C383" s="187">
        <v>8330773</v>
      </c>
      <c r="D383" s="174"/>
      <c r="E383" s="174"/>
    </row>
    <row r="384" spans="1:5" ht="12.65" customHeight="1" x14ac:dyDescent="0.3">
      <c r="A384" s="172" t="s">
        <v>6</v>
      </c>
      <c r="B384" s="171" t="s">
        <v>256</v>
      </c>
      <c r="C384" s="187">
        <v>4814047.3</v>
      </c>
      <c r="D384" s="174"/>
      <c r="E384" s="174"/>
    </row>
    <row r="385" spans="1:6" ht="12.65" customHeight="1" x14ac:dyDescent="0.3">
      <c r="A385" s="172" t="s">
        <v>446</v>
      </c>
      <c r="B385" s="171" t="s">
        <v>256</v>
      </c>
      <c r="C385" s="187">
        <v>1616221</v>
      </c>
      <c r="D385" s="174"/>
      <c r="E385" s="174"/>
    </row>
    <row r="386" spans="1:6" ht="12.65" customHeight="1" x14ac:dyDescent="0.3">
      <c r="A386" s="172" t="s">
        <v>447</v>
      </c>
      <c r="B386" s="171" t="s">
        <v>256</v>
      </c>
      <c r="C386" s="187">
        <v>897783.02</v>
      </c>
      <c r="D386" s="174"/>
      <c r="E386" s="174"/>
    </row>
    <row r="387" spans="1:6" ht="12.65" customHeight="1" x14ac:dyDescent="0.3">
      <c r="A387" s="172" t="s">
        <v>448</v>
      </c>
      <c r="B387" s="171" t="s">
        <v>256</v>
      </c>
      <c r="C387" s="187">
        <v>749436.77</v>
      </c>
      <c r="D387" s="174"/>
      <c r="E387" s="174"/>
    </row>
    <row r="388" spans="1:6" ht="12.65" customHeight="1" x14ac:dyDescent="0.3">
      <c r="A388" s="172" t="s">
        <v>449</v>
      </c>
      <c r="B388" s="171" t="s">
        <v>256</v>
      </c>
      <c r="C388" s="187">
        <v>977279.25</v>
      </c>
      <c r="D388" s="174"/>
      <c r="E388" s="174"/>
    </row>
    <row r="389" spans="1:6" ht="12.65" customHeight="1" x14ac:dyDescent="0.3">
      <c r="A389" s="172" t="s">
        <v>451</v>
      </c>
      <c r="B389" s="171" t="s">
        <v>256</v>
      </c>
      <c r="C389" s="187">
        <v>3222117</v>
      </c>
      <c r="D389" s="174"/>
      <c r="E389" s="174"/>
    </row>
    <row r="390" spans="1:6" ht="12.65" customHeight="1" x14ac:dyDescent="0.3">
      <c r="A390" s="172" t="s">
        <v>452</v>
      </c>
      <c r="B390" s="174"/>
      <c r="C390" s="189"/>
      <c r="D390" s="174">
        <f>SUM(C378:C389)</f>
        <v>129776185.33999999</v>
      </c>
      <c r="E390" s="174"/>
    </row>
    <row r="391" spans="1:6" ht="12.65" customHeight="1" x14ac:dyDescent="0.3">
      <c r="A391" s="172" t="s">
        <v>453</v>
      </c>
      <c r="B391" s="174"/>
      <c r="C391" s="189"/>
      <c r="D391" s="174">
        <f>D373-D390</f>
        <v>541975.7500000149</v>
      </c>
      <c r="E391" s="174"/>
    </row>
    <row r="392" spans="1:6" ht="12.65" customHeight="1" x14ac:dyDescent="0.3">
      <c r="A392" s="172" t="s">
        <v>454</v>
      </c>
      <c r="B392" s="171" t="s">
        <v>256</v>
      </c>
      <c r="C392" s="187">
        <v>1008586</v>
      </c>
      <c r="D392" s="174"/>
      <c r="E392" s="174"/>
    </row>
    <row r="393" spans="1:6" ht="12.65" customHeight="1" x14ac:dyDescent="0.3">
      <c r="A393" s="172" t="s">
        <v>455</v>
      </c>
      <c r="B393" s="174"/>
      <c r="C393" s="189"/>
      <c r="D393" s="193">
        <f>D391+C392</f>
        <v>1550561.7500000149</v>
      </c>
      <c r="E393" s="174"/>
      <c r="F393" s="195"/>
    </row>
    <row r="394" spans="1:6" ht="12.65" customHeight="1" x14ac:dyDescent="0.3">
      <c r="A394" s="172" t="s">
        <v>456</v>
      </c>
      <c r="B394" s="171" t="s">
        <v>256</v>
      </c>
      <c r="C394" s="187"/>
      <c r="D394" s="174"/>
      <c r="E394" s="174"/>
    </row>
    <row r="395" spans="1:6" ht="12.65" customHeight="1" x14ac:dyDescent="0.3">
      <c r="A395" s="172" t="s">
        <v>457</v>
      </c>
      <c r="B395" s="171" t="s">
        <v>256</v>
      </c>
      <c r="C395" s="187"/>
      <c r="D395" s="174"/>
      <c r="E395" s="174"/>
    </row>
    <row r="396" spans="1:6" ht="12.65" customHeight="1" x14ac:dyDescent="0.3">
      <c r="A396" s="172" t="s">
        <v>458</v>
      </c>
      <c r="B396" s="174"/>
      <c r="C396" s="189"/>
      <c r="D396" s="174">
        <f>D393+C394-C395</f>
        <v>1550561.7500000149</v>
      </c>
      <c r="E396" s="174"/>
    </row>
    <row r="397" spans="1:6" ht="13.5" customHeight="1" x14ac:dyDescent="0.3">
      <c r="A397" s="178"/>
      <c r="B397" s="178"/>
    </row>
    <row r="398" spans="1:6" ht="12.65" customHeight="1" x14ac:dyDescent="0.3">
      <c r="A398" s="178"/>
      <c r="B398" s="178"/>
    </row>
    <row r="399" spans="1:6" ht="12.65" customHeight="1" x14ac:dyDescent="0.3">
      <c r="A399" s="178"/>
      <c r="B399" s="178"/>
    </row>
    <row r="400" spans="1:6" ht="12" customHeight="1" x14ac:dyDescent="0.3">
      <c r="A400" s="178"/>
      <c r="B400" s="178"/>
    </row>
    <row r="401" spans="1:5" ht="12" customHeight="1" x14ac:dyDescent="0.3">
      <c r="A401" s="178"/>
      <c r="B401" s="178"/>
    </row>
    <row r="402" spans="1:5" ht="12" customHeight="1" x14ac:dyDescent="0.3">
      <c r="A402" s="178"/>
      <c r="B402" s="178"/>
    </row>
    <row r="403" spans="1:5" ht="12" customHeight="1" x14ac:dyDescent="0.3">
      <c r="A403" s="178"/>
      <c r="B403" s="178"/>
    </row>
    <row r="404" spans="1:5" ht="12" customHeight="1" x14ac:dyDescent="0.3">
      <c r="A404" s="178"/>
      <c r="B404" s="178"/>
    </row>
    <row r="405" spans="1:5" ht="12.65" customHeight="1" x14ac:dyDescent="0.3">
      <c r="A405" s="178"/>
      <c r="B405" s="178"/>
    </row>
    <row r="406" spans="1:5" ht="12.65" customHeight="1" x14ac:dyDescent="0.3">
      <c r="A406" s="178"/>
      <c r="B406" s="178"/>
    </row>
    <row r="407" spans="1:5" ht="12.65" customHeight="1" x14ac:dyDescent="0.3">
      <c r="A407" s="178"/>
      <c r="B407" s="178"/>
    </row>
    <row r="408" spans="1:5" ht="12.65" customHeight="1" x14ac:dyDescent="0.3">
      <c r="A408" s="178"/>
      <c r="B408" s="178"/>
    </row>
    <row r="409" spans="1:5" ht="12.65" customHeight="1" x14ac:dyDescent="0.3">
      <c r="A409" s="178"/>
      <c r="B409" s="178"/>
    </row>
    <row r="410" spans="1:5" ht="12.65" customHeight="1" x14ac:dyDescent="0.3">
      <c r="A410" s="178"/>
      <c r="B410" s="178"/>
    </row>
    <row r="411" spans="1:5" ht="12.65" customHeight="1" x14ac:dyDescent="0.3">
      <c r="A411" s="178"/>
      <c r="B411" s="178"/>
      <c r="C411" s="180" t="s">
        <v>459</v>
      </c>
      <c r="D411" s="178"/>
      <c r="E411" s="255"/>
    </row>
    <row r="412" spans="1:5" ht="12.65" customHeight="1" x14ac:dyDescent="0.3">
      <c r="A412" s="178" t="str">
        <f>C84&amp;"   "&amp;"H-"&amp;FIXED(C83,0,TRUE)&amp;"     FYE "&amp;C82</f>
        <v>Jefferson County Public Hospital District No 2   H-0     FYE 12/31/2020</v>
      </c>
      <c r="B412" s="178"/>
      <c r="C412" s="178"/>
      <c r="D412" s="178"/>
      <c r="E412" s="255"/>
    </row>
    <row r="413" spans="1:5" ht="12.65" customHeight="1" x14ac:dyDescent="0.3">
      <c r="A413" s="178" t="s">
        <v>460</v>
      </c>
      <c r="B413" s="180" t="s">
        <v>461</v>
      </c>
      <c r="C413" s="180" t="s">
        <v>1242</v>
      </c>
      <c r="D413" s="180" t="s">
        <v>462</v>
      </c>
    </row>
    <row r="414" spans="1:5" ht="12.65" customHeight="1" x14ac:dyDescent="0.3">
      <c r="A414" s="178" t="s">
        <v>463</v>
      </c>
      <c r="B414" s="178">
        <f>C111</f>
        <v>975</v>
      </c>
      <c r="C414" s="192">
        <f>E138</f>
        <v>975</v>
      </c>
      <c r="D414" s="178"/>
    </row>
    <row r="415" spans="1:5" ht="12.65" customHeight="1" x14ac:dyDescent="0.3">
      <c r="A415" s="178" t="s">
        <v>464</v>
      </c>
      <c r="B415" s="178">
        <f>D111</f>
        <v>2851</v>
      </c>
      <c r="C415" s="178">
        <f>E139</f>
        <v>2851</v>
      </c>
      <c r="D415" s="192">
        <f>SUM(C59:H59)+N59</f>
        <v>3684</v>
      </c>
    </row>
    <row r="416" spans="1:5" ht="12.65" customHeight="1" x14ac:dyDescent="0.3">
      <c r="A416" s="178"/>
      <c r="B416" s="178"/>
      <c r="C416" s="192"/>
      <c r="D416" s="178"/>
    </row>
    <row r="417" spans="1:7" ht="12.65" customHeight="1" x14ac:dyDescent="0.3">
      <c r="A417" s="178" t="s">
        <v>465</v>
      </c>
      <c r="B417" s="178">
        <f>C112</f>
        <v>10</v>
      </c>
      <c r="C417" s="192">
        <f>E144</f>
        <v>10</v>
      </c>
      <c r="D417" s="178"/>
    </row>
    <row r="418" spans="1:7" ht="12.65" customHeight="1" x14ac:dyDescent="0.3">
      <c r="A418" s="178" t="s">
        <v>466</v>
      </c>
      <c r="B418" s="178">
        <f>D112</f>
        <v>152</v>
      </c>
      <c r="C418" s="178">
        <f>E145</f>
        <v>152</v>
      </c>
      <c r="D418" s="178">
        <f>K59+L59</f>
        <v>167</v>
      </c>
    </row>
    <row r="419" spans="1:7" ht="12.65" customHeight="1" x14ac:dyDescent="0.3">
      <c r="A419" s="178"/>
      <c r="B419" s="178"/>
      <c r="C419" s="192"/>
      <c r="D419" s="178"/>
    </row>
    <row r="420" spans="1:7" ht="12.65" customHeight="1" x14ac:dyDescent="0.3">
      <c r="A420" s="178" t="s">
        <v>467</v>
      </c>
      <c r="B420" s="178">
        <f>C113</f>
        <v>0</v>
      </c>
      <c r="C420" s="178">
        <f>E150</f>
        <v>0</v>
      </c>
      <c r="D420" s="178"/>
    </row>
    <row r="421" spans="1:7" ht="12.65" customHeight="1" x14ac:dyDescent="0.3">
      <c r="A421" s="178" t="s">
        <v>468</v>
      </c>
      <c r="B421" s="178">
        <f>D113</f>
        <v>0</v>
      </c>
      <c r="C421" s="178">
        <f>E151</f>
        <v>0</v>
      </c>
      <c r="D421" s="178">
        <f>I59</f>
        <v>0</v>
      </c>
    </row>
    <row r="422" spans="1:7" ht="12.65" customHeight="1" x14ac:dyDescent="0.3">
      <c r="A422" s="204"/>
      <c r="B422" s="204"/>
      <c r="C422" s="180"/>
      <c r="D422" s="178"/>
    </row>
    <row r="423" spans="1:7" ht="12.65" customHeight="1" x14ac:dyDescent="0.3">
      <c r="A423" s="179" t="s">
        <v>469</v>
      </c>
      <c r="B423" s="179">
        <f>C114</f>
        <v>88</v>
      </c>
    </row>
    <row r="424" spans="1:7" ht="12.65" customHeight="1" x14ac:dyDescent="0.3">
      <c r="A424" s="178" t="s">
        <v>1243</v>
      </c>
      <c r="B424" s="178">
        <f>D114</f>
        <v>197</v>
      </c>
      <c r="D424" s="178">
        <f>J59</f>
        <v>149</v>
      </c>
    </row>
    <row r="425" spans="1:7" ht="12.65" customHeight="1" x14ac:dyDescent="0.3">
      <c r="A425" s="204"/>
      <c r="B425" s="204"/>
      <c r="C425" s="204"/>
      <c r="D425" s="204"/>
      <c r="F425" s="204"/>
      <c r="G425" s="204"/>
    </row>
    <row r="426" spans="1:7" ht="12.65" customHeight="1" x14ac:dyDescent="0.3">
      <c r="A426" s="178" t="s">
        <v>470</v>
      </c>
      <c r="B426" s="180" t="s">
        <v>471</v>
      </c>
      <c r="C426" s="180" t="s">
        <v>462</v>
      </c>
      <c r="D426" s="180" t="s">
        <v>472</v>
      </c>
    </row>
    <row r="427" spans="1:7" ht="12.65" customHeight="1" x14ac:dyDescent="0.3">
      <c r="A427" s="178" t="s">
        <v>473</v>
      </c>
      <c r="B427" s="178">
        <f t="shared" ref="B427:B437" si="12">C378</f>
        <v>65363392</v>
      </c>
      <c r="C427" s="178">
        <f t="shared" ref="C427:C434" si="13">CE61</f>
        <v>65363392</v>
      </c>
      <c r="D427" s="178"/>
    </row>
    <row r="428" spans="1:7" ht="12.65" customHeight="1" x14ac:dyDescent="0.3">
      <c r="A428" s="178" t="s">
        <v>3</v>
      </c>
      <c r="B428" s="178">
        <f t="shared" si="12"/>
        <v>14751096</v>
      </c>
      <c r="C428" s="178">
        <f t="shared" si="13"/>
        <v>14751096</v>
      </c>
      <c r="D428" s="178">
        <f>D173</f>
        <v>14751096</v>
      </c>
    </row>
    <row r="429" spans="1:7" ht="12.65" customHeight="1" x14ac:dyDescent="0.3">
      <c r="A429" s="178" t="s">
        <v>236</v>
      </c>
      <c r="B429" s="178">
        <f t="shared" si="12"/>
        <v>3034303</v>
      </c>
      <c r="C429" s="178">
        <f t="shared" si="13"/>
        <v>3034303</v>
      </c>
      <c r="D429" s="178"/>
    </row>
    <row r="430" spans="1:7" ht="12.65" customHeight="1" x14ac:dyDescent="0.3">
      <c r="A430" s="178" t="s">
        <v>237</v>
      </c>
      <c r="B430" s="178">
        <f t="shared" si="12"/>
        <v>24818051</v>
      </c>
      <c r="C430" s="178">
        <f t="shared" si="13"/>
        <v>24818051</v>
      </c>
      <c r="D430" s="178"/>
    </row>
    <row r="431" spans="1:7" ht="12.65" customHeight="1" x14ac:dyDescent="0.3">
      <c r="A431" s="178" t="s">
        <v>444</v>
      </c>
      <c r="B431" s="178">
        <f t="shared" si="12"/>
        <v>1201686</v>
      </c>
      <c r="C431" s="178">
        <f t="shared" si="13"/>
        <v>1201686</v>
      </c>
      <c r="D431" s="178"/>
    </row>
    <row r="432" spans="1:7" ht="12.65" customHeight="1" x14ac:dyDescent="0.3">
      <c r="A432" s="178" t="s">
        <v>445</v>
      </c>
      <c r="B432" s="178">
        <f t="shared" si="12"/>
        <v>8330773</v>
      </c>
      <c r="C432" s="178">
        <f t="shared" si="13"/>
        <v>8330773</v>
      </c>
      <c r="D432" s="178"/>
    </row>
    <row r="433" spans="1:7" ht="12.65" customHeight="1" x14ac:dyDescent="0.3">
      <c r="A433" s="178" t="s">
        <v>6</v>
      </c>
      <c r="B433" s="178">
        <f t="shared" si="12"/>
        <v>4814047.3</v>
      </c>
      <c r="C433" s="178">
        <f t="shared" si="13"/>
        <v>3750571</v>
      </c>
      <c r="D433" s="178">
        <f>C217</f>
        <v>4759008</v>
      </c>
    </row>
    <row r="434" spans="1:7" ht="12.65" customHeight="1" x14ac:dyDescent="0.3">
      <c r="A434" s="178" t="s">
        <v>474</v>
      </c>
      <c r="B434" s="178">
        <f t="shared" si="12"/>
        <v>1616221</v>
      </c>
      <c r="C434" s="178">
        <f t="shared" si="13"/>
        <v>1616221</v>
      </c>
      <c r="D434" s="178">
        <f>D177</f>
        <v>1616221</v>
      </c>
    </row>
    <row r="435" spans="1:7" ht="12.65" customHeight="1" x14ac:dyDescent="0.3">
      <c r="A435" s="178" t="s">
        <v>447</v>
      </c>
      <c r="B435" s="178">
        <f t="shared" si="12"/>
        <v>897783.02</v>
      </c>
      <c r="C435" s="178"/>
      <c r="D435" s="178">
        <f>D181</f>
        <v>897784</v>
      </c>
    </row>
    <row r="436" spans="1:7" ht="12.65" customHeight="1" x14ac:dyDescent="0.3">
      <c r="A436" s="178" t="s">
        <v>475</v>
      </c>
      <c r="B436" s="178">
        <f t="shared" si="12"/>
        <v>749436.77</v>
      </c>
      <c r="C436" s="178"/>
      <c r="D436" s="178">
        <f>D186</f>
        <v>0</v>
      </c>
    </row>
    <row r="437" spans="1:7" ht="12.65" customHeight="1" x14ac:dyDescent="0.3">
      <c r="A437" s="192" t="s">
        <v>449</v>
      </c>
      <c r="B437" s="192">
        <f t="shared" si="12"/>
        <v>977279.25</v>
      </c>
      <c r="C437" s="192"/>
      <c r="D437" s="192">
        <f>D190</f>
        <v>960490</v>
      </c>
    </row>
    <row r="438" spans="1:7" ht="12.65" customHeight="1" x14ac:dyDescent="0.3">
      <c r="A438" s="192" t="s">
        <v>476</v>
      </c>
      <c r="B438" s="192">
        <f>C386+C387+C388</f>
        <v>2624499.04</v>
      </c>
      <c r="C438" s="192">
        <f>CD69</f>
        <v>0</v>
      </c>
      <c r="D438" s="192">
        <f>D181+D186+D190</f>
        <v>1858274</v>
      </c>
    </row>
    <row r="439" spans="1:7" ht="12.65" customHeight="1" x14ac:dyDescent="0.3">
      <c r="A439" s="178" t="s">
        <v>451</v>
      </c>
      <c r="B439" s="192">
        <f>C389</f>
        <v>3222117</v>
      </c>
      <c r="C439" s="192">
        <f>SUM(C69:CC69)</f>
        <v>2604154</v>
      </c>
      <c r="D439" s="178"/>
    </row>
    <row r="440" spans="1:7" ht="12.65" customHeight="1" x14ac:dyDescent="0.3">
      <c r="A440" s="178" t="s">
        <v>477</v>
      </c>
      <c r="B440" s="192">
        <f>B438+B439</f>
        <v>5846616.04</v>
      </c>
      <c r="C440" s="192">
        <f>CE69</f>
        <v>2604154</v>
      </c>
      <c r="D440" s="178"/>
    </row>
    <row r="441" spans="1:7" ht="12.65" customHeight="1" x14ac:dyDescent="0.3">
      <c r="A441" s="178" t="s">
        <v>478</v>
      </c>
      <c r="B441" s="178">
        <f>D390</f>
        <v>129776185.33999999</v>
      </c>
      <c r="C441" s="178">
        <f>SUM(C427:C437)+C440</f>
        <v>125470247</v>
      </c>
      <c r="D441" s="178"/>
    </row>
    <row r="442" spans="1:7" ht="12.65" customHeight="1" x14ac:dyDescent="0.3">
      <c r="A442" s="204"/>
      <c r="B442" s="204"/>
      <c r="C442" s="204"/>
      <c r="D442" s="204"/>
      <c r="F442" s="204"/>
      <c r="G442" s="204"/>
    </row>
    <row r="443" spans="1:7" ht="12.65" customHeight="1" x14ac:dyDescent="0.3">
      <c r="A443" s="178" t="s">
        <v>479</v>
      </c>
      <c r="B443" s="180" t="s">
        <v>480</v>
      </c>
      <c r="C443" s="180" t="s">
        <v>471</v>
      </c>
      <c r="D443" s="178"/>
    </row>
    <row r="444" spans="1:7" ht="12.65" customHeight="1" x14ac:dyDescent="0.3">
      <c r="A444" s="178" t="s">
        <v>1256</v>
      </c>
      <c r="B444" s="178">
        <f>D221</f>
        <v>3778000</v>
      </c>
      <c r="C444" s="178">
        <f>C363</f>
        <v>3778000</v>
      </c>
      <c r="D444" s="178"/>
    </row>
    <row r="445" spans="1:7" ht="12.65" customHeight="1" x14ac:dyDescent="0.3">
      <c r="A445" s="178" t="s">
        <v>343</v>
      </c>
      <c r="B445" s="178">
        <f>D229</f>
        <v>111052416</v>
      </c>
      <c r="C445" s="178">
        <f>C364</f>
        <v>106984645.75</v>
      </c>
      <c r="D445" s="178"/>
    </row>
    <row r="446" spans="1:7" ht="12.65" customHeight="1" x14ac:dyDescent="0.3">
      <c r="A446" s="178" t="s">
        <v>351</v>
      </c>
      <c r="B446" s="178">
        <f>D236</f>
        <v>3676567.8199999938</v>
      </c>
      <c r="C446" s="178">
        <f>C365</f>
        <v>3658134.69</v>
      </c>
      <c r="D446" s="178"/>
    </row>
    <row r="447" spans="1:7" ht="12.65" customHeight="1" x14ac:dyDescent="0.3">
      <c r="A447" s="178" t="s">
        <v>356</v>
      </c>
      <c r="B447" s="178">
        <f>D240</f>
        <v>22573297</v>
      </c>
      <c r="C447" s="178">
        <f>C366</f>
        <v>26659500</v>
      </c>
      <c r="D447" s="178"/>
    </row>
    <row r="448" spans="1:7" ht="12.65" customHeight="1" x14ac:dyDescent="0.3">
      <c r="A448" s="178" t="s">
        <v>358</v>
      </c>
      <c r="B448" s="178">
        <f>D242</f>
        <v>141080280.81999999</v>
      </c>
      <c r="C448" s="178">
        <f>D367</f>
        <v>141080280.44</v>
      </c>
      <c r="D448" s="178"/>
    </row>
    <row r="449" spans="1:7" ht="12.65" customHeight="1" x14ac:dyDescent="0.3">
      <c r="A449" s="204"/>
      <c r="B449" s="204"/>
      <c r="C449" s="204"/>
      <c r="D449" s="204"/>
      <c r="F449" s="204"/>
      <c r="G449" s="204"/>
    </row>
    <row r="450" spans="1:7" ht="12.65" customHeight="1" x14ac:dyDescent="0.3">
      <c r="A450" s="179" t="s">
        <v>481</v>
      </c>
      <c r="B450" s="180" t="s">
        <v>482</v>
      </c>
      <c r="C450" s="204"/>
      <c r="D450" s="204"/>
      <c r="F450" s="204"/>
      <c r="G450" s="204"/>
    </row>
    <row r="451" spans="1:7" ht="12.65" customHeight="1" x14ac:dyDescent="0.3">
      <c r="B451" s="180" t="s">
        <v>483</v>
      </c>
    </row>
    <row r="452" spans="1:7" ht="12.65" customHeight="1" x14ac:dyDescent="0.3">
      <c r="B452" s="180" t="s">
        <v>472</v>
      </c>
    </row>
    <row r="453" spans="1:7" ht="12.65" customHeight="1" x14ac:dyDescent="0.3">
      <c r="A453" s="197" t="s">
        <v>484</v>
      </c>
      <c r="B453" s="179">
        <f>C231</f>
        <v>1773</v>
      </c>
    </row>
    <row r="454" spans="1:7" ht="12.65" customHeight="1" x14ac:dyDescent="0.3">
      <c r="A454" s="178" t="s">
        <v>168</v>
      </c>
      <c r="B454" s="178">
        <f>C233</f>
        <v>336849</v>
      </c>
      <c r="C454" s="178"/>
      <c r="D454" s="178"/>
    </row>
    <row r="455" spans="1:7" ht="12.65" customHeight="1" x14ac:dyDescent="0.3">
      <c r="A455" s="178" t="s">
        <v>131</v>
      </c>
      <c r="B455" s="178">
        <f>C234</f>
        <v>3339718.8199999938</v>
      </c>
      <c r="C455" s="178"/>
      <c r="D455" s="178"/>
    </row>
    <row r="456" spans="1:7" ht="12.65" customHeight="1" x14ac:dyDescent="0.3">
      <c r="A456" s="204"/>
      <c r="B456" s="204"/>
      <c r="C456" s="204"/>
      <c r="D456" s="204"/>
      <c r="F456" s="204"/>
      <c r="G456" s="204"/>
    </row>
    <row r="457" spans="1:7" ht="12.65" customHeight="1" x14ac:dyDescent="0.3">
      <c r="A457" s="178" t="s">
        <v>485</v>
      </c>
      <c r="B457" s="180" t="s">
        <v>471</v>
      </c>
      <c r="C457" s="180" t="s">
        <v>486</v>
      </c>
      <c r="D457" s="178"/>
    </row>
    <row r="458" spans="1:7" ht="12.65" customHeight="1" x14ac:dyDescent="0.3">
      <c r="A458" s="178" t="s">
        <v>487</v>
      </c>
      <c r="B458" s="192">
        <f>C370</f>
        <v>15262648.530000001</v>
      </c>
      <c r="C458" s="192">
        <f>CE70</f>
        <v>5074779</v>
      </c>
      <c r="D458" s="192"/>
    </row>
    <row r="459" spans="1:7" ht="12.65" customHeight="1" x14ac:dyDescent="0.3">
      <c r="A459" s="178" t="s">
        <v>244</v>
      </c>
      <c r="B459" s="192">
        <f>C371</f>
        <v>0</v>
      </c>
      <c r="C459" s="192">
        <f>CE72</f>
        <v>484235</v>
      </c>
      <c r="D459" s="192"/>
    </row>
    <row r="460" spans="1:7" ht="12.65" customHeight="1" x14ac:dyDescent="0.3">
      <c r="A460" s="204"/>
      <c r="B460" s="204"/>
      <c r="C460" s="204"/>
      <c r="D460" s="204"/>
      <c r="F460" s="204"/>
      <c r="G460" s="204"/>
    </row>
    <row r="461" spans="1:7" ht="12.65" customHeight="1" x14ac:dyDescent="0.3">
      <c r="A461" s="178" t="s">
        <v>488</v>
      </c>
      <c r="B461" s="180"/>
      <c r="C461" s="180"/>
      <c r="D461" s="180" t="s">
        <v>1244</v>
      </c>
    </row>
    <row r="462" spans="1:7" ht="12.65" customHeight="1" x14ac:dyDescent="0.3">
      <c r="B462" s="180" t="s">
        <v>471</v>
      </c>
      <c r="C462" s="180" t="s">
        <v>486</v>
      </c>
      <c r="D462" s="180" t="s">
        <v>490</v>
      </c>
    </row>
    <row r="463" spans="1:7" ht="12.65" customHeight="1" x14ac:dyDescent="0.3">
      <c r="A463" s="178" t="s">
        <v>245</v>
      </c>
      <c r="B463" s="192">
        <f>C359</f>
        <v>36422817</v>
      </c>
      <c r="C463" s="192">
        <f>CE73</f>
        <v>36422574</v>
      </c>
      <c r="D463" s="192">
        <f>E141+E147+E153</f>
        <v>36645319</v>
      </c>
    </row>
    <row r="464" spans="1:7" ht="12.65" customHeight="1" x14ac:dyDescent="0.3">
      <c r="A464" s="178" t="s">
        <v>246</v>
      </c>
      <c r="B464" s="192">
        <f>C360</f>
        <v>219712976</v>
      </c>
      <c r="C464" s="192">
        <f>CE74</f>
        <v>219743676</v>
      </c>
      <c r="D464" s="192">
        <f>E142+E148+E154</f>
        <v>219520931</v>
      </c>
    </row>
    <row r="465" spans="1:7" ht="12.65" customHeight="1" x14ac:dyDescent="0.3">
      <c r="A465" s="178" t="s">
        <v>247</v>
      </c>
      <c r="B465" s="192">
        <f>D361</f>
        <v>256135793</v>
      </c>
      <c r="C465" s="192">
        <f>CE75</f>
        <v>256166250</v>
      </c>
      <c r="D465" s="192">
        <f>D463+D464</f>
        <v>256166250</v>
      </c>
    </row>
    <row r="466" spans="1:7" ht="12.65" customHeight="1" x14ac:dyDescent="0.3">
      <c r="A466" s="204"/>
      <c r="B466" s="204"/>
      <c r="C466" s="204"/>
      <c r="D466" s="204"/>
      <c r="F466" s="204"/>
      <c r="G466" s="204"/>
    </row>
    <row r="467" spans="1:7" ht="12.65" customHeight="1" x14ac:dyDescent="0.3">
      <c r="A467" s="178" t="s">
        <v>491</v>
      </c>
      <c r="B467" s="180" t="s">
        <v>492</v>
      </c>
      <c r="C467" s="180" t="s">
        <v>493</v>
      </c>
      <c r="D467" s="178"/>
    </row>
    <row r="468" spans="1:7" ht="12.65" customHeight="1" x14ac:dyDescent="0.3">
      <c r="A468" s="178" t="s">
        <v>332</v>
      </c>
      <c r="B468" s="178">
        <f t="shared" ref="B468:B475" si="14">C267</f>
        <v>1715331.19</v>
      </c>
      <c r="C468" s="178">
        <f>E195</f>
        <v>1715331.19</v>
      </c>
      <c r="D468" s="178"/>
    </row>
    <row r="469" spans="1:7" ht="12.65" customHeight="1" x14ac:dyDescent="0.3">
      <c r="A469" s="178" t="s">
        <v>333</v>
      </c>
      <c r="B469" s="178">
        <f t="shared" si="14"/>
        <v>4028158</v>
      </c>
      <c r="C469" s="178">
        <f>E196</f>
        <v>4028158</v>
      </c>
      <c r="D469" s="178"/>
    </row>
    <row r="470" spans="1:7" ht="12.65" customHeight="1" x14ac:dyDescent="0.3">
      <c r="A470" s="178" t="s">
        <v>334</v>
      </c>
      <c r="B470" s="178">
        <f t="shared" si="14"/>
        <v>40757243</v>
      </c>
      <c r="C470" s="178">
        <f>E197</f>
        <v>40757243</v>
      </c>
      <c r="D470" s="178"/>
    </row>
    <row r="471" spans="1:7" ht="12.65" customHeight="1" x14ac:dyDescent="0.3">
      <c r="A471" s="178" t="s">
        <v>494</v>
      </c>
      <c r="B471" s="178">
        <f t="shared" si="14"/>
        <v>0</v>
      </c>
      <c r="C471" s="178">
        <f>E198</f>
        <v>0</v>
      </c>
      <c r="D471" s="178"/>
    </row>
    <row r="472" spans="1:7" ht="12.65" customHeight="1" x14ac:dyDescent="0.3">
      <c r="A472" s="178" t="s">
        <v>377</v>
      </c>
      <c r="B472" s="178">
        <f t="shared" si="14"/>
        <v>0</v>
      </c>
      <c r="C472" s="178">
        <f>E199</f>
        <v>0</v>
      </c>
      <c r="D472" s="178"/>
    </row>
    <row r="473" spans="1:7" ht="12.65" customHeight="1" x14ac:dyDescent="0.3">
      <c r="A473" s="178" t="s">
        <v>495</v>
      </c>
      <c r="B473" s="178">
        <f t="shared" si="14"/>
        <v>41530304</v>
      </c>
      <c r="C473" s="178">
        <f>SUM(E200:E201)</f>
        <v>41530304</v>
      </c>
      <c r="D473" s="178"/>
    </row>
    <row r="474" spans="1:7" ht="12.65" customHeight="1" x14ac:dyDescent="0.3">
      <c r="A474" s="178" t="s">
        <v>339</v>
      </c>
      <c r="B474" s="178">
        <f t="shared" si="14"/>
        <v>0</v>
      </c>
      <c r="C474" s="178">
        <f>E202</f>
        <v>1361180</v>
      </c>
      <c r="D474" s="178"/>
    </row>
    <row r="475" spans="1:7" ht="12.65" customHeight="1" x14ac:dyDescent="0.3">
      <c r="A475" s="178" t="s">
        <v>340</v>
      </c>
      <c r="B475" s="178">
        <f t="shared" si="14"/>
        <v>1361180</v>
      </c>
      <c r="C475" s="178">
        <f>E203</f>
        <v>995243</v>
      </c>
      <c r="D475" s="178"/>
    </row>
    <row r="476" spans="1:7" ht="12.65" customHeight="1" x14ac:dyDescent="0.3">
      <c r="A476" s="178" t="s">
        <v>203</v>
      </c>
      <c r="B476" s="178">
        <f>D275</f>
        <v>89392216.189999998</v>
      </c>
      <c r="C476" s="178">
        <f>E204</f>
        <v>90387459.189999998</v>
      </c>
      <c r="D476" s="178"/>
    </row>
    <row r="477" spans="1:7" ht="12.65" customHeight="1" x14ac:dyDescent="0.3">
      <c r="A477" s="178"/>
      <c r="B477" s="178"/>
      <c r="C477" s="178"/>
      <c r="D477" s="178"/>
    </row>
    <row r="478" spans="1:7" ht="12.65" customHeight="1" x14ac:dyDescent="0.3">
      <c r="A478" s="178" t="s">
        <v>496</v>
      </c>
      <c r="B478" s="178">
        <f>C276</f>
        <v>49789137</v>
      </c>
      <c r="C478" s="178">
        <f>E217</f>
        <v>49789137</v>
      </c>
      <c r="D478" s="178"/>
    </row>
    <row r="480" spans="1:7" ht="12.65" customHeight="1" x14ac:dyDescent="0.3">
      <c r="A480" s="179" t="s">
        <v>497</v>
      </c>
    </row>
    <row r="481" spans="1:12" ht="12.65" customHeight="1" x14ac:dyDescent="0.3">
      <c r="A481" s="179" t="s">
        <v>498</v>
      </c>
      <c r="C481" s="179">
        <f>D341</f>
        <v>120373116.56</v>
      </c>
    </row>
    <row r="482" spans="1:12" ht="12.65" customHeight="1" x14ac:dyDescent="0.3">
      <c r="A482" s="179" t="s">
        <v>499</v>
      </c>
      <c r="C482" s="179">
        <f>D339</f>
        <v>121335794.5</v>
      </c>
    </row>
    <row r="485" spans="1:12" ht="12.65" customHeight="1" x14ac:dyDescent="0.3">
      <c r="A485" s="197" t="s">
        <v>500</v>
      </c>
    </row>
    <row r="486" spans="1:12" ht="12.65" customHeight="1" x14ac:dyDescent="0.3">
      <c r="A486" s="197" t="s">
        <v>501</v>
      </c>
    </row>
    <row r="487" spans="1:12" ht="12.65" customHeight="1" x14ac:dyDescent="0.3">
      <c r="A487" s="197" t="s">
        <v>502</v>
      </c>
    </row>
    <row r="488" spans="1:12" ht="12.65" customHeight="1" x14ac:dyDescent="0.3">
      <c r="A488" s="197"/>
    </row>
    <row r="489" spans="1:12" ht="12.65" customHeight="1" x14ac:dyDescent="0.3">
      <c r="A489" s="196" t="s">
        <v>503</v>
      </c>
    </row>
    <row r="490" spans="1:12" ht="12.65" customHeight="1" x14ac:dyDescent="0.3">
      <c r="A490" s="197" t="s">
        <v>504</v>
      </c>
    </row>
    <row r="491" spans="1:12" ht="12.65" customHeight="1" x14ac:dyDescent="0.3">
      <c r="A491" s="197"/>
    </row>
    <row r="493" spans="1:12" ht="12.65" customHeight="1" x14ac:dyDescent="0.3">
      <c r="A493" s="179" t="str">
        <f>C83</f>
        <v>085</v>
      </c>
      <c r="B493" s="256" t="str">
        <f>RIGHT('Prior Year'!C82,4)</f>
        <v>2019</v>
      </c>
      <c r="C493" s="256" t="str">
        <f>RIGHT(C82,4)</f>
        <v>2020</v>
      </c>
      <c r="D493" s="256" t="str">
        <f>RIGHT('Prior Year'!C82,4)</f>
        <v>2019</v>
      </c>
      <c r="E493" s="256" t="str">
        <f>RIGHT(C82,4)</f>
        <v>2020</v>
      </c>
      <c r="F493" s="256" t="str">
        <f>RIGHT('Prior Year'!C82,4)</f>
        <v>2019</v>
      </c>
      <c r="G493" s="256" t="str">
        <f>RIGHT(C82,4)</f>
        <v>2020</v>
      </c>
      <c r="H493" s="256"/>
      <c r="K493" s="256"/>
      <c r="L493" s="256"/>
    </row>
    <row r="494" spans="1:12" ht="12.65" customHeight="1" x14ac:dyDescent="0.3">
      <c r="A494" s="196"/>
      <c r="B494" s="180" t="s">
        <v>505</v>
      </c>
      <c r="C494" s="180" t="s">
        <v>505</v>
      </c>
      <c r="D494" s="257" t="s">
        <v>506</v>
      </c>
      <c r="E494" s="257" t="s">
        <v>506</v>
      </c>
      <c r="F494" s="256" t="s">
        <v>507</v>
      </c>
      <c r="G494" s="256" t="s">
        <v>507</v>
      </c>
      <c r="H494" s="256" t="s">
        <v>508</v>
      </c>
      <c r="K494" s="256"/>
      <c r="L494" s="256"/>
    </row>
    <row r="495" spans="1:12" ht="12.65" customHeight="1" x14ac:dyDescent="0.3">
      <c r="B495" s="180" t="s">
        <v>303</v>
      </c>
      <c r="C495" s="180" t="s">
        <v>303</v>
      </c>
      <c r="D495" s="180" t="s">
        <v>509</v>
      </c>
      <c r="E495" s="180" t="s">
        <v>509</v>
      </c>
      <c r="F495" s="256" t="s">
        <v>510</v>
      </c>
      <c r="G495" s="256" t="s">
        <v>510</v>
      </c>
      <c r="H495" s="256" t="s">
        <v>511</v>
      </c>
      <c r="K495" s="256"/>
      <c r="L495" s="256"/>
    </row>
    <row r="496" spans="1:12" ht="12.65" customHeight="1" x14ac:dyDescent="0.3">
      <c r="A496" s="179" t="s">
        <v>512</v>
      </c>
      <c r="B496" s="235">
        <f>'Prior Year'!C71</f>
        <v>1602597</v>
      </c>
      <c r="C496" s="235">
        <f>C71</f>
        <v>1339761</v>
      </c>
      <c r="D496" s="235">
        <f>'Prior Year'!C59</f>
        <v>263</v>
      </c>
      <c r="E496" s="179">
        <f>C59</f>
        <v>682</v>
      </c>
      <c r="F496" s="258">
        <f t="shared" ref="F496:G511" si="15">IF(B496=0,"",IF(D496=0,"",B496/D496))</f>
        <v>6093.5247148288972</v>
      </c>
      <c r="G496" s="259">
        <f t="shared" si="15"/>
        <v>1964.458944281525</v>
      </c>
      <c r="H496" s="260">
        <f>IF(B496=0,"",IF(C496=0,"",IF(D496=0,"",IF(E496=0,"",IF(G496/F496-1&lt;-0.25,G496/F496-1,IF(G496/F496-1&gt;0.25,G496/F496-1,""))))))</f>
        <v>-0.67761533164854226</v>
      </c>
      <c r="I496" s="262"/>
      <c r="K496" s="256"/>
      <c r="L496" s="256"/>
    </row>
    <row r="497" spans="1:12" ht="12.65" customHeight="1" x14ac:dyDescent="0.3">
      <c r="A497" s="179" t="s">
        <v>513</v>
      </c>
      <c r="B497" s="235">
        <f>'Prior Year'!D71</f>
        <v>0</v>
      </c>
      <c r="C497" s="235">
        <f>D71</f>
        <v>0</v>
      </c>
      <c r="D497" s="235">
        <f>'Prior Year'!D59</f>
        <v>0</v>
      </c>
      <c r="E497" s="179">
        <f>D59</f>
        <v>0</v>
      </c>
      <c r="F497" s="258" t="str">
        <f t="shared" si="15"/>
        <v/>
      </c>
      <c r="G497" s="258" t="str">
        <f t="shared" si="15"/>
        <v/>
      </c>
      <c r="H497" s="260" t="str">
        <f t="shared" ref="H497:H550" si="16">IF(B497=0,"",IF(C497=0,"",IF(D497=0,"",IF(E497=0,"",IF(G497/F497-1&lt;-0.25,G497/F497-1,IF(G497/F497-1&gt;0.25,G497/F497-1,""))))))</f>
        <v/>
      </c>
      <c r="I497" s="262"/>
      <c r="K497" s="256"/>
      <c r="L497" s="256"/>
    </row>
    <row r="498" spans="1:12" ht="12.65" customHeight="1" x14ac:dyDescent="0.3">
      <c r="A498" s="179" t="s">
        <v>514</v>
      </c>
      <c r="B498" s="235">
        <f>'Prior Year'!E71</f>
        <v>4120145</v>
      </c>
      <c r="C498" s="235">
        <f>E71</f>
        <v>4110844</v>
      </c>
      <c r="D498" s="235">
        <f>'Prior Year'!E59</f>
        <v>3864</v>
      </c>
      <c r="E498" s="179">
        <f>E59</f>
        <v>3002</v>
      </c>
      <c r="F498" s="258">
        <f t="shared" si="15"/>
        <v>1066.2901138716356</v>
      </c>
      <c r="G498" s="258">
        <f t="shared" si="15"/>
        <v>1369.3684210526317</v>
      </c>
      <c r="H498" s="260">
        <f t="shared" si="16"/>
        <v>0.28423625356567994</v>
      </c>
      <c r="I498" s="262"/>
      <c r="K498" s="256"/>
      <c r="L498" s="256"/>
    </row>
    <row r="499" spans="1:12" ht="12.65" customHeight="1" x14ac:dyDescent="0.3">
      <c r="A499" s="179" t="s">
        <v>515</v>
      </c>
      <c r="B499" s="235">
        <f>'Prior Year'!F71</f>
        <v>0</v>
      </c>
      <c r="C499" s="235">
        <f>F71</f>
        <v>0</v>
      </c>
      <c r="D499" s="235">
        <f>'Prior Year'!F59</f>
        <v>0</v>
      </c>
      <c r="E499" s="179">
        <f>F59</f>
        <v>0</v>
      </c>
      <c r="F499" s="258" t="str">
        <f t="shared" si="15"/>
        <v/>
      </c>
      <c r="G499" s="258" t="str">
        <f t="shared" si="15"/>
        <v/>
      </c>
      <c r="H499" s="260" t="str">
        <f t="shared" si="16"/>
        <v/>
      </c>
      <c r="I499" s="262"/>
      <c r="K499" s="256"/>
      <c r="L499" s="256"/>
    </row>
    <row r="500" spans="1:12" ht="12.65" customHeight="1" x14ac:dyDescent="0.3">
      <c r="A500" s="179" t="s">
        <v>516</v>
      </c>
      <c r="B500" s="235">
        <f>'Prior Year'!G71</f>
        <v>0</v>
      </c>
      <c r="C500" s="235">
        <f>G71</f>
        <v>0</v>
      </c>
      <c r="D500" s="235">
        <f>'Prior Year'!G59</f>
        <v>0</v>
      </c>
      <c r="E500" s="179">
        <f>G59</f>
        <v>0</v>
      </c>
      <c r="F500" s="258" t="str">
        <f t="shared" si="15"/>
        <v/>
      </c>
      <c r="G500" s="258" t="str">
        <f t="shared" si="15"/>
        <v/>
      </c>
      <c r="H500" s="260" t="str">
        <f t="shared" si="16"/>
        <v/>
      </c>
      <c r="I500" s="262"/>
      <c r="K500" s="256"/>
      <c r="L500" s="256"/>
    </row>
    <row r="501" spans="1:12" ht="12.65" customHeight="1" x14ac:dyDescent="0.3">
      <c r="A501" s="179" t="s">
        <v>517</v>
      </c>
      <c r="B501" s="235">
        <f>'Prior Year'!H71</f>
        <v>0</v>
      </c>
      <c r="C501" s="235">
        <f>H71</f>
        <v>0</v>
      </c>
      <c r="D501" s="235">
        <f>'Prior Year'!H59</f>
        <v>0</v>
      </c>
      <c r="E501" s="179">
        <f>H59</f>
        <v>0</v>
      </c>
      <c r="F501" s="258" t="str">
        <f t="shared" si="15"/>
        <v/>
      </c>
      <c r="G501" s="258" t="str">
        <f t="shared" si="15"/>
        <v/>
      </c>
      <c r="H501" s="260" t="str">
        <f t="shared" si="16"/>
        <v/>
      </c>
      <c r="I501" s="262"/>
      <c r="K501" s="256"/>
      <c r="L501" s="256"/>
    </row>
    <row r="502" spans="1:12" ht="12.65" customHeight="1" x14ac:dyDescent="0.3">
      <c r="A502" s="179" t="s">
        <v>518</v>
      </c>
      <c r="B502" s="235">
        <f>'Prior Year'!I71</f>
        <v>0</v>
      </c>
      <c r="C502" s="235">
        <f>I71</f>
        <v>0</v>
      </c>
      <c r="D502" s="235">
        <f>'Prior Year'!I59</f>
        <v>0</v>
      </c>
      <c r="E502" s="179">
        <f>I59</f>
        <v>0</v>
      </c>
      <c r="F502" s="258" t="str">
        <f t="shared" si="15"/>
        <v/>
      </c>
      <c r="G502" s="258" t="str">
        <f t="shared" si="15"/>
        <v/>
      </c>
      <c r="H502" s="260" t="str">
        <f t="shared" si="16"/>
        <v/>
      </c>
      <c r="I502" s="262"/>
      <c r="K502" s="256"/>
      <c r="L502" s="256"/>
    </row>
    <row r="503" spans="1:12" ht="12.65" customHeight="1" x14ac:dyDescent="0.3">
      <c r="A503" s="179" t="s">
        <v>519</v>
      </c>
      <c r="B503" s="235">
        <f>'Prior Year'!J71</f>
        <v>1797</v>
      </c>
      <c r="C503" s="235">
        <f>J71</f>
        <v>1946</v>
      </c>
      <c r="D503" s="235">
        <f>'Prior Year'!J59</f>
        <v>238</v>
      </c>
      <c r="E503" s="179">
        <f>J59</f>
        <v>149</v>
      </c>
      <c r="F503" s="258">
        <f t="shared" si="15"/>
        <v>7.5504201680672267</v>
      </c>
      <c r="G503" s="258">
        <f t="shared" si="15"/>
        <v>13.060402684563758</v>
      </c>
      <c r="H503" s="260">
        <f t="shared" si="16"/>
        <v>0.72975839673131593</v>
      </c>
      <c r="I503" s="262"/>
      <c r="K503" s="256"/>
      <c r="L503" s="256"/>
    </row>
    <row r="504" spans="1:12" ht="12.65" customHeight="1" x14ac:dyDescent="0.3">
      <c r="A504" s="179" t="s">
        <v>520</v>
      </c>
      <c r="B504" s="235">
        <f>'Prior Year'!K71</f>
        <v>0</v>
      </c>
      <c r="C504" s="235">
        <f>K71</f>
        <v>0</v>
      </c>
      <c r="D504" s="235">
        <f>'Prior Year'!K59</f>
        <v>0</v>
      </c>
      <c r="E504" s="179">
        <f>K59</f>
        <v>0</v>
      </c>
      <c r="F504" s="258" t="str">
        <f t="shared" si="15"/>
        <v/>
      </c>
      <c r="G504" s="258" t="str">
        <f t="shared" si="15"/>
        <v/>
      </c>
      <c r="H504" s="260" t="str">
        <f t="shared" si="16"/>
        <v/>
      </c>
      <c r="I504" s="262"/>
      <c r="K504" s="256"/>
      <c r="L504" s="256"/>
    </row>
    <row r="505" spans="1:12" ht="12.65" customHeight="1" x14ac:dyDescent="0.3">
      <c r="A505" s="179" t="s">
        <v>521</v>
      </c>
      <c r="B505" s="235">
        <f>'Prior Year'!L71</f>
        <v>45870</v>
      </c>
      <c r="C505" s="235">
        <f>L71</f>
        <v>49429</v>
      </c>
      <c r="D505" s="235">
        <f>'Prior Year'!L59</f>
        <v>188</v>
      </c>
      <c r="E505" s="179">
        <f>L59</f>
        <v>167</v>
      </c>
      <c r="F505" s="258">
        <f t="shared" si="15"/>
        <v>243.98936170212767</v>
      </c>
      <c r="G505" s="258">
        <f t="shared" si="15"/>
        <v>295.98203592814372</v>
      </c>
      <c r="H505" s="260" t="str">
        <f t="shared" si="16"/>
        <v/>
      </c>
      <c r="I505" s="262"/>
      <c r="K505" s="256"/>
      <c r="L505" s="256"/>
    </row>
    <row r="506" spans="1:12" ht="12.65" customHeight="1" x14ac:dyDescent="0.3">
      <c r="A506" s="179" t="s">
        <v>522</v>
      </c>
      <c r="B506" s="235">
        <f>'Prior Year'!M71</f>
        <v>0</v>
      </c>
      <c r="C506" s="235">
        <f>M71</f>
        <v>0</v>
      </c>
      <c r="D506" s="235">
        <f>'Prior Year'!M59</f>
        <v>0</v>
      </c>
      <c r="E506" s="179">
        <f>M59</f>
        <v>0</v>
      </c>
      <c r="F506" s="258" t="str">
        <f t="shared" si="15"/>
        <v/>
      </c>
      <c r="G506" s="258" t="str">
        <f t="shared" si="15"/>
        <v/>
      </c>
      <c r="H506" s="260" t="str">
        <f t="shared" si="16"/>
        <v/>
      </c>
      <c r="I506" s="262"/>
      <c r="K506" s="256"/>
      <c r="L506" s="256"/>
    </row>
    <row r="507" spans="1:12" ht="12.65" customHeight="1" x14ac:dyDescent="0.3">
      <c r="A507" s="179" t="s">
        <v>523</v>
      </c>
      <c r="B507" s="235">
        <f>'Prior Year'!N71</f>
        <v>2336577</v>
      </c>
      <c r="C507" s="235">
        <f>N71</f>
        <v>2504170</v>
      </c>
      <c r="D507" s="235">
        <f>'Prior Year'!N59</f>
        <v>0</v>
      </c>
      <c r="E507" s="179">
        <f>N59</f>
        <v>0</v>
      </c>
      <c r="F507" s="258" t="str">
        <f t="shared" si="15"/>
        <v/>
      </c>
      <c r="G507" s="258" t="str">
        <f t="shared" si="15"/>
        <v/>
      </c>
      <c r="H507" s="260" t="str">
        <f t="shared" si="16"/>
        <v/>
      </c>
      <c r="I507" s="262"/>
      <c r="K507" s="256"/>
      <c r="L507" s="256"/>
    </row>
    <row r="508" spans="1:12" ht="12.65" customHeight="1" x14ac:dyDescent="0.3">
      <c r="A508" s="179" t="s">
        <v>524</v>
      </c>
      <c r="B508" s="235">
        <f>'Prior Year'!O71</f>
        <v>1523217</v>
      </c>
      <c r="C508" s="235">
        <f>O71</f>
        <v>1528693</v>
      </c>
      <c r="D508" s="235">
        <f>'Prior Year'!O59</f>
        <v>112</v>
      </c>
      <c r="E508" s="179">
        <f>O59</f>
        <v>88</v>
      </c>
      <c r="F508" s="258">
        <f t="shared" si="15"/>
        <v>13600.151785714286</v>
      </c>
      <c r="G508" s="258">
        <f t="shared" si="15"/>
        <v>17371.511363636364</v>
      </c>
      <c r="H508" s="260">
        <f t="shared" si="16"/>
        <v>0.27730275642096469</v>
      </c>
      <c r="I508" s="262"/>
      <c r="K508" s="256"/>
      <c r="L508" s="256"/>
    </row>
    <row r="509" spans="1:12" ht="12.65" customHeight="1" x14ac:dyDescent="0.3">
      <c r="A509" s="179" t="s">
        <v>525</v>
      </c>
      <c r="B509" s="235">
        <f>'Prior Year'!P71</f>
        <v>4117300</v>
      </c>
      <c r="C509" s="235">
        <f>P71</f>
        <v>3930788</v>
      </c>
      <c r="D509" s="235">
        <f>'Prior Year'!P59</f>
        <v>174972</v>
      </c>
      <c r="E509" s="179">
        <f>P59</f>
        <v>164548</v>
      </c>
      <c r="F509" s="258">
        <f t="shared" si="15"/>
        <v>23.531193562398556</v>
      </c>
      <c r="G509" s="258">
        <f t="shared" si="15"/>
        <v>23.888397306561004</v>
      </c>
      <c r="H509" s="260" t="str">
        <f t="shared" si="16"/>
        <v/>
      </c>
      <c r="I509" s="262"/>
      <c r="K509" s="256"/>
      <c r="L509" s="256"/>
    </row>
    <row r="510" spans="1:12" ht="12.65" customHeight="1" x14ac:dyDescent="0.3">
      <c r="A510" s="179" t="s">
        <v>526</v>
      </c>
      <c r="B510" s="235">
        <f>'Prior Year'!Q71</f>
        <v>66165</v>
      </c>
      <c r="C510" s="235">
        <f>Q71</f>
        <v>26882</v>
      </c>
      <c r="D510" s="235">
        <f>'Prior Year'!Q59</f>
        <v>37402</v>
      </c>
      <c r="E510" s="179">
        <f>Q59</f>
        <v>36379</v>
      </c>
      <c r="F510" s="258">
        <f t="shared" si="15"/>
        <v>1.7690230468958879</v>
      </c>
      <c r="G510" s="258">
        <f t="shared" si="15"/>
        <v>0.73894279666840756</v>
      </c>
      <c r="H510" s="260">
        <f t="shared" si="16"/>
        <v>-0.58228763725547072</v>
      </c>
      <c r="I510" s="262"/>
      <c r="K510" s="256"/>
      <c r="L510" s="256"/>
    </row>
    <row r="511" spans="1:12" ht="12.65" customHeight="1" x14ac:dyDescent="0.3">
      <c r="A511" s="179" t="s">
        <v>527</v>
      </c>
      <c r="B511" s="235">
        <f>'Prior Year'!R71</f>
        <v>1509489</v>
      </c>
      <c r="C511" s="235">
        <f>R71</f>
        <v>1644045</v>
      </c>
      <c r="D511" s="235">
        <f>'Prior Year'!R59</f>
        <v>173729</v>
      </c>
      <c r="E511" s="179">
        <f>R59</f>
        <v>166554</v>
      </c>
      <c r="F511" s="258">
        <f t="shared" si="15"/>
        <v>8.6887566267002061</v>
      </c>
      <c r="G511" s="258">
        <f t="shared" si="15"/>
        <v>9.8709427573039381</v>
      </c>
      <c r="H511" s="260" t="str">
        <f t="shared" si="16"/>
        <v/>
      </c>
      <c r="I511" s="262"/>
      <c r="K511" s="256"/>
      <c r="L511" s="256"/>
    </row>
    <row r="512" spans="1:12" ht="12.65" customHeight="1" x14ac:dyDescent="0.3">
      <c r="A512" s="179" t="s">
        <v>528</v>
      </c>
      <c r="B512" s="235">
        <f>'Prior Year'!S71</f>
        <v>1927429</v>
      </c>
      <c r="C512" s="235">
        <f>S71</f>
        <v>1782556</v>
      </c>
      <c r="D512" s="180" t="s">
        <v>529</v>
      </c>
      <c r="E512" s="180" t="s">
        <v>529</v>
      </c>
      <c r="F512" s="258" t="str">
        <f t="shared" ref="F512:G527" si="17">IF(B512=0,"",IF(D512=0,"",B512/D512))</f>
        <v/>
      </c>
      <c r="G512" s="258" t="str">
        <f t="shared" si="17"/>
        <v/>
      </c>
      <c r="H512" s="260" t="str">
        <f t="shared" si="16"/>
        <v/>
      </c>
      <c r="I512" s="262"/>
      <c r="K512" s="256"/>
      <c r="L512" s="256"/>
    </row>
    <row r="513" spans="1:12" ht="12.65" customHeight="1" x14ac:dyDescent="0.3">
      <c r="A513" s="179" t="s">
        <v>1245</v>
      </c>
      <c r="B513" s="235">
        <f>'Prior Year'!T71</f>
        <v>0</v>
      </c>
      <c r="C513" s="235">
        <f>T71</f>
        <v>0</v>
      </c>
      <c r="D513" s="180" t="s">
        <v>529</v>
      </c>
      <c r="E513" s="180" t="s">
        <v>529</v>
      </c>
      <c r="F513" s="258" t="str">
        <f t="shared" si="17"/>
        <v/>
      </c>
      <c r="G513" s="258" t="str">
        <f t="shared" si="17"/>
        <v/>
      </c>
      <c r="H513" s="260" t="str">
        <f t="shared" si="16"/>
        <v/>
      </c>
      <c r="I513" s="262"/>
      <c r="K513" s="256"/>
      <c r="L513" s="256"/>
    </row>
    <row r="514" spans="1:12" ht="12.65" customHeight="1" x14ac:dyDescent="0.3">
      <c r="A514" s="179" t="s">
        <v>530</v>
      </c>
      <c r="B514" s="235">
        <f>'Prior Year'!U71</f>
        <v>4880091</v>
      </c>
      <c r="C514" s="235">
        <f>U71</f>
        <v>6341944</v>
      </c>
      <c r="D514" s="235">
        <f>'Prior Year'!U59</f>
        <v>221752</v>
      </c>
      <c r="E514" s="179">
        <f>U59</f>
        <v>223520</v>
      </c>
      <c r="F514" s="258">
        <f t="shared" si="17"/>
        <v>22.006976261769903</v>
      </c>
      <c r="G514" s="258">
        <f t="shared" si="17"/>
        <v>28.37304939155333</v>
      </c>
      <c r="H514" s="260">
        <f t="shared" si="16"/>
        <v>0.28927523045691861</v>
      </c>
      <c r="I514" s="262"/>
      <c r="K514" s="256"/>
      <c r="L514" s="256"/>
    </row>
    <row r="515" spans="1:12" ht="12.65" customHeight="1" x14ac:dyDescent="0.3">
      <c r="A515" s="179" t="s">
        <v>531</v>
      </c>
      <c r="B515" s="235">
        <f>'Prior Year'!V71</f>
        <v>0</v>
      </c>
      <c r="C515" s="235">
        <f>V71</f>
        <v>0</v>
      </c>
      <c r="D515" s="235">
        <f>'Prior Year'!V59</f>
        <v>1223</v>
      </c>
      <c r="E515" s="179">
        <f>V59</f>
        <v>983</v>
      </c>
      <c r="F515" s="258" t="str">
        <f t="shared" si="17"/>
        <v/>
      </c>
      <c r="G515" s="258" t="str">
        <f t="shared" si="17"/>
        <v/>
      </c>
      <c r="H515" s="260" t="str">
        <f t="shared" si="16"/>
        <v/>
      </c>
      <c r="I515" s="262"/>
      <c r="K515" s="256"/>
      <c r="L515" s="256"/>
    </row>
    <row r="516" spans="1:12" ht="12.65" customHeight="1" x14ac:dyDescent="0.3">
      <c r="A516" s="179" t="s">
        <v>532</v>
      </c>
      <c r="B516" s="235">
        <f>'Prior Year'!W71</f>
        <v>622375</v>
      </c>
      <c r="C516" s="235">
        <f>W71</f>
        <v>663478</v>
      </c>
      <c r="D516" s="235">
        <f>'Prior Year'!W59</f>
        <v>2246</v>
      </c>
      <c r="E516" s="179">
        <f>W59</f>
        <v>2147</v>
      </c>
      <c r="F516" s="258">
        <f t="shared" si="17"/>
        <v>277.10373998219058</v>
      </c>
      <c r="G516" s="258">
        <f t="shared" si="17"/>
        <v>309.02561714019561</v>
      </c>
      <c r="H516" s="260" t="str">
        <f t="shared" si="16"/>
        <v/>
      </c>
      <c r="I516" s="262"/>
      <c r="K516" s="256"/>
      <c r="L516" s="256"/>
    </row>
    <row r="517" spans="1:12" ht="12.65" customHeight="1" x14ac:dyDescent="0.3">
      <c r="A517" s="179" t="s">
        <v>533</v>
      </c>
      <c r="B517" s="235">
        <f>'Prior Year'!X71</f>
        <v>435563</v>
      </c>
      <c r="C517" s="235">
        <f>X71</f>
        <v>360653</v>
      </c>
      <c r="D517" s="235">
        <f>'Prior Year'!X59</f>
        <v>5720</v>
      </c>
      <c r="E517" s="179">
        <f>X59</f>
        <v>5555</v>
      </c>
      <c r="F517" s="258">
        <f t="shared" si="17"/>
        <v>76.147377622377618</v>
      </c>
      <c r="G517" s="258">
        <f t="shared" si="17"/>
        <v>64.924032403240318</v>
      </c>
      <c r="H517" s="260" t="str">
        <f t="shared" si="16"/>
        <v/>
      </c>
      <c r="I517" s="262"/>
      <c r="K517" s="256"/>
      <c r="L517" s="256"/>
    </row>
    <row r="518" spans="1:12" ht="12.65" customHeight="1" x14ac:dyDescent="0.3">
      <c r="A518" s="179" t="s">
        <v>534</v>
      </c>
      <c r="B518" s="235">
        <f>'Prior Year'!Y71</f>
        <v>2702972</v>
      </c>
      <c r="C518" s="235">
        <f>Y71</f>
        <v>2756902</v>
      </c>
      <c r="D518" s="235">
        <f>'Prior Year'!Y59</f>
        <v>17752</v>
      </c>
      <c r="E518" s="179">
        <f>Y59</f>
        <v>16265</v>
      </c>
      <c r="F518" s="258">
        <f t="shared" si="17"/>
        <v>152.2629562866156</v>
      </c>
      <c r="G518" s="258">
        <f t="shared" si="17"/>
        <v>169.49904703350754</v>
      </c>
      <c r="H518" s="260" t="str">
        <f t="shared" si="16"/>
        <v/>
      </c>
      <c r="I518" s="262"/>
      <c r="K518" s="256"/>
      <c r="L518" s="256"/>
    </row>
    <row r="519" spans="1:12" ht="12.65" customHeight="1" x14ac:dyDescent="0.3">
      <c r="A519" s="179" t="s">
        <v>535</v>
      </c>
      <c r="B519" s="235">
        <f>'Prior Year'!Z71</f>
        <v>0</v>
      </c>
      <c r="C519" s="235">
        <f>Z71</f>
        <v>0</v>
      </c>
      <c r="D519" s="235">
        <f>'Prior Year'!Z59</f>
        <v>0</v>
      </c>
      <c r="E519" s="179">
        <f>Z59</f>
        <v>0</v>
      </c>
      <c r="F519" s="258" t="str">
        <f t="shared" si="17"/>
        <v/>
      </c>
      <c r="G519" s="258" t="str">
        <f t="shared" si="17"/>
        <v/>
      </c>
      <c r="H519" s="260" t="str">
        <f t="shared" si="16"/>
        <v/>
      </c>
      <c r="I519" s="262"/>
      <c r="K519" s="256"/>
      <c r="L519" s="256"/>
    </row>
    <row r="520" spans="1:12" ht="12.65" customHeight="1" x14ac:dyDescent="0.3">
      <c r="A520" s="179" t="s">
        <v>536</v>
      </c>
      <c r="B520" s="235">
        <f>'Prior Year'!AA71</f>
        <v>287027</v>
      </c>
      <c r="C520" s="235">
        <f>AA71</f>
        <v>272776</v>
      </c>
      <c r="D520" s="235">
        <f>'Prior Year'!AA59</f>
        <v>436</v>
      </c>
      <c r="E520" s="179">
        <f>AA59</f>
        <v>446</v>
      </c>
      <c r="F520" s="258">
        <f t="shared" si="17"/>
        <v>658.31880733944956</v>
      </c>
      <c r="G520" s="258">
        <f t="shared" si="17"/>
        <v>611.60538116591931</v>
      </c>
      <c r="H520" s="260" t="str">
        <f t="shared" si="16"/>
        <v/>
      </c>
      <c r="I520" s="262"/>
      <c r="K520" s="256"/>
      <c r="L520" s="256"/>
    </row>
    <row r="521" spans="1:12" ht="12.65" customHeight="1" x14ac:dyDescent="0.3">
      <c r="A521" s="179" t="s">
        <v>537</v>
      </c>
      <c r="B521" s="235">
        <f>'Prior Year'!AB71</f>
        <v>16135833</v>
      </c>
      <c r="C521" s="235">
        <f>AB71</f>
        <v>13996738</v>
      </c>
      <c r="D521" s="180" t="s">
        <v>529</v>
      </c>
      <c r="E521" s="180" t="s">
        <v>529</v>
      </c>
      <c r="F521" s="258" t="str">
        <f t="shared" si="17"/>
        <v/>
      </c>
      <c r="G521" s="258" t="str">
        <f t="shared" si="17"/>
        <v/>
      </c>
      <c r="H521" s="260" t="str">
        <f t="shared" si="16"/>
        <v/>
      </c>
      <c r="I521" s="262"/>
      <c r="K521" s="256"/>
      <c r="L521" s="256"/>
    </row>
    <row r="522" spans="1:12" ht="12.65" customHeight="1" x14ac:dyDescent="0.3">
      <c r="A522" s="179" t="s">
        <v>538</v>
      </c>
      <c r="B522" s="235">
        <f>'Prior Year'!AC71</f>
        <v>1083157</v>
      </c>
      <c r="C522" s="235">
        <f>AC71</f>
        <v>1123699</v>
      </c>
      <c r="D522" s="235">
        <f>'Prior Year'!AC59</f>
        <v>42603</v>
      </c>
      <c r="E522" s="179">
        <f>AC59</f>
        <v>28724</v>
      </c>
      <c r="F522" s="258">
        <f t="shared" si="17"/>
        <v>25.424430204445695</v>
      </c>
      <c r="G522" s="258">
        <f t="shared" si="17"/>
        <v>39.120561203175043</v>
      </c>
      <c r="H522" s="260">
        <f t="shared" si="16"/>
        <v>0.5386996242824138</v>
      </c>
      <c r="I522" s="262"/>
      <c r="K522" s="256"/>
      <c r="L522" s="256"/>
    </row>
    <row r="523" spans="1:12" ht="12.65" customHeight="1" x14ac:dyDescent="0.3">
      <c r="A523" s="179" t="s">
        <v>539</v>
      </c>
      <c r="B523" s="235">
        <f>'Prior Year'!AD71</f>
        <v>0</v>
      </c>
      <c r="C523" s="235">
        <f>AD71</f>
        <v>0</v>
      </c>
      <c r="D523" s="235">
        <f>'Prior Year'!AD59</f>
        <v>0</v>
      </c>
      <c r="E523" s="179">
        <f>AD59</f>
        <v>0</v>
      </c>
      <c r="F523" s="258" t="str">
        <f t="shared" si="17"/>
        <v/>
      </c>
      <c r="G523" s="258" t="str">
        <f t="shared" si="17"/>
        <v/>
      </c>
      <c r="H523" s="260" t="str">
        <f t="shared" si="16"/>
        <v/>
      </c>
      <c r="I523" s="262"/>
      <c r="K523" s="256"/>
      <c r="L523" s="256"/>
    </row>
    <row r="524" spans="1:12" ht="12.65" customHeight="1" x14ac:dyDescent="0.3">
      <c r="A524" s="179" t="s">
        <v>540</v>
      </c>
      <c r="B524" s="235">
        <f>'Prior Year'!AE71</f>
        <v>3899632</v>
      </c>
      <c r="C524" s="235">
        <f>AE71</f>
        <v>3626164</v>
      </c>
      <c r="D524" s="235">
        <f>'Prior Year'!AE59</f>
        <v>98895</v>
      </c>
      <c r="E524" s="179">
        <f>AE59</f>
        <v>75498</v>
      </c>
      <c r="F524" s="258">
        <f t="shared" si="17"/>
        <v>39.432044087163156</v>
      </c>
      <c r="G524" s="258">
        <f t="shared" si="17"/>
        <v>48.029934567803117</v>
      </c>
      <c r="H524" s="260" t="str">
        <f t="shared" si="16"/>
        <v/>
      </c>
      <c r="I524" s="262"/>
      <c r="K524" s="256"/>
      <c r="L524" s="256"/>
    </row>
    <row r="525" spans="1:12" ht="12.65" customHeight="1" x14ac:dyDescent="0.3">
      <c r="A525" s="179" t="s">
        <v>541</v>
      </c>
      <c r="B525" s="235">
        <f>'Prior Year'!AF71</f>
        <v>0</v>
      </c>
      <c r="C525" s="235">
        <f>AF71</f>
        <v>0</v>
      </c>
      <c r="D525" s="235">
        <f>'Prior Year'!AF59</f>
        <v>0</v>
      </c>
      <c r="E525" s="179">
        <f>AF59</f>
        <v>0</v>
      </c>
      <c r="F525" s="258" t="str">
        <f t="shared" si="17"/>
        <v/>
      </c>
      <c r="G525" s="258" t="str">
        <f t="shared" si="17"/>
        <v/>
      </c>
      <c r="H525" s="260" t="str">
        <f t="shared" si="16"/>
        <v/>
      </c>
      <c r="I525" s="262"/>
      <c r="K525" s="256"/>
      <c r="L525" s="256"/>
    </row>
    <row r="526" spans="1:12" ht="12.65" customHeight="1" x14ac:dyDescent="0.3">
      <c r="A526" s="179" t="s">
        <v>542</v>
      </c>
      <c r="B526" s="235">
        <f>'Prior Year'!AG71</f>
        <v>5782429</v>
      </c>
      <c r="C526" s="235">
        <f>AG71</f>
        <v>6184968</v>
      </c>
      <c r="D526" s="235">
        <f>'Prior Year'!AG59</f>
        <v>12684</v>
      </c>
      <c r="E526" s="179">
        <f>AG59</f>
        <v>10664</v>
      </c>
      <c r="F526" s="258">
        <f t="shared" si="17"/>
        <v>455.88371176285085</v>
      </c>
      <c r="G526" s="258">
        <f t="shared" si="17"/>
        <v>579.98574643660913</v>
      </c>
      <c r="H526" s="260">
        <f t="shared" si="16"/>
        <v>0.27222300659497067</v>
      </c>
      <c r="I526" s="262"/>
      <c r="K526" s="256"/>
      <c r="L526" s="256"/>
    </row>
    <row r="527" spans="1:12" ht="12.65" customHeight="1" x14ac:dyDescent="0.3">
      <c r="A527" s="179" t="s">
        <v>543</v>
      </c>
      <c r="B527" s="235">
        <f>'Prior Year'!AH71</f>
        <v>0</v>
      </c>
      <c r="C527" s="235">
        <f>AH71</f>
        <v>0</v>
      </c>
      <c r="D527" s="235">
        <f>'Prior Year'!AH59</f>
        <v>0</v>
      </c>
      <c r="E527" s="179">
        <f>AH59</f>
        <v>0</v>
      </c>
      <c r="F527" s="258" t="str">
        <f t="shared" si="17"/>
        <v/>
      </c>
      <c r="G527" s="258" t="str">
        <f t="shared" si="17"/>
        <v/>
      </c>
      <c r="H527" s="260" t="str">
        <f t="shared" si="16"/>
        <v/>
      </c>
      <c r="I527" s="262"/>
      <c r="K527" s="256"/>
      <c r="L527" s="256"/>
    </row>
    <row r="528" spans="1:12" ht="12.65" customHeight="1" x14ac:dyDescent="0.3">
      <c r="A528" s="179" t="s">
        <v>544</v>
      </c>
      <c r="B528" s="235">
        <f>'Prior Year'!AI71</f>
        <v>3988961</v>
      </c>
      <c r="C528" s="235">
        <f>AI71</f>
        <v>4789040</v>
      </c>
      <c r="D528" s="235">
        <f>'Prior Year'!AI59</f>
        <v>17642</v>
      </c>
      <c r="E528" s="179">
        <f>AI59</f>
        <v>17436</v>
      </c>
      <c r="F528" s="258">
        <f t="shared" ref="F528:G540" si="18">IF(B528=0,"",IF(D528=0,"",B528/D528))</f>
        <v>226.10594036957261</v>
      </c>
      <c r="G528" s="258">
        <f t="shared" si="18"/>
        <v>274.66391374168387</v>
      </c>
      <c r="H528" s="260" t="str">
        <f t="shared" si="16"/>
        <v/>
      </c>
      <c r="I528" s="262"/>
      <c r="K528" s="256"/>
      <c r="L528" s="256"/>
    </row>
    <row r="529" spans="1:12" ht="12.65" customHeight="1" x14ac:dyDescent="0.3">
      <c r="A529" s="179" t="s">
        <v>545</v>
      </c>
      <c r="B529" s="235">
        <f>'Prior Year'!AJ71</f>
        <v>26878314</v>
      </c>
      <c r="C529" s="235">
        <f>AJ71</f>
        <v>28450572</v>
      </c>
      <c r="D529" s="235">
        <f>'Prior Year'!AJ59</f>
        <v>102544</v>
      </c>
      <c r="E529" s="179">
        <f>AJ59</f>
        <v>85414</v>
      </c>
      <c r="F529" s="258">
        <f t="shared" si="18"/>
        <v>262.1149360274614</v>
      </c>
      <c r="G529" s="258">
        <f t="shared" si="18"/>
        <v>333.09026623270188</v>
      </c>
      <c r="H529" s="260">
        <f t="shared" si="16"/>
        <v>0.27077941944447037</v>
      </c>
      <c r="I529" s="262"/>
      <c r="K529" s="256"/>
      <c r="L529" s="256"/>
    </row>
    <row r="530" spans="1:12" ht="12.65" customHeight="1" x14ac:dyDescent="0.3">
      <c r="A530" s="179" t="s">
        <v>546</v>
      </c>
      <c r="B530" s="235">
        <f>'Prior Year'!AK71</f>
        <v>0</v>
      </c>
      <c r="C530" s="235">
        <f>AK71</f>
        <v>0</v>
      </c>
      <c r="D530" s="235">
        <f>'Prior Year'!AK59</f>
        <v>0</v>
      </c>
      <c r="E530" s="179">
        <f>AK59</f>
        <v>13118</v>
      </c>
      <c r="F530" s="258" t="str">
        <f t="shared" si="18"/>
        <v/>
      </c>
      <c r="G530" s="258" t="str">
        <f t="shared" si="18"/>
        <v/>
      </c>
      <c r="H530" s="260" t="str">
        <f t="shared" si="16"/>
        <v/>
      </c>
      <c r="I530" s="262"/>
      <c r="K530" s="256"/>
      <c r="L530" s="256"/>
    </row>
    <row r="531" spans="1:12" ht="12.65" customHeight="1" x14ac:dyDescent="0.3">
      <c r="A531" s="179" t="s">
        <v>547</v>
      </c>
      <c r="B531" s="235">
        <f>'Prior Year'!AL71</f>
        <v>0</v>
      </c>
      <c r="C531" s="235">
        <f>AL71</f>
        <v>0</v>
      </c>
      <c r="D531" s="235">
        <f>'Prior Year'!AL59</f>
        <v>0</v>
      </c>
      <c r="E531" s="179">
        <f>AL59</f>
        <v>2593</v>
      </c>
      <c r="F531" s="258" t="str">
        <f t="shared" si="18"/>
        <v/>
      </c>
      <c r="G531" s="258" t="str">
        <f t="shared" si="18"/>
        <v/>
      </c>
      <c r="H531" s="260" t="str">
        <f t="shared" si="16"/>
        <v/>
      </c>
      <c r="I531" s="262"/>
      <c r="K531" s="256"/>
      <c r="L531" s="256"/>
    </row>
    <row r="532" spans="1:12" ht="12.65" customHeight="1" x14ac:dyDescent="0.3">
      <c r="A532" s="179" t="s">
        <v>548</v>
      </c>
      <c r="B532" s="235">
        <f>'Prior Year'!AM71</f>
        <v>0</v>
      </c>
      <c r="C532" s="235">
        <f>AM71</f>
        <v>0</v>
      </c>
      <c r="D532" s="235">
        <f>'Prior Year'!AM59</f>
        <v>0</v>
      </c>
      <c r="E532" s="179">
        <f>AM59</f>
        <v>0</v>
      </c>
      <c r="F532" s="258" t="str">
        <f t="shared" si="18"/>
        <v/>
      </c>
      <c r="G532" s="258" t="str">
        <f t="shared" si="18"/>
        <v/>
      </c>
      <c r="H532" s="260" t="str">
        <f t="shared" si="16"/>
        <v/>
      </c>
      <c r="I532" s="262"/>
      <c r="K532" s="256"/>
      <c r="L532" s="256"/>
    </row>
    <row r="533" spans="1:12" ht="12.65" customHeight="1" x14ac:dyDescent="0.3">
      <c r="A533" s="179" t="s">
        <v>1246</v>
      </c>
      <c r="B533" s="235">
        <f>'Prior Year'!AN71</f>
        <v>0</v>
      </c>
      <c r="C533" s="235">
        <f>AN71</f>
        <v>0</v>
      </c>
      <c r="D533" s="235">
        <f>'Prior Year'!AN59</f>
        <v>0</v>
      </c>
      <c r="E533" s="179">
        <f>AN59</f>
        <v>0</v>
      </c>
      <c r="F533" s="258" t="str">
        <f t="shared" si="18"/>
        <v/>
      </c>
      <c r="G533" s="258" t="str">
        <f t="shared" si="18"/>
        <v/>
      </c>
      <c r="H533" s="260" t="str">
        <f t="shared" si="16"/>
        <v/>
      </c>
      <c r="I533" s="262"/>
      <c r="K533" s="256"/>
      <c r="L533" s="256"/>
    </row>
    <row r="534" spans="1:12" ht="12.65" customHeight="1" x14ac:dyDescent="0.3">
      <c r="A534" s="179" t="s">
        <v>549</v>
      </c>
      <c r="B534" s="235">
        <f>'Prior Year'!AO71</f>
        <v>0</v>
      </c>
      <c r="C534" s="235">
        <f>AO71</f>
        <v>0</v>
      </c>
      <c r="D534" s="235">
        <f>'Prior Year'!AO59</f>
        <v>0</v>
      </c>
      <c r="E534" s="179">
        <f>AO59</f>
        <v>0</v>
      </c>
      <c r="F534" s="258" t="str">
        <f t="shared" si="18"/>
        <v/>
      </c>
      <c r="G534" s="258" t="str">
        <f t="shared" si="18"/>
        <v/>
      </c>
      <c r="H534" s="260" t="str">
        <f t="shared" si="16"/>
        <v/>
      </c>
      <c r="I534" s="262"/>
      <c r="K534" s="256"/>
      <c r="L534" s="256"/>
    </row>
    <row r="535" spans="1:12" ht="12.65" customHeight="1" x14ac:dyDescent="0.3">
      <c r="A535" s="179" t="s">
        <v>550</v>
      </c>
      <c r="B535" s="235">
        <f>'Prior Year'!AP71</f>
        <v>0</v>
      </c>
      <c r="C535" s="235">
        <f>AP71</f>
        <v>0</v>
      </c>
      <c r="D535" s="235">
        <f>'Prior Year'!AP59</f>
        <v>0</v>
      </c>
      <c r="E535" s="179">
        <f>AP59</f>
        <v>0</v>
      </c>
      <c r="F535" s="258" t="str">
        <f t="shared" si="18"/>
        <v/>
      </c>
      <c r="G535" s="258" t="str">
        <f t="shared" si="18"/>
        <v/>
      </c>
      <c r="H535" s="260" t="str">
        <f t="shared" si="16"/>
        <v/>
      </c>
      <c r="I535" s="262"/>
      <c r="K535" s="256"/>
      <c r="L535" s="256"/>
    </row>
    <row r="536" spans="1:12" ht="12.65" customHeight="1" x14ac:dyDescent="0.3">
      <c r="A536" s="179" t="s">
        <v>551</v>
      </c>
      <c r="B536" s="235">
        <f>'Prior Year'!AQ71</f>
        <v>0</v>
      </c>
      <c r="C536" s="235">
        <f>AQ71</f>
        <v>0</v>
      </c>
      <c r="D536" s="235">
        <f>'Prior Year'!AQ59</f>
        <v>0</v>
      </c>
      <c r="E536" s="179">
        <f>AQ59</f>
        <v>0</v>
      </c>
      <c r="F536" s="258" t="str">
        <f t="shared" si="18"/>
        <v/>
      </c>
      <c r="G536" s="258" t="str">
        <f t="shared" si="18"/>
        <v/>
      </c>
      <c r="H536" s="260" t="str">
        <f t="shared" si="16"/>
        <v/>
      </c>
      <c r="I536" s="262"/>
      <c r="K536" s="256"/>
      <c r="L536" s="256"/>
    </row>
    <row r="537" spans="1:12" ht="12.65" customHeight="1" x14ac:dyDescent="0.3">
      <c r="A537" s="179" t="s">
        <v>552</v>
      </c>
      <c r="B537" s="235">
        <f>'Prior Year'!AR71</f>
        <v>5111999</v>
      </c>
      <c r="C537" s="235">
        <f>AR71</f>
        <v>4392980</v>
      </c>
      <c r="D537" s="235">
        <f>'Prior Year'!AR59</f>
        <v>17968</v>
      </c>
      <c r="E537" s="179">
        <f>AR59</f>
        <v>9751</v>
      </c>
      <c r="F537" s="258">
        <f t="shared" si="18"/>
        <v>284.50573241317898</v>
      </c>
      <c r="G537" s="258">
        <f t="shared" si="18"/>
        <v>450.51584452876631</v>
      </c>
      <c r="H537" s="260">
        <f t="shared" si="16"/>
        <v>0.58350357550791254</v>
      </c>
      <c r="I537" s="262"/>
      <c r="K537" s="256"/>
      <c r="L537" s="256"/>
    </row>
    <row r="538" spans="1:12" ht="12.65" customHeight="1" x14ac:dyDescent="0.3">
      <c r="A538" s="179" t="s">
        <v>553</v>
      </c>
      <c r="B538" s="235">
        <f>'Prior Year'!AS71</f>
        <v>0</v>
      </c>
      <c r="C538" s="235">
        <f>AS71</f>
        <v>0</v>
      </c>
      <c r="D538" s="235">
        <f>'Prior Year'!AS59</f>
        <v>0</v>
      </c>
      <c r="E538" s="179">
        <f>AS59</f>
        <v>0</v>
      </c>
      <c r="F538" s="258" t="str">
        <f t="shared" si="18"/>
        <v/>
      </c>
      <c r="G538" s="258" t="str">
        <f t="shared" si="18"/>
        <v/>
      </c>
      <c r="H538" s="260" t="str">
        <f t="shared" si="16"/>
        <v/>
      </c>
      <c r="I538" s="262"/>
      <c r="K538" s="256"/>
      <c r="L538" s="256"/>
    </row>
    <row r="539" spans="1:12" ht="12.65" customHeight="1" x14ac:dyDescent="0.3">
      <c r="A539" s="179" t="s">
        <v>554</v>
      </c>
      <c r="B539" s="235">
        <f>'Prior Year'!AT71</f>
        <v>0</v>
      </c>
      <c r="C539" s="235">
        <f>AT71</f>
        <v>0</v>
      </c>
      <c r="D539" s="235">
        <f>'Prior Year'!AT59</f>
        <v>0</v>
      </c>
      <c r="E539" s="179">
        <f>AT59</f>
        <v>0</v>
      </c>
      <c r="F539" s="258" t="str">
        <f t="shared" si="18"/>
        <v/>
      </c>
      <c r="G539" s="258" t="str">
        <f t="shared" si="18"/>
        <v/>
      </c>
      <c r="H539" s="260" t="str">
        <f t="shared" si="16"/>
        <v/>
      </c>
      <c r="I539" s="262"/>
      <c r="K539" s="256"/>
      <c r="L539" s="256"/>
    </row>
    <row r="540" spans="1:12" ht="12.65" customHeight="1" x14ac:dyDescent="0.3">
      <c r="A540" s="179" t="s">
        <v>555</v>
      </c>
      <c r="B540" s="235">
        <f>'Prior Year'!AU71</f>
        <v>0</v>
      </c>
      <c r="C540" s="235">
        <f>AU71</f>
        <v>0</v>
      </c>
      <c r="D540" s="235">
        <f>'Prior Year'!AU59</f>
        <v>0</v>
      </c>
      <c r="E540" s="179">
        <f>AU59</f>
        <v>0</v>
      </c>
      <c r="F540" s="258" t="str">
        <f t="shared" si="18"/>
        <v/>
      </c>
      <c r="G540" s="258" t="str">
        <f t="shared" si="18"/>
        <v/>
      </c>
      <c r="H540" s="260" t="str">
        <f t="shared" si="16"/>
        <v/>
      </c>
      <c r="I540" s="262"/>
      <c r="K540" s="256"/>
      <c r="L540" s="256"/>
    </row>
    <row r="541" spans="1:12" ht="12.65" customHeight="1" x14ac:dyDescent="0.3">
      <c r="A541" s="179" t="s">
        <v>556</v>
      </c>
      <c r="B541" s="235">
        <f>'Prior Year'!AV71</f>
        <v>2372548</v>
      </c>
      <c r="C541" s="235">
        <f>AV71</f>
        <v>2418672</v>
      </c>
      <c r="D541" s="180" t="s">
        <v>529</v>
      </c>
      <c r="E541" s="180" t="s">
        <v>529</v>
      </c>
      <c r="F541" s="258"/>
      <c r="G541" s="258"/>
      <c r="H541" s="260"/>
      <c r="I541" s="262"/>
      <c r="K541" s="256"/>
      <c r="L541" s="256"/>
    </row>
    <row r="542" spans="1:12" ht="12.65" customHeight="1" x14ac:dyDescent="0.3">
      <c r="A542" s="179" t="s">
        <v>1247</v>
      </c>
      <c r="B542" s="235">
        <f>'Prior Year'!AW71</f>
        <v>0</v>
      </c>
      <c r="C542" s="235">
        <f>AW71</f>
        <v>0</v>
      </c>
      <c r="D542" s="180" t="s">
        <v>529</v>
      </c>
      <c r="E542" s="180" t="s">
        <v>529</v>
      </c>
      <c r="F542" s="258"/>
      <c r="G542" s="258"/>
      <c r="H542" s="260"/>
      <c r="I542" s="262"/>
      <c r="K542" s="256"/>
      <c r="L542" s="256"/>
    </row>
    <row r="543" spans="1:12" ht="12.65" customHeight="1" x14ac:dyDescent="0.3">
      <c r="A543" s="179" t="s">
        <v>557</v>
      </c>
      <c r="B543" s="235">
        <f>'Prior Year'!AX71</f>
        <v>0</v>
      </c>
      <c r="C543" s="235">
        <f>AX71</f>
        <v>0</v>
      </c>
      <c r="D543" s="180" t="s">
        <v>529</v>
      </c>
      <c r="E543" s="180" t="s">
        <v>529</v>
      </c>
      <c r="F543" s="258"/>
      <c r="G543" s="258"/>
      <c r="H543" s="260"/>
      <c r="I543" s="262"/>
      <c r="K543" s="256"/>
      <c r="L543" s="256"/>
    </row>
    <row r="544" spans="1:12" ht="12.65" customHeight="1" x14ac:dyDescent="0.3">
      <c r="A544" s="179" t="s">
        <v>558</v>
      </c>
      <c r="B544" s="235">
        <f>'Prior Year'!AY71</f>
        <v>664586</v>
      </c>
      <c r="C544" s="235">
        <f>AY71</f>
        <v>829549</v>
      </c>
      <c r="D544" s="235">
        <f>'Prior Year'!AY59</f>
        <v>15632</v>
      </c>
      <c r="E544" s="179">
        <f>AY59</f>
        <v>12819</v>
      </c>
      <c r="F544" s="258">
        <f t="shared" ref="F544:G550" si="19">IF(B544=0,"",IF(D544=0,"",B544/D544))</f>
        <v>42.514457523029684</v>
      </c>
      <c r="G544" s="258">
        <f t="shared" si="19"/>
        <v>64.712458070052264</v>
      </c>
      <c r="H544" s="260">
        <f t="shared" si="16"/>
        <v>0.52212827918592475</v>
      </c>
      <c r="I544" s="262"/>
      <c r="K544" s="256"/>
      <c r="L544" s="256"/>
    </row>
    <row r="545" spans="1:13" ht="12.65" customHeight="1" x14ac:dyDescent="0.3">
      <c r="A545" s="179" t="s">
        <v>559</v>
      </c>
      <c r="B545" s="235">
        <f>'Prior Year'!AZ71</f>
        <v>0</v>
      </c>
      <c r="C545" s="235">
        <f>AZ71</f>
        <v>0</v>
      </c>
      <c r="D545" s="235">
        <f>'Prior Year'!AZ59</f>
        <v>0</v>
      </c>
      <c r="E545" s="179">
        <f>AZ59</f>
        <v>0</v>
      </c>
      <c r="F545" s="258" t="str">
        <f t="shared" si="19"/>
        <v/>
      </c>
      <c r="G545" s="258" t="str">
        <f t="shared" si="19"/>
        <v/>
      </c>
      <c r="H545" s="260" t="str">
        <f t="shared" si="16"/>
        <v/>
      </c>
      <c r="I545" s="262"/>
      <c r="K545" s="256"/>
      <c r="L545" s="256"/>
    </row>
    <row r="546" spans="1:13" ht="12.65" customHeight="1" x14ac:dyDescent="0.3">
      <c r="A546" s="179" t="s">
        <v>560</v>
      </c>
      <c r="B546" s="235">
        <f>'Prior Year'!BA71</f>
        <v>355959</v>
      </c>
      <c r="C546" s="235">
        <f>BA71</f>
        <v>316115</v>
      </c>
      <c r="D546" s="235">
        <f>'Prior Year'!BA59</f>
        <v>0</v>
      </c>
      <c r="E546" s="179">
        <f>BA59</f>
        <v>0</v>
      </c>
      <c r="F546" s="258" t="str">
        <f t="shared" si="19"/>
        <v/>
      </c>
      <c r="G546" s="258" t="str">
        <f t="shared" si="19"/>
        <v/>
      </c>
      <c r="H546" s="260" t="str">
        <f t="shared" si="16"/>
        <v/>
      </c>
      <c r="I546" s="262"/>
      <c r="K546" s="256"/>
      <c r="L546" s="256"/>
    </row>
    <row r="547" spans="1:13" ht="12.65" customHeight="1" x14ac:dyDescent="0.3">
      <c r="A547" s="179" t="s">
        <v>561</v>
      </c>
      <c r="B547" s="235">
        <f>'Prior Year'!BB71</f>
        <v>1610</v>
      </c>
      <c r="C547" s="235">
        <f>BB71</f>
        <v>1743</v>
      </c>
      <c r="D547" s="180" t="s">
        <v>529</v>
      </c>
      <c r="E547" s="180" t="s">
        <v>529</v>
      </c>
      <c r="F547" s="258"/>
      <c r="G547" s="258"/>
      <c r="H547" s="260"/>
      <c r="I547" s="262"/>
      <c r="K547" s="256"/>
      <c r="L547" s="256"/>
    </row>
    <row r="548" spans="1:13" ht="12.65" customHeight="1" x14ac:dyDescent="0.3">
      <c r="A548" s="179" t="s">
        <v>562</v>
      </c>
      <c r="B548" s="235">
        <f>'Prior Year'!BC71</f>
        <v>0</v>
      </c>
      <c r="C548" s="235">
        <f>BC71</f>
        <v>0</v>
      </c>
      <c r="D548" s="180" t="s">
        <v>529</v>
      </c>
      <c r="E548" s="180" t="s">
        <v>529</v>
      </c>
      <c r="F548" s="258"/>
      <c r="G548" s="258"/>
      <c r="H548" s="260"/>
      <c r="I548" s="262"/>
      <c r="K548" s="256"/>
      <c r="L548" s="256"/>
    </row>
    <row r="549" spans="1:13" ht="12.65" customHeight="1" x14ac:dyDescent="0.3">
      <c r="A549" s="179" t="s">
        <v>563</v>
      </c>
      <c r="B549" s="235">
        <f>'Prior Year'!BD71</f>
        <v>721398</v>
      </c>
      <c r="C549" s="235">
        <f>BD71</f>
        <v>807322</v>
      </c>
      <c r="D549" s="180" t="s">
        <v>529</v>
      </c>
      <c r="E549" s="180" t="s">
        <v>529</v>
      </c>
      <c r="F549" s="258"/>
      <c r="G549" s="258"/>
      <c r="H549" s="260"/>
      <c r="I549" s="262"/>
      <c r="K549" s="256"/>
      <c r="L549" s="256"/>
    </row>
    <row r="550" spans="1:13" ht="12.65" customHeight="1" x14ac:dyDescent="0.3">
      <c r="A550" s="179" t="s">
        <v>564</v>
      </c>
      <c r="B550" s="235">
        <f>'Prior Year'!BE71</f>
        <v>3953863</v>
      </c>
      <c r="C550" s="235">
        <f>BE71</f>
        <v>3157351</v>
      </c>
      <c r="D550" s="235">
        <f>'Prior Year'!BE59</f>
        <v>228101</v>
      </c>
      <c r="E550" s="179">
        <f>BE59</f>
        <v>211271</v>
      </c>
      <c r="F550" s="258">
        <f t="shared" si="19"/>
        <v>17.333825805235399</v>
      </c>
      <c r="G550" s="258">
        <f t="shared" si="19"/>
        <v>14.944554624155705</v>
      </c>
      <c r="H550" s="260" t="str">
        <f t="shared" si="16"/>
        <v/>
      </c>
      <c r="I550" s="262"/>
      <c r="K550" s="256"/>
      <c r="L550" s="256"/>
    </row>
    <row r="551" spans="1:13" ht="12.65" customHeight="1" x14ac:dyDescent="0.3">
      <c r="A551" s="179" t="s">
        <v>565</v>
      </c>
      <c r="B551" s="235">
        <f>'Prior Year'!BF71</f>
        <v>1552512</v>
      </c>
      <c r="C551" s="235">
        <f>BF71</f>
        <v>1521090</v>
      </c>
      <c r="D551" s="180" t="s">
        <v>529</v>
      </c>
      <c r="E551" s="180" t="s">
        <v>529</v>
      </c>
      <c r="F551" s="258"/>
      <c r="G551" s="258"/>
      <c r="H551" s="260"/>
      <c r="I551" s="262"/>
      <c r="J551" s="197"/>
      <c r="M551" s="260"/>
    </row>
    <row r="552" spans="1:13" ht="12.65" customHeight="1" x14ac:dyDescent="0.3">
      <c r="A552" s="179" t="s">
        <v>566</v>
      </c>
      <c r="B552" s="235">
        <f>'Prior Year'!BG71</f>
        <v>252910</v>
      </c>
      <c r="C552" s="235">
        <f>BG71</f>
        <v>309526</v>
      </c>
      <c r="D552" s="180" t="s">
        <v>529</v>
      </c>
      <c r="E552" s="180" t="s">
        <v>529</v>
      </c>
      <c r="F552" s="258"/>
      <c r="G552" s="258"/>
      <c r="H552" s="260"/>
      <c r="J552" s="197"/>
      <c r="M552" s="260"/>
    </row>
    <row r="553" spans="1:13" ht="12.65" customHeight="1" x14ac:dyDescent="0.3">
      <c r="A553" s="179" t="s">
        <v>567</v>
      </c>
      <c r="B553" s="235">
        <f>'Prior Year'!BH71</f>
        <v>3829356</v>
      </c>
      <c r="C553" s="235">
        <f>BH71</f>
        <v>4465175</v>
      </c>
      <c r="D553" s="180" t="s">
        <v>529</v>
      </c>
      <c r="E553" s="180" t="s">
        <v>529</v>
      </c>
      <c r="F553" s="258"/>
      <c r="G553" s="258"/>
      <c r="H553" s="260"/>
      <c r="J553" s="197"/>
      <c r="M553" s="260"/>
    </row>
    <row r="554" spans="1:13" ht="12.65" customHeight="1" x14ac:dyDescent="0.3">
      <c r="A554" s="179" t="s">
        <v>568</v>
      </c>
      <c r="B554" s="235">
        <f>'Prior Year'!BI71</f>
        <v>0</v>
      </c>
      <c r="C554" s="235">
        <f>BI71</f>
        <v>0</v>
      </c>
      <c r="D554" s="180" t="s">
        <v>529</v>
      </c>
      <c r="E554" s="180" t="s">
        <v>529</v>
      </c>
      <c r="F554" s="258"/>
      <c r="G554" s="258"/>
      <c r="H554" s="260"/>
      <c r="J554" s="197"/>
      <c r="M554" s="260"/>
    </row>
    <row r="555" spans="1:13" ht="12.65" customHeight="1" x14ac:dyDescent="0.3">
      <c r="A555" s="179" t="s">
        <v>569</v>
      </c>
      <c r="B555" s="235">
        <f>'Prior Year'!BJ71</f>
        <v>1098511</v>
      </c>
      <c r="C555" s="235">
        <f>BJ71</f>
        <v>1223008</v>
      </c>
      <c r="D555" s="180" t="s">
        <v>529</v>
      </c>
      <c r="E555" s="180" t="s">
        <v>529</v>
      </c>
      <c r="F555" s="258"/>
      <c r="G555" s="258"/>
      <c r="H555" s="260"/>
      <c r="J555" s="197"/>
      <c r="M555" s="260"/>
    </row>
    <row r="556" spans="1:13" ht="12.65" customHeight="1" x14ac:dyDescent="0.3">
      <c r="A556" s="179" t="s">
        <v>570</v>
      </c>
      <c r="B556" s="235">
        <f>'Prior Year'!BK71</f>
        <v>1430940</v>
      </c>
      <c r="C556" s="235">
        <f>BK71</f>
        <v>1758123</v>
      </c>
      <c r="D556" s="180" t="s">
        <v>529</v>
      </c>
      <c r="E556" s="180" t="s">
        <v>529</v>
      </c>
      <c r="F556" s="258"/>
      <c r="G556" s="258"/>
      <c r="H556" s="260"/>
      <c r="J556" s="197"/>
      <c r="M556" s="260"/>
    </row>
    <row r="557" spans="1:13" ht="12.65" customHeight="1" x14ac:dyDescent="0.3">
      <c r="A557" s="179" t="s">
        <v>571</v>
      </c>
      <c r="B557" s="235">
        <f>'Prior Year'!BL71</f>
        <v>915973</v>
      </c>
      <c r="C557" s="235">
        <f>BL71</f>
        <v>891275</v>
      </c>
      <c r="D557" s="180" t="s">
        <v>529</v>
      </c>
      <c r="E557" s="180" t="s">
        <v>529</v>
      </c>
      <c r="F557" s="258"/>
      <c r="G557" s="258"/>
      <c r="H557" s="260"/>
      <c r="J557" s="197"/>
      <c r="M557" s="260"/>
    </row>
    <row r="558" spans="1:13" ht="12.65" customHeight="1" x14ac:dyDescent="0.3">
      <c r="A558" s="179" t="s">
        <v>572</v>
      </c>
      <c r="B558" s="235">
        <f>'Prior Year'!BM71</f>
        <v>481741</v>
      </c>
      <c r="C558" s="235">
        <f>BM71</f>
        <v>430479</v>
      </c>
      <c r="D558" s="180" t="s">
        <v>529</v>
      </c>
      <c r="E558" s="180" t="s">
        <v>529</v>
      </c>
      <c r="F558" s="258"/>
      <c r="G558" s="258"/>
      <c r="H558" s="260"/>
      <c r="J558" s="197"/>
      <c r="M558" s="260"/>
    </row>
    <row r="559" spans="1:13" ht="12.65" customHeight="1" x14ac:dyDescent="0.3">
      <c r="A559" s="179" t="s">
        <v>573</v>
      </c>
      <c r="B559" s="235">
        <f>'Prior Year'!BN71</f>
        <v>2414602</v>
      </c>
      <c r="C559" s="235">
        <f>BN71</f>
        <v>4141221</v>
      </c>
      <c r="D559" s="180" t="s">
        <v>529</v>
      </c>
      <c r="E559" s="180" t="s">
        <v>529</v>
      </c>
      <c r="F559" s="258"/>
      <c r="G559" s="258"/>
      <c r="H559" s="260"/>
      <c r="J559" s="197"/>
      <c r="M559" s="260"/>
    </row>
    <row r="560" spans="1:13" ht="12.65" customHeight="1" x14ac:dyDescent="0.3">
      <c r="A560" s="179" t="s">
        <v>574</v>
      </c>
      <c r="B560" s="235">
        <f>'Prior Year'!BO71</f>
        <v>85308</v>
      </c>
      <c r="C560" s="235">
        <f>BO71</f>
        <v>90862</v>
      </c>
      <c r="D560" s="180" t="s">
        <v>529</v>
      </c>
      <c r="E560" s="180" t="s">
        <v>529</v>
      </c>
      <c r="F560" s="258"/>
      <c r="G560" s="258"/>
      <c r="H560" s="260"/>
      <c r="J560" s="197"/>
      <c r="M560" s="260"/>
    </row>
    <row r="561" spans="1:13" ht="12.65" customHeight="1" x14ac:dyDescent="0.3">
      <c r="A561" s="179" t="s">
        <v>575</v>
      </c>
      <c r="B561" s="235">
        <f>'Prior Year'!BP71</f>
        <v>387033</v>
      </c>
      <c r="C561" s="235">
        <f>BP71</f>
        <v>363135</v>
      </c>
      <c r="D561" s="180" t="s">
        <v>529</v>
      </c>
      <c r="E561" s="180" t="s">
        <v>529</v>
      </c>
      <c r="F561" s="258"/>
      <c r="G561" s="258"/>
      <c r="H561" s="260"/>
      <c r="J561" s="197"/>
      <c r="M561" s="260"/>
    </row>
    <row r="562" spans="1:13" ht="12.65" customHeight="1" x14ac:dyDescent="0.3">
      <c r="A562" s="179" t="s">
        <v>576</v>
      </c>
      <c r="B562" s="235">
        <f>'Prior Year'!BQ71</f>
        <v>0</v>
      </c>
      <c r="C562" s="235">
        <f>BQ71</f>
        <v>0</v>
      </c>
      <c r="D562" s="180" t="s">
        <v>529</v>
      </c>
      <c r="E562" s="180" t="s">
        <v>529</v>
      </c>
      <c r="F562" s="258"/>
      <c r="G562" s="258"/>
      <c r="H562" s="260"/>
      <c r="J562" s="197"/>
      <c r="M562" s="260"/>
    </row>
    <row r="563" spans="1:13" ht="12.65" customHeight="1" x14ac:dyDescent="0.3">
      <c r="A563" s="179" t="s">
        <v>577</v>
      </c>
      <c r="B563" s="235">
        <f>'Prior Year'!BR71</f>
        <v>1195135</v>
      </c>
      <c r="C563" s="235">
        <f>BR71</f>
        <v>1245608</v>
      </c>
      <c r="D563" s="180" t="s">
        <v>529</v>
      </c>
      <c r="E563" s="180" t="s">
        <v>529</v>
      </c>
      <c r="F563" s="258"/>
      <c r="G563" s="258"/>
      <c r="H563" s="260"/>
      <c r="J563" s="197"/>
      <c r="M563" s="260"/>
    </row>
    <row r="564" spans="1:13" ht="12.65" customHeight="1" x14ac:dyDescent="0.3">
      <c r="A564" s="179" t="s">
        <v>1248</v>
      </c>
      <c r="B564" s="235">
        <f>'Prior Year'!BS71</f>
        <v>108255</v>
      </c>
      <c r="C564" s="235">
        <f>BS71</f>
        <v>115282</v>
      </c>
      <c r="D564" s="180" t="s">
        <v>529</v>
      </c>
      <c r="E564" s="180" t="s">
        <v>529</v>
      </c>
      <c r="F564" s="258"/>
      <c r="G564" s="258"/>
      <c r="H564" s="260"/>
      <c r="J564" s="197"/>
      <c r="M564" s="260"/>
    </row>
    <row r="565" spans="1:13" ht="12.65" customHeight="1" x14ac:dyDescent="0.3">
      <c r="A565" s="179" t="s">
        <v>578</v>
      </c>
      <c r="B565" s="235">
        <f>'Prior Year'!BT71</f>
        <v>0</v>
      </c>
      <c r="C565" s="235">
        <f>BT71</f>
        <v>0</v>
      </c>
      <c r="D565" s="180" t="s">
        <v>529</v>
      </c>
      <c r="E565" s="180" t="s">
        <v>529</v>
      </c>
      <c r="F565" s="258"/>
      <c r="G565" s="258"/>
      <c r="H565" s="260"/>
      <c r="J565" s="197"/>
      <c r="M565" s="260"/>
    </row>
    <row r="566" spans="1:13" ht="12.65" customHeight="1" x14ac:dyDescent="0.3">
      <c r="A566" s="179" t="s">
        <v>579</v>
      </c>
      <c r="B566" s="235">
        <f>'Prior Year'!BU71</f>
        <v>0</v>
      </c>
      <c r="C566" s="235">
        <f>BU71</f>
        <v>0</v>
      </c>
      <c r="D566" s="180" t="s">
        <v>529</v>
      </c>
      <c r="E566" s="180" t="s">
        <v>529</v>
      </c>
      <c r="F566" s="258"/>
      <c r="G566" s="258"/>
      <c r="H566" s="260"/>
      <c r="J566" s="197"/>
      <c r="M566" s="260"/>
    </row>
    <row r="567" spans="1:13" ht="12.65" customHeight="1" x14ac:dyDescent="0.3">
      <c r="A567" s="179" t="s">
        <v>580</v>
      </c>
      <c r="B567" s="235">
        <f>'Prior Year'!BV71</f>
        <v>894369</v>
      </c>
      <c r="C567" s="235">
        <f>BV71</f>
        <v>906593</v>
      </c>
      <c r="D567" s="180" t="s">
        <v>529</v>
      </c>
      <c r="E567" s="180" t="s">
        <v>529</v>
      </c>
      <c r="F567" s="258"/>
      <c r="G567" s="258"/>
      <c r="H567" s="260"/>
      <c r="J567" s="197"/>
      <c r="M567" s="260"/>
    </row>
    <row r="568" spans="1:13" ht="12.65" customHeight="1" x14ac:dyDescent="0.3">
      <c r="A568" s="179" t="s">
        <v>581</v>
      </c>
      <c r="B568" s="235">
        <f>'Prior Year'!BW71</f>
        <v>908498</v>
      </c>
      <c r="C568" s="235">
        <f>BW71</f>
        <v>768572</v>
      </c>
      <c r="D568" s="180" t="s">
        <v>529</v>
      </c>
      <c r="E568" s="180" t="s">
        <v>529</v>
      </c>
      <c r="F568" s="258"/>
      <c r="G568" s="258"/>
      <c r="H568" s="260"/>
      <c r="J568" s="197"/>
      <c r="M568" s="260"/>
    </row>
    <row r="569" spans="1:13" ht="12.65" customHeight="1" x14ac:dyDescent="0.3">
      <c r="A569" s="179" t="s">
        <v>582</v>
      </c>
      <c r="B569" s="235">
        <f>'Prior Year'!BX71</f>
        <v>538096</v>
      </c>
      <c r="C569" s="235">
        <f>BX71</f>
        <v>664092</v>
      </c>
      <c r="D569" s="180" t="s">
        <v>529</v>
      </c>
      <c r="E569" s="180" t="s">
        <v>529</v>
      </c>
      <c r="F569" s="258"/>
      <c r="G569" s="258"/>
      <c r="H569" s="260"/>
      <c r="J569" s="197"/>
      <c r="M569" s="260"/>
    </row>
    <row r="570" spans="1:13" ht="12.65" customHeight="1" x14ac:dyDescent="0.3">
      <c r="A570" s="179" t="s">
        <v>583</v>
      </c>
      <c r="B570" s="235">
        <f>'Prior Year'!BY71</f>
        <v>1425827</v>
      </c>
      <c r="C570" s="235">
        <f>BY71</f>
        <v>1577781</v>
      </c>
      <c r="D570" s="180" t="s">
        <v>529</v>
      </c>
      <c r="E570" s="180" t="s">
        <v>529</v>
      </c>
      <c r="F570" s="258"/>
      <c r="G570" s="258"/>
      <c r="H570" s="260"/>
      <c r="J570" s="197"/>
      <c r="M570" s="260"/>
    </row>
    <row r="571" spans="1:13" ht="12.65" customHeight="1" x14ac:dyDescent="0.3">
      <c r="A571" s="179" t="s">
        <v>584</v>
      </c>
      <c r="B571" s="235">
        <f>'Prior Year'!BZ71</f>
        <v>0</v>
      </c>
      <c r="C571" s="235">
        <f>BZ71</f>
        <v>0</v>
      </c>
      <c r="D571" s="180" t="s">
        <v>529</v>
      </c>
      <c r="E571" s="180" t="s">
        <v>529</v>
      </c>
      <c r="F571" s="258"/>
      <c r="G571" s="258"/>
      <c r="H571" s="260"/>
      <c r="J571" s="197"/>
      <c r="M571" s="260"/>
    </row>
    <row r="572" spans="1:13" ht="12.65" customHeight="1" x14ac:dyDescent="0.3">
      <c r="A572" s="179" t="s">
        <v>585</v>
      </c>
      <c r="B572" s="235">
        <f>'Prior Year'!CA71</f>
        <v>0</v>
      </c>
      <c r="C572" s="235">
        <f>CA71</f>
        <v>0</v>
      </c>
      <c r="D572" s="180" t="s">
        <v>529</v>
      </c>
      <c r="E572" s="180" t="s">
        <v>529</v>
      </c>
      <c r="F572" s="258"/>
      <c r="G572" s="258"/>
      <c r="H572" s="260"/>
      <c r="J572" s="197"/>
      <c r="M572" s="260"/>
    </row>
    <row r="573" spans="1:13" ht="12.65" customHeight="1" x14ac:dyDescent="0.3">
      <c r="A573" s="179" t="s">
        <v>586</v>
      </c>
      <c r="B573" s="235">
        <f>'Prior Year'!CB71</f>
        <v>103848</v>
      </c>
      <c r="C573" s="235">
        <f>CB71</f>
        <v>92696</v>
      </c>
      <c r="D573" s="180" t="s">
        <v>529</v>
      </c>
      <c r="E573" s="180" t="s">
        <v>529</v>
      </c>
      <c r="F573" s="258"/>
      <c r="G573" s="258"/>
      <c r="H573" s="260"/>
      <c r="J573" s="197"/>
      <c r="M573" s="260"/>
    </row>
    <row r="574" spans="1:13" ht="12.65" customHeight="1" x14ac:dyDescent="0.3">
      <c r="A574" s="179" t="s">
        <v>587</v>
      </c>
      <c r="B574" s="235">
        <f>'Prior Year'!CC71</f>
        <v>2277279</v>
      </c>
      <c r="C574" s="235">
        <f>CC71</f>
        <v>2750106</v>
      </c>
      <c r="D574" s="180" t="s">
        <v>529</v>
      </c>
      <c r="E574" s="180" t="s">
        <v>529</v>
      </c>
      <c r="F574" s="258"/>
      <c r="G574" s="258"/>
      <c r="H574" s="260"/>
      <c r="J574" s="197"/>
      <c r="M574" s="260"/>
    </row>
    <row r="575" spans="1:13" ht="12.65" customHeight="1" x14ac:dyDescent="0.3">
      <c r="A575" s="179" t="s">
        <v>588</v>
      </c>
      <c r="B575" s="235">
        <f>'Prior Year'!CD71</f>
        <v>-1333823</v>
      </c>
      <c r="C575" s="235">
        <f>CD71</f>
        <v>-328936</v>
      </c>
      <c r="D575" s="180" t="s">
        <v>529</v>
      </c>
      <c r="E575" s="180" t="s">
        <v>529</v>
      </c>
      <c r="F575" s="258"/>
      <c r="G575" s="258"/>
      <c r="H575" s="260"/>
    </row>
    <row r="576" spans="1:13" ht="12.65" customHeight="1" x14ac:dyDescent="0.3">
      <c r="M576" s="260"/>
    </row>
    <row r="577" spans="13:13" ht="12.65" customHeight="1" x14ac:dyDescent="0.3">
      <c r="M577" s="260"/>
    </row>
    <row r="578" spans="13:13" ht="12.65" customHeight="1" x14ac:dyDescent="0.3">
      <c r="M578" s="260"/>
    </row>
    <row r="612" spans="1:14" ht="12.65" customHeight="1" x14ac:dyDescent="0.3">
      <c r="A612" s="194"/>
      <c r="C612" s="180" t="s">
        <v>589</v>
      </c>
      <c r="D612" s="179">
        <f>CE76-(BE76+CD76)</f>
        <v>154530.16333333333</v>
      </c>
      <c r="E612" s="179">
        <f>SUM(C624:D647)+SUM(C668:D713)</f>
        <v>111191876.39538132</v>
      </c>
      <c r="F612" s="179">
        <f>CE64-(AX64+BD64+BE64+BG64+BJ64+BN64+BP64+BQ64+CB64+CC64+CD64)</f>
        <v>23460881</v>
      </c>
      <c r="G612" s="179">
        <f>CE77-(AX77+AY77+BD77+BE77+BG77+BJ77+BN77+BP77+BQ77+CB77+CC77+CD77)</f>
        <v>12819</v>
      </c>
      <c r="H612" s="195">
        <f>CE60-(AX60+AY60+AZ60+BD60+BE60+BG60+BJ60+BN60+BO60+BP60+BQ60+BR60+CB60+CC60+CD60)</f>
        <v>516.87175641025647</v>
      </c>
      <c r="I612" s="179">
        <f>CE78-(AX78+AY78+AZ78+BD78+BE78+BF78+BG78+BJ78+BN78+BO78+BP78+BQ78+BR78+CB78+CC78+CD78)</f>
        <v>37049.957447161352</v>
      </c>
      <c r="J612" s="179">
        <f>CE79-(AX79+AY79+AZ79+BA79+BD79+BE79+BF79+BG79+BJ79+BN79+BO79+BP79+BQ79+BR79+CB79+CC79+CD79)</f>
        <v>456365</v>
      </c>
      <c r="K612" s="179">
        <f>CE75-(AW75+AX75+AY75+AZ75+BA75+BB75+BC75+BD75+BE75+BF75+BG75+BH75+BI75+BJ75+BK75+BL75+BM75+BN75+BO75+BP75+BQ75+BR75+BS75+BT75+BU75+BV75+BW75+BX75+CB75+CC75+CD75)</f>
        <v>256166250</v>
      </c>
      <c r="L612" s="195">
        <f>CE80-(AW80+AX80+AY80+AZ80+BA80+BB80+BC80+BD80+BE80+BF80+BG80+BH80+BI80+BJ80+BK80+BL80+BM80+BN80+BO80+BP80+BQ80+BR80+BS80+BT80+BU80+BV80+BW80+BX80+BY80+BZ80+CA80+CB80+CC80+CD80)</f>
        <v>111.70421634615381</v>
      </c>
    </row>
    <row r="613" spans="1:14" ht="12.65" customHeight="1" x14ac:dyDescent="0.3">
      <c r="A613" s="194"/>
      <c r="C613" s="180" t="s">
        <v>590</v>
      </c>
      <c r="D613" s="180" t="s">
        <v>591</v>
      </c>
      <c r="E613" s="196" t="s">
        <v>592</v>
      </c>
      <c r="F613" s="180" t="s">
        <v>593</v>
      </c>
      <c r="G613" s="180" t="s">
        <v>594</v>
      </c>
      <c r="H613" s="180" t="s">
        <v>595</v>
      </c>
      <c r="I613" s="180" t="s">
        <v>596</v>
      </c>
      <c r="J613" s="180" t="s">
        <v>597</v>
      </c>
      <c r="K613" s="180" t="s">
        <v>598</v>
      </c>
      <c r="L613" s="196" t="s">
        <v>599</v>
      </c>
    </row>
    <row r="614" spans="1:14" ht="12.65" customHeight="1" x14ac:dyDescent="0.3">
      <c r="A614" s="194">
        <v>8430</v>
      </c>
      <c r="B614" s="196" t="s">
        <v>140</v>
      </c>
      <c r="C614" s="179">
        <f>BE71</f>
        <v>3157351</v>
      </c>
      <c r="N614" s="197" t="s">
        <v>600</v>
      </c>
    </row>
    <row r="615" spans="1:14" ht="12.65" customHeight="1" x14ac:dyDescent="0.3">
      <c r="A615" s="194"/>
      <c r="B615" s="196" t="s">
        <v>601</v>
      </c>
      <c r="C615" s="268">
        <f>CD69-CD70</f>
        <v>-328936</v>
      </c>
      <c r="D615" s="261">
        <f>SUM(C614:C615)</f>
        <v>2828415</v>
      </c>
      <c r="N615" s="197" t="s">
        <v>602</v>
      </c>
    </row>
    <row r="616" spans="1:14" ht="12.65" customHeight="1" x14ac:dyDescent="0.3">
      <c r="A616" s="194">
        <v>8310</v>
      </c>
      <c r="B616" s="198" t="s">
        <v>603</v>
      </c>
      <c r="C616" s="179">
        <f>AX71</f>
        <v>0</v>
      </c>
      <c r="D616" s="179">
        <f>(D615/D612)*AX76</f>
        <v>0</v>
      </c>
      <c r="N616" s="197" t="s">
        <v>604</v>
      </c>
    </row>
    <row r="617" spans="1:14" ht="12.65" customHeight="1" x14ac:dyDescent="0.3">
      <c r="A617" s="194">
        <v>8510</v>
      </c>
      <c r="B617" s="198" t="s">
        <v>145</v>
      </c>
      <c r="C617" s="179">
        <f>BJ71</f>
        <v>1223008</v>
      </c>
      <c r="D617" s="179">
        <f>(D615/D612)*BJ76</f>
        <v>19838.022672067757</v>
      </c>
      <c r="N617" s="197" t="s">
        <v>605</v>
      </c>
    </row>
    <row r="618" spans="1:14" ht="12.65" customHeight="1" x14ac:dyDescent="0.3">
      <c r="A618" s="194">
        <v>8470</v>
      </c>
      <c r="B618" s="198" t="s">
        <v>606</v>
      </c>
      <c r="C618" s="179">
        <f>BG71</f>
        <v>309526</v>
      </c>
      <c r="D618" s="179">
        <f>(D615/D612)*BG76</f>
        <v>0</v>
      </c>
      <c r="N618" s="197" t="s">
        <v>607</v>
      </c>
    </row>
    <row r="619" spans="1:14" ht="12.65" customHeight="1" x14ac:dyDescent="0.3">
      <c r="A619" s="194">
        <v>8610</v>
      </c>
      <c r="B619" s="198" t="s">
        <v>608</v>
      </c>
      <c r="C619" s="179">
        <f>BN71</f>
        <v>4141221</v>
      </c>
      <c r="D619" s="179">
        <f>(D615/D612)*BN76</f>
        <v>206199.19140538239</v>
      </c>
      <c r="N619" s="197" t="s">
        <v>609</v>
      </c>
    </row>
    <row r="620" spans="1:14" ht="12.65" customHeight="1" x14ac:dyDescent="0.3">
      <c r="A620" s="194">
        <v>8790</v>
      </c>
      <c r="B620" s="198" t="s">
        <v>610</v>
      </c>
      <c r="C620" s="179">
        <f>CC71</f>
        <v>2750106</v>
      </c>
      <c r="D620" s="179">
        <f>(D615/D612)*CC76</f>
        <v>63234.339790005179</v>
      </c>
      <c r="N620" s="197" t="s">
        <v>611</v>
      </c>
    </row>
    <row r="621" spans="1:14" ht="12.65" customHeight="1" x14ac:dyDescent="0.3">
      <c r="A621" s="194">
        <v>8630</v>
      </c>
      <c r="B621" s="198" t="s">
        <v>612</v>
      </c>
      <c r="C621" s="179">
        <f>BP71</f>
        <v>363135</v>
      </c>
      <c r="D621" s="179">
        <f>(D615/D612)*BP76</f>
        <v>5287.8290935174264</v>
      </c>
      <c r="N621" s="197" t="s">
        <v>613</v>
      </c>
    </row>
    <row r="622" spans="1:14" ht="12.65" customHeight="1" x14ac:dyDescent="0.3">
      <c r="A622" s="194">
        <v>8770</v>
      </c>
      <c r="B622" s="196" t="s">
        <v>614</v>
      </c>
      <c r="C622" s="179">
        <f>CB71</f>
        <v>92696</v>
      </c>
      <c r="D622" s="179">
        <f>(D615/D612)*CB76</f>
        <v>29340.221657696209</v>
      </c>
      <c r="N622" s="197" t="s">
        <v>615</v>
      </c>
    </row>
    <row r="623" spans="1:14" ht="12.65" customHeight="1" x14ac:dyDescent="0.3">
      <c r="A623" s="194">
        <v>8640</v>
      </c>
      <c r="B623" s="198" t="s">
        <v>616</v>
      </c>
      <c r="C623" s="179">
        <f>BQ71</f>
        <v>0</v>
      </c>
      <c r="D623" s="179">
        <f>(D615/D612)*BQ76</f>
        <v>0</v>
      </c>
      <c r="E623" s="179">
        <f>SUM(C616:D623)</f>
        <v>9203591.6046186704</v>
      </c>
      <c r="N623" s="197" t="s">
        <v>617</v>
      </c>
    </row>
    <row r="624" spans="1:14" ht="12.65" customHeight="1" x14ac:dyDescent="0.3">
      <c r="A624" s="194">
        <v>8420</v>
      </c>
      <c r="B624" s="198" t="s">
        <v>139</v>
      </c>
      <c r="C624" s="179">
        <f>BD71</f>
        <v>807322</v>
      </c>
      <c r="D624" s="179">
        <f>(D615/D612)*BD76</f>
        <v>44564.923076830157</v>
      </c>
      <c r="E624" s="179">
        <f>(E623/E612)*SUM(C624:D624)</f>
        <v>70512.51932681675</v>
      </c>
      <c r="F624" s="179">
        <f>SUM(C624:E624)</f>
        <v>922399.44240364688</v>
      </c>
      <c r="N624" s="197" t="s">
        <v>618</v>
      </c>
    </row>
    <row r="625" spans="1:14" ht="12.65" customHeight="1" x14ac:dyDescent="0.3">
      <c r="A625" s="194">
        <v>8320</v>
      </c>
      <c r="B625" s="198" t="s">
        <v>135</v>
      </c>
      <c r="C625" s="179">
        <f>AY71</f>
        <v>829549</v>
      </c>
      <c r="D625" s="179">
        <f>(D615/D612)*AY76</f>
        <v>71170.933810031347</v>
      </c>
      <c r="E625" s="179">
        <f>(E623/E612)*SUM(C625:D625)</f>
        <v>74554.533025859011</v>
      </c>
      <c r="F625" s="179">
        <f>(F624/F612)*AY64</f>
        <v>13684.024957532691</v>
      </c>
      <c r="G625" s="179">
        <f>SUM(C625:F625)</f>
        <v>988958.49179342308</v>
      </c>
      <c r="N625" s="197" t="s">
        <v>619</v>
      </c>
    </row>
    <row r="626" spans="1:14" ht="12.65" customHeight="1" x14ac:dyDescent="0.3">
      <c r="A626" s="194">
        <v>8650</v>
      </c>
      <c r="B626" s="198" t="s">
        <v>152</v>
      </c>
      <c r="C626" s="179">
        <f>BR71</f>
        <v>1245608</v>
      </c>
      <c r="D626" s="179">
        <f>(D615/D612)*BR76</f>
        <v>29263.347714488282</v>
      </c>
      <c r="E626" s="179">
        <f>(E623/E612)*SUM(C626:D626)</f>
        <v>105523.85311919547</v>
      </c>
      <c r="F626" s="179">
        <f>(F624/F612)*BR64</f>
        <v>572.13353095554555</v>
      </c>
      <c r="G626" s="179">
        <f>(G625/G612)*BR77</f>
        <v>0</v>
      </c>
      <c r="N626" s="197" t="s">
        <v>620</v>
      </c>
    </row>
    <row r="627" spans="1:14" ht="12.65" customHeight="1" x14ac:dyDescent="0.3">
      <c r="A627" s="194">
        <v>8620</v>
      </c>
      <c r="B627" s="196" t="s">
        <v>621</v>
      </c>
      <c r="C627" s="179">
        <f>BO71</f>
        <v>90862</v>
      </c>
      <c r="D627" s="179">
        <f>(D615/D612)*BO76</f>
        <v>4447.706714173537</v>
      </c>
      <c r="E627" s="179">
        <f>(E623/E612)*SUM(C627:D627)</f>
        <v>7888.9901401976158</v>
      </c>
      <c r="F627" s="179">
        <f>(F624/F612)*BO64</f>
        <v>1451.9185792095479</v>
      </c>
      <c r="G627" s="179">
        <f>(G625/G612)*BO77</f>
        <v>0</v>
      </c>
      <c r="N627" s="197" t="s">
        <v>622</v>
      </c>
    </row>
    <row r="628" spans="1:14" ht="12.65" customHeight="1" x14ac:dyDescent="0.3">
      <c r="A628" s="194">
        <v>8330</v>
      </c>
      <c r="B628" s="198" t="s">
        <v>136</v>
      </c>
      <c r="C628" s="179">
        <f>AZ71</f>
        <v>0</v>
      </c>
      <c r="D628" s="179">
        <f>(D615/D612)*AZ76</f>
        <v>0</v>
      </c>
      <c r="E628" s="179">
        <f>(E623/E612)*SUM(C628:D628)</f>
        <v>0</v>
      </c>
      <c r="F628" s="179">
        <f>(F624/F612)*AZ64</f>
        <v>0</v>
      </c>
      <c r="G628" s="179">
        <f>(G625/G612)*AZ77</f>
        <v>0</v>
      </c>
      <c r="H628" s="179">
        <f>SUM(C626:G628)</f>
        <v>1485617.9497982201</v>
      </c>
      <c r="N628" s="197" t="s">
        <v>623</v>
      </c>
    </row>
    <row r="629" spans="1:14" ht="12.65" customHeight="1" x14ac:dyDescent="0.3">
      <c r="A629" s="194">
        <v>8460</v>
      </c>
      <c r="B629" s="198" t="s">
        <v>141</v>
      </c>
      <c r="C629" s="179">
        <f>BF71</f>
        <v>1521090</v>
      </c>
      <c r="D629" s="179">
        <f>(D615/D612)*BF76</f>
        <v>57089.732296115493</v>
      </c>
      <c r="E629" s="179">
        <f>(E623/E612)*SUM(C629:D629)</f>
        <v>130629.34276863417</v>
      </c>
      <c r="F629" s="179">
        <f>(F624/F612)*BF64</f>
        <v>7523.9176437534934</v>
      </c>
      <c r="G629" s="179">
        <f>(G625/G612)*BF77</f>
        <v>0</v>
      </c>
      <c r="H629" s="179">
        <f>(H628/H612)*BF60</f>
        <v>66915.825089903694</v>
      </c>
      <c r="I629" s="179">
        <f>SUM(C629:H629)</f>
        <v>1783248.817798407</v>
      </c>
      <c r="N629" s="197" t="s">
        <v>624</v>
      </c>
    </row>
    <row r="630" spans="1:14" ht="12.65" customHeight="1" x14ac:dyDescent="0.3">
      <c r="A630" s="194">
        <v>8350</v>
      </c>
      <c r="B630" s="198" t="s">
        <v>625</v>
      </c>
      <c r="C630" s="179">
        <f>BA71</f>
        <v>316115</v>
      </c>
      <c r="D630" s="179">
        <f>(D615/D612)*BA76</f>
        <v>0</v>
      </c>
      <c r="E630" s="179">
        <f>(E623/E612)*SUM(C630:D630)</f>
        <v>26165.520849281049</v>
      </c>
      <c r="F630" s="179">
        <f>(F624/F612)*BA64</f>
        <v>1365.9727368051483</v>
      </c>
      <c r="G630" s="179">
        <f>(G625/G612)*BA77</f>
        <v>0</v>
      </c>
      <c r="H630" s="179">
        <f>(H628/H612)*BA60</f>
        <v>0</v>
      </c>
      <c r="I630" s="179">
        <f>(I629/I612)*BA78</f>
        <v>116431.5488984532</v>
      </c>
      <c r="J630" s="179">
        <f>SUM(C630:I630)</f>
        <v>460078.04248453939</v>
      </c>
      <c r="N630" s="197" t="s">
        <v>626</v>
      </c>
    </row>
    <row r="631" spans="1:14" ht="12.65" customHeight="1" x14ac:dyDescent="0.3">
      <c r="A631" s="194">
        <v>8200</v>
      </c>
      <c r="B631" s="198" t="s">
        <v>627</v>
      </c>
      <c r="C631" s="179">
        <f>AW71</f>
        <v>0</v>
      </c>
      <c r="D631" s="179">
        <f>(D615/D612)*AW76</f>
        <v>0</v>
      </c>
      <c r="E631" s="179">
        <f>(E623/E612)*SUM(C631:D631)</f>
        <v>0</v>
      </c>
      <c r="F631" s="179">
        <f>(F624/F612)*AW64</f>
        <v>0</v>
      </c>
      <c r="G631" s="179">
        <f>(G625/G612)*AW77</f>
        <v>0</v>
      </c>
      <c r="H631" s="179">
        <f>(H628/H612)*AW60</f>
        <v>0</v>
      </c>
      <c r="I631" s="179">
        <f>(I629/I612)*AW78</f>
        <v>0</v>
      </c>
      <c r="J631" s="179">
        <f>(J630/J612)*AW79</f>
        <v>0</v>
      </c>
      <c r="N631" s="197" t="s">
        <v>628</v>
      </c>
    </row>
    <row r="632" spans="1:14" ht="12.65" customHeight="1" x14ac:dyDescent="0.3">
      <c r="A632" s="194">
        <v>8360</v>
      </c>
      <c r="B632" s="198" t="s">
        <v>629</v>
      </c>
      <c r="C632" s="179">
        <f>BB71</f>
        <v>1743</v>
      </c>
      <c r="D632" s="179">
        <f>(D615/D612)*BB76</f>
        <v>1416.6769534034233</v>
      </c>
      <c r="E632" s="179">
        <f>(E623/E612)*SUM(C632:D632)</f>
        <v>261.53328124660356</v>
      </c>
      <c r="F632" s="179">
        <f>(F624/F612)*BB64</f>
        <v>0</v>
      </c>
      <c r="G632" s="179">
        <f>(G625/G612)*BB77</f>
        <v>0</v>
      </c>
      <c r="H632" s="179">
        <f>(H628/H612)*BB60</f>
        <v>0</v>
      </c>
      <c r="I632" s="179">
        <f>(I629/I612)*BB78</f>
        <v>0</v>
      </c>
      <c r="J632" s="179">
        <f>(J630/J612)*BB79</f>
        <v>0</v>
      </c>
      <c r="N632" s="197" t="s">
        <v>630</v>
      </c>
    </row>
    <row r="633" spans="1:14" ht="12.65" customHeight="1" x14ac:dyDescent="0.3">
      <c r="A633" s="194">
        <v>8370</v>
      </c>
      <c r="B633" s="198" t="s">
        <v>631</v>
      </c>
      <c r="C633" s="179">
        <f>BC71</f>
        <v>0</v>
      </c>
      <c r="D633" s="179">
        <f>(D615/D612)*BC76</f>
        <v>0</v>
      </c>
      <c r="E633" s="179">
        <f>(E623/E612)*SUM(C633:D633)</f>
        <v>0</v>
      </c>
      <c r="F633" s="179">
        <f>(F624/F612)*BC64</f>
        <v>0</v>
      </c>
      <c r="G633" s="179">
        <f>(G625/G612)*BC77</f>
        <v>0</v>
      </c>
      <c r="H633" s="179">
        <f>(H628/H612)*BC60</f>
        <v>0</v>
      </c>
      <c r="I633" s="179">
        <f>(I629/I612)*BC78</f>
        <v>0</v>
      </c>
      <c r="J633" s="179">
        <f>(J630/J612)*BC79</f>
        <v>0</v>
      </c>
      <c r="N633" s="197" t="s">
        <v>632</v>
      </c>
    </row>
    <row r="634" spans="1:14" ht="12.65" customHeight="1" x14ac:dyDescent="0.3">
      <c r="A634" s="194">
        <v>8490</v>
      </c>
      <c r="B634" s="198" t="s">
        <v>633</v>
      </c>
      <c r="C634" s="179">
        <f>BI71</f>
        <v>0</v>
      </c>
      <c r="D634" s="179">
        <f>(D615/D612)*BI76</f>
        <v>0</v>
      </c>
      <c r="E634" s="179">
        <f>(E623/E612)*SUM(C634:D634)</f>
        <v>0</v>
      </c>
      <c r="F634" s="179">
        <f>(F624/F612)*BI64</f>
        <v>0</v>
      </c>
      <c r="G634" s="179">
        <f>(G625/G612)*BI77</f>
        <v>0</v>
      </c>
      <c r="H634" s="179">
        <f>(H628/H612)*BI60</f>
        <v>0</v>
      </c>
      <c r="I634" s="179">
        <f>(I629/I612)*BI78</f>
        <v>0</v>
      </c>
      <c r="J634" s="179">
        <f>(J630/J612)*BI79</f>
        <v>82952.46473711908</v>
      </c>
      <c r="N634" s="197" t="s">
        <v>634</v>
      </c>
    </row>
    <row r="635" spans="1:14" ht="12.65" customHeight="1" x14ac:dyDescent="0.3">
      <c r="A635" s="194">
        <v>8530</v>
      </c>
      <c r="B635" s="198" t="s">
        <v>635</v>
      </c>
      <c r="C635" s="179">
        <f>BK71</f>
        <v>1758123</v>
      </c>
      <c r="D635" s="179">
        <f>(D615/D612)*BK76</f>
        <v>69488.553664032239</v>
      </c>
      <c r="E635" s="179">
        <f>(E623/E612)*SUM(C635:D635)</f>
        <v>151275.35299426841</v>
      </c>
      <c r="F635" s="179">
        <f>(F624/F612)*BK64</f>
        <v>490.31591977368117</v>
      </c>
      <c r="G635" s="179">
        <f>(G625/G612)*BK77</f>
        <v>0</v>
      </c>
      <c r="H635" s="179">
        <f>(H628/H612)*BK60</f>
        <v>40311.337362728809</v>
      </c>
      <c r="I635" s="179">
        <f>(I629/I612)*BK78</f>
        <v>0</v>
      </c>
      <c r="J635" s="179">
        <f>(J630/J612)*BK79</f>
        <v>0</v>
      </c>
      <c r="N635" s="197" t="s">
        <v>636</v>
      </c>
    </row>
    <row r="636" spans="1:14" ht="12.65" customHeight="1" x14ac:dyDescent="0.3">
      <c r="A636" s="194">
        <v>8480</v>
      </c>
      <c r="B636" s="198" t="s">
        <v>637</v>
      </c>
      <c r="C636" s="179">
        <f>BH71</f>
        <v>4465175</v>
      </c>
      <c r="D636" s="179">
        <f>(D615/D612)*BH76</f>
        <v>76196.384814052159</v>
      </c>
      <c r="E636" s="179">
        <f>(E623/E612)*SUM(C636:D636)</f>
        <v>375899.11156914546</v>
      </c>
      <c r="F636" s="179">
        <f>(F624/F612)*BH64</f>
        <v>24325.818719471772</v>
      </c>
      <c r="G636" s="179">
        <f>(G625/G612)*BH77</f>
        <v>0</v>
      </c>
      <c r="H636" s="179">
        <f>(H628/H612)*BH60</f>
        <v>47299.078031035628</v>
      </c>
      <c r="I636" s="179">
        <f>(I629/I612)*BH78</f>
        <v>0</v>
      </c>
      <c r="J636" s="179">
        <f>(J630/J612)*BH79</f>
        <v>0</v>
      </c>
      <c r="N636" s="197" t="s">
        <v>638</v>
      </c>
    </row>
    <row r="637" spans="1:14" ht="12.65" customHeight="1" x14ac:dyDescent="0.3">
      <c r="A637" s="194">
        <v>8560</v>
      </c>
      <c r="B637" s="198" t="s">
        <v>147</v>
      </c>
      <c r="C637" s="179">
        <f>BL71</f>
        <v>891275</v>
      </c>
      <c r="D637" s="179">
        <f>(D615/D612)*BL76</f>
        <v>36258.876546410589</v>
      </c>
      <c r="E637" s="179">
        <f>(E623/E612)*SUM(C637:D637)</f>
        <v>76773.980941080241</v>
      </c>
      <c r="F637" s="179">
        <f>(F624/F612)*BL64</f>
        <v>608.54059868952265</v>
      </c>
      <c r="G637" s="179">
        <f>(G625/G612)*BL77</f>
        <v>0</v>
      </c>
      <c r="H637" s="179">
        <f>(H628/H612)*BL60</f>
        <v>40623.082793588255</v>
      </c>
      <c r="I637" s="179">
        <f>(I629/I612)*BL78</f>
        <v>0</v>
      </c>
      <c r="J637" s="179">
        <f>(J630/J612)*BL79</f>
        <v>0</v>
      </c>
      <c r="N637" s="197" t="s">
        <v>639</v>
      </c>
    </row>
    <row r="638" spans="1:14" ht="12.65" customHeight="1" x14ac:dyDescent="0.3">
      <c r="A638" s="194">
        <v>8590</v>
      </c>
      <c r="B638" s="198" t="s">
        <v>640</v>
      </c>
      <c r="C638" s="179">
        <f>BM71</f>
        <v>430479</v>
      </c>
      <c r="D638" s="179">
        <f>(D615/D612)*BM76</f>
        <v>6699.0150509774257</v>
      </c>
      <c r="E638" s="179">
        <f>(E623/E612)*SUM(C638:D638)</f>
        <v>36186.167906184943</v>
      </c>
      <c r="F638" s="179">
        <f>(F624/F612)*BM64</f>
        <v>143.58381356855773</v>
      </c>
      <c r="G638" s="179">
        <f>(G625/G612)*BM77</f>
        <v>0</v>
      </c>
      <c r="H638" s="179">
        <f>(H628/H612)*BM60</f>
        <v>13364.150757658816</v>
      </c>
      <c r="I638" s="179">
        <f>(I629/I612)*BM78</f>
        <v>0</v>
      </c>
      <c r="J638" s="179">
        <f>(J630/J612)*BM79</f>
        <v>0</v>
      </c>
      <c r="N638" s="197" t="s">
        <v>641</v>
      </c>
    </row>
    <row r="639" spans="1:14" ht="12.65" customHeight="1" x14ac:dyDescent="0.3">
      <c r="A639" s="194">
        <v>8660</v>
      </c>
      <c r="B639" s="198" t="s">
        <v>642</v>
      </c>
      <c r="C639" s="179">
        <f>BS71</f>
        <v>115282</v>
      </c>
      <c r="D639" s="179">
        <f>(D615/D612)*BS76</f>
        <v>9733.3241565470835</v>
      </c>
      <c r="E639" s="179">
        <f>(E623/E612)*SUM(C639:D639)</f>
        <v>10347.788212194175</v>
      </c>
      <c r="F639" s="179">
        <f>(F624/F612)*BS64</f>
        <v>63.378178387873788</v>
      </c>
      <c r="G639" s="179">
        <f>(G625/G612)*BS77</f>
        <v>0</v>
      </c>
      <c r="H639" s="179">
        <f>(H628/H612)*BS60</f>
        <v>2163.4248517444194</v>
      </c>
      <c r="I639" s="179">
        <f>(I629/I612)*BS78</f>
        <v>0</v>
      </c>
      <c r="J639" s="179">
        <f>(J630/J612)*BS79</f>
        <v>0</v>
      </c>
      <c r="N639" s="197" t="s">
        <v>643</v>
      </c>
    </row>
    <row r="640" spans="1:14" ht="12.65" customHeight="1" x14ac:dyDescent="0.3">
      <c r="A640" s="194">
        <v>8670</v>
      </c>
      <c r="B640" s="198" t="s">
        <v>644</v>
      </c>
      <c r="C640" s="179">
        <f>BT71</f>
        <v>0</v>
      </c>
      <c r="D640" s="179">
        <f>(D615/D612)*BT76</f>
        <v>0</v>
      </c>
      <c r="E640" s="179">
        <f>(E623/E612)*SUM(C640:D640)</f>
        <v>0</v>
      </c>
      <c r="F640" s="179">
        <f>(F624/F612)*BT64</f>
        <v>0</v>
      </c>
      <c r="G640" s="179">
        <f>(G625/G612)*BT77</f>
        <v>0</v>
      </c>
      <c r="H640" s="179">
        <f>(H628/H612)*BT60</f>
        <v>0</v>
      </c>
      <c r="I640" s="179">
        <f>(I629/I612)*BT78</f>
        <v>0</v>
      </c>
      <c r="J640" s="179">
        <f>(J630/J612)*BT79</f>
        <v>0</v>
      </c>
      <c r="N640" s="197" t="s">
        <v>645</v>
      </c>
    </row>
    <row r="641" spans="1:14" ht="12.65" customHeight="1" x14ac:dyDescent="0.3">
      <c r="A641" s="194">
        <v>8680</v>
      </c>
      <c r="B641" s="198" t="s">
        <v>646</v>
      </c>
      <c r="C641" s="179">
        <f>BU71</f>
        <v>0</v>
      </c>
      <c r="D641" s="179">
        <f>(D615/D612)*BU76</f>
        <v>0</v>
      </c>
      <c r="E641" s="179">
        <f>(E623/E612)*SUM(C641:D641)</f>
        <v>0</v>
      </c>
      <c r="F641" s="179">
        <f>(F624/F612)*BU64</f>
        <v>0</v>
      </c>
      <c r="G641" s="179">
        <f>(G625/G612)*BU77</f>
        <v>0</v>
      </c>
      <c r="H641" s="179">
        <f>(H628/H612)*BU60</f>
        <v>0</v>
      </c>
      <c r="I641" s="179">
        <f>(I629/I612)*BU78</f>
        <v>0</v>
      </c>
      <c r="J641" s="179">
        <f>(J630/J612)*BU79</f>
        <v>0</v>
      </c>
      <c r="N641" s="197" t="s">
        <v>647</v>
      </c>
    </row>
    <row r="642" spans="1:14" ht="12.65" customHeight="1" x14ac:dyDescent="0.3">
      <c r="A642" s="194">
        <v>8690</v>
      </c>
      <c r="B642" s="198" t="s">
        <v>648</v>
      </c>
      <c r="C642" s="179">
        <f>BV71</f>
        <v>906593</v>
      </c>
      <c r="D642" s="179">
        <f>(D615/D612)*BV76</f>
        <v>15521.215200078843</v>
      </c>
      <c r="E642" s="179">
        <f>(E623/E612)*SUM(C642:D642)</f>
        <v>76325.383873704486</v>
      </c>
      <c r="F642" s="179">
        <f>(F624/F612)*BV64</f>
        <v>409.75643620249417</v>
      </c>
      <c r="G642" s="179">
        <f>(G625/G612)*BV77</f>
        <v>0</v>
      </c>
      <c r="H642" s="179">
        <f>(H628/H612)*BV60</f>
        <v>36300.655011104522</v>
      </c>
      <c r="I642" s="179">
        <f>(I629/I612)*BV78</f>
        <v>0</v>
      </c>
      <c r="J642" s="179">
        <f>(J630/J612)*BV79</f>
        <v>0</v>
      </c>
      <c r="N642" s="197" t="s">
        <v>649</v>
      </c>
    </row>
    <row r="643" spans="1:14" ht="12.65" customHeight="1" x14ac:dyDescent="0.3">
      <c r="A643" s="194">
        <v>8700</v>
      </c>
      <c r="B643" s="198" t="s">
        <v>650</v>
      </c>
      <c r="C643" s="179">
        <f>BW71</f>
        <v>768572</v>
      </c>
      <c r="D643" s="179">
        <f>(D615/D612)*BW76</f>
        <v>7156.7505739278668</v>
      </c>
      <c r="E643" s="179">
        <f>(E623/E612)*SUM(C643:D643)</f>
        <v>64208.743009755461</v>
      </c>
      <c r="F643" s="179">
        <f>(F624/F612)*BW64</f>
        <v>409.87438566599519</v>
      </c>
      <c r="G643" s="179">
        <f>(G625/G612)*BW77</f>
        <v>0</v>
      </c>
      <c r="H643" s="179">
        <f>(H628/H612)*BW60</f>
        <v>4711.5568309324053</v>
      </c>
      <c r="I643" s="179">
        <f>(I629/I612)*BW78</f>
        <v>0</v>
      </c>
      <c r="J643" s="179">
        <f>(J630/J612)*BW79</f>
        <v>0</v>
      </c>
      <c r="N643" s="197" t="s">
        <v>651</v>
      </c>
    </row>
    <row r="644" spans="1:14" ht="12.65" customHeight="1" x14ac:dyDescent="0.3">
      <c r="A644" s="194">
        <v>8710</v>
      </c>
      <c r="B644" s="198" t="s">
        <v>652</v>
      </c>
      <c r="C644" s="179">
        <f>BX71</f>
        <v>664092</v>
      </c>
      <c r="D644" s="179">
        <f>(D615/D612)*BX76</f>
        <v>6593.3133790665124</v>
      </c>
      <c r="E644" s="179">
        <f>(E623/E612)*SUM(C644:D644)</f>
        <v>55514.07098849013</v>
      </c>
      <c r="F644" s="179">
        <f>(F624/F612)*BX64</f>
        <v>145.74622039940951</v>
      </c>
      <c r="G644" s="179">
        <f>(G625/G612)*BX77</f>
        <v>0</v>
      </c>
      <c r="H644" s="179">
        <f>(H628/H612)*BX60</f>
        <v>17314.031695463014</v>
      </c>
      <c r="I644" s="179">
        <f>(I629/I612)*BX78</f>
        <v>0</v>
      </c>
      <c r="J644" s="179">
        <f>(J630/J612)*BX79</f>
        <v>0</v>
      </c>
      <c r="K644" s="179">
        <f>SUM(C631:J644)</f>
        <v>11388827.039458102</v>
      </c>
      <c r="N644" s="197" t="s">
        <v>653</v>
      </c>
    </row>
    <row r="645" spans="1:14" ht="12.65" customHeight="1" x14ac:dyDescent="0.3">
      <c r="A645" s="194">
        <v>8720</v>
      </c>
      <c r="B645" s="198" t="s">
        <v>654</v>
      </c>
      <c r="C645" s="179">
        <f>BY71</f>
        <v>1577781</v>
      </c>
      <c r="D645" s="179">
        <f>(D615/D612)*BY76</f>
        <v>16568.546412454452</v>
      </c>
      <c r="E645" s="179">
        <f>(E623/E612)*SUM(C645:D645)</f>
        <v>131967.75318379974</v>
      </c>
      <c r="F645" s="179">
        <f>(F624/F612)*BY64</f>
        <v>823.28725523702053</v>
      </c>
      <c r="G645" s="179">
        <f>(G625/G612)*BY77</f>
        <v>0</v>
      </c>
      <c r="H645" s="179">
        <f>(H628/H612)*BY60</f>
        <v>24438.851914927891</v>
      </c>
      <c r="I645" s="179">
        <f>(I629/I612)*BY78</f>
        <v>0</v>
      </c>
      <c r="J645" s="179">
        <f>(J630/J612)*BY79</f>
        <v>0</v>
      </c>
      <c r="K645" s="179">
        <v>0</v>
      </c>
      <c r="N645" s="197" t="s">
        <v>655</v>
      </c>
    </row>
    <row r="646" spans="1:14" ht="12.65" customHeight="1" x14ac:dyDescent="0.3">
      <c r="A646" s="194">
        <v>8730</v>
      </c>
      <c r="B646" s="198" t="s">
        <v>656</v>
      </c>
      <c r="C646" s="179">
        <f>BZ71</f>
        <v>0</v>
      </c>
      <c r="D646" s="179">
        <f>(D615/D612)*BZ76</f>
        <v>0</v>
      </c>
      <c r="E646" s="179">
        <f>(E623/E612)*SUM(C646:D646)</f>
        <v>0</v>
      </c>
      <c r="F646" s="179">
        <f>(F624/F612)*BZ64</f>
        <v>0</v>
      </c>
      <c r="G646" s="179">
        <f>(G625/G612)*BZ77</f>
        <v>0</v>
      </c>
      <c r="H646" s="179">
        <f>(H628/H612)*BZ60</f>
        <v>0</v>
      </c>
      <c r="I646" s="179">
        <f>(I629/I612)*BZ78</f>
        <v>0</v>
      </c>
      <c r="J646" s="179">
        <f>(J630/J612)*BZ79</f>
        <v>0</v>
      </c>
      <c r="K646" s="179">
        <v>0</v>
      </c>
      <c r="N646" s="197" t="s">
        <v>657</v>
      </c>
    </row>
    <row r="647" spans="1:14" ht="12.65" customHeight="1" x14ac:dyDescent="0.3">
      <c r="A647" s="194">
        <v>8740</v>
      </c>
      <c r="B647" s="198" t="s">
        <v>658</v>
      </c>
      <c r="C647" s="179">
        <f>CA71</f>
        <v>0</v>
      </c>
      <c r="D647" s="179">
        <f>(D615/D612)*CA76</f>
        <v>0</v>
      </c>
      <c r="E647" s="179">
        <f>(E623/E612)*SUM(C647:D647)</f>
        <v>0</v>
      </c>
      <c r="F647" s="179">
        <f>(F624/F612)*CA64</f>
        <v>0</v>
      </c>
      <c r="G647" s="179">
        <f>(G625/G612)*CA77</f>
        <v>0</v>
      </c>
      <c r="H647" s="179">
        <f>(H628/H612)*CA60</f>
        <v>0</v>
      </c>
      <c r="I647" s="179">
        <f>(I629/I612)*CA78</f>
        <v>0</v>
      </c>
      <c r="J647" s="179">
        <f>(J630/J612)*CA79</f>
        <v>0</v>
      </c>
      <c r="K647" s="179">
        <v>0</v>
      </c>
      <c r="L647" s="179">
        <f>SUM(C645:K647)</f>
        <v>1751579.4387664192</v>
      </c>
      <c r="N647" s="197" t="s">
        <v>659</v>
      </c>
    </row>
    <row r="648" spans="1:14" ht="12.65" customHeight="1" x14ac:dyDescent="0.3">
      <c r="A648" s="194"/>
      <c r="B648" s="194"/>
      <c r="C648" s="179">
        <f>SUM(C614:C647)</f>
        <v>28097768</v>
      </c>
      <c r="L648" s="261"/>
    </row>
    <row r="666" spans="1:14" ht="12.65" customHeight="1" x14ac:dyDescent="0.3">
      <c r="C666" s="180" t="s">
        <v>660</v>
      </c>
      <c r="M666" s="180" t="s">
        <v>661</v>
      </c>
    </row>
    <row r="667" spans="1:14" ht="12.65" customHeight="1" x14ac:dyDescent="0.3">
      <c r="C667" s="180" t="s">
        <v>590</v>
      </c>
      <c r="D667" s="180" t="s">
        <v>591</v>
      </c>
      <c r="E667" s="196" t="s">
        <v>592</v>
      </c>
      <c r="F667" s="180" t="s">
        <v>593</v>
      </c>
      <c r="G667" s="180" t="s">
        <v>594</v>
      </c>
      <c r="H667" s="180" t="s">
        <v>595</v>
      </c>
      <c r="I667" s="180" t="s">
        <v>596</v>
      </c>
      <c r="J667" s="180" t="s">
        <v>597</v>
      </c>
      <c r="K667" s="180" t="s">
        <v>598</v>
      </c>
      <c r="L667" s="196" t="s">
        <v>599</v>
      </c>
      <c r="M667" s="180" t="s">
        <v>662</v>
      </c>
    </row>
    <row r="668" spans="1:14" ht="12.65" customHeight="1" x14ac:dyDescent="0.3">
      <c r="A668" s="194">
        <v>6010</v>
      </c>
      <c r="B668" s="196" t="s">
        <v>283</v>
      </c>
      <c r="C668" s="179">
        <f>C71</f>
        <v>1339761</v>
      </c>
      <c r="D668" s="179">
        <f>(D615/D612)*C76</f>
        <v>47679.232942742208</v>
      </c>
      <c r="E668" s="179">
        <f>(E623/E612)*SUM(C668:D668)</f>
        <v>114841.42271703234</v>
      </c>
      <c r="F668" s="179">
        <f>(F624/F612)*C64</f>
        <v>2582.542819842356</v>
      </c>
      <c r="G668" s="179">
        <f>(G625/G612)*C77</f>
        <v>56780.829234726523</v>
      </c>
      <c r="H668" s="179">
        <f>(H628/H612)*C60</f>
        <v>27516.508934476424</v>
      </c>
      <c r="I668" s="179">
        <f>(I629/I612)*C78</f>
        <v>50447.14635733654</v>
      </c>
      <c r="J668" s="179">
        <f>(J630/J612)*C79</f>
        <v>14372.996727843016</v>
      </c>
      <c r="K668" s="179">
        <f>(K644/K612)*C75</f>
        <v>88998.515263463225</v>
      </c>
      <c r="L668" s="179">
        <f>(L647/L612)*C80</f>
        <v>108821.63079274489</v>
      </c>
      <c r="M668" s="179">
        <f t="shared" ref="M668:M713" si="20">ROUND(SUM(D668:L668),0)</f>
        <v>512041</v>
      </c>
      <c r="N668" s="196" t="s">
        <v>663</v>
      </c>
    </row>
    <row r="669" spans="1:14" ht="12.65" customHeight="1" x14ac:dyDescent="0.3">
      <c r="A669" s="194">
        <v>6030</v>
      </c>
      <c r="B669" s="196" t="s">
        <v>284</v>
      </c>
      <c r="C669" s="179">
        <f>D71</f>
        <v>0</v>
      </c>
      <c r="D669" s="179">
        <f>(D615/D612)*D76</f>
        <v>0</v>
      </c>
      <c r="E669" s="179">
        <f>(E623/E612)*SUM(C669:D669)</f>
        <v>0</v>
      </c>
      <c r="F669" s="179">
        <f>(F624/F612)*D64</f>
        <v>0</v>
      </c>
      <c r="G669" s="179">
        <f>(G625/G612)*D77</f>
        <v>0</v>
      </c>
      <c r="H669" s="179">
        <f>(H628/H612)*D60</f>
        <v>0</v>
      </c>
      <c r="I669" s="179">
        <f>(I629/I612)*D78</f>
        <v>0</v>
      </c>
      <c r="J669" s="179">
        <f>(J630/J612)*D79</f>
        <v>0</v>
      </c>
      <c r="K669" s="179">
        <f>(K644/K612)*D75</f>
        <v>0</v>
      </c>
      <c r="L669" s="179">
        <f>(L647/L612)*D80</f>
        <v>0</v>
      </c>
      <c r="M669" s="179">
        <f t="shared" si="20"/>
        <v>0</v>
      </c>
      <c r="N669" s="196" t="s">
        <v>664</v>
      </c>
    </row>
    <row r="670" spans="1:14" ht="12.65" customHeight="1" x14ac:dyDescent="0.3">
      <c r="A670" s="194">
        <v>6070</v>
      </c>
      <c r="B670" s="196" t="s">
        <v>665</v>
      </c>
      <c r="C670" s="179">
        <f>E71</f>
        <v>4110844</v>
      </c>
      <c r="D670" s="179">
        <f>(D615/D612)*E76</f>
        <v>101901.71968486668</v>
      </c>
      <c r="E670" s="179">
        <f>(E623/E612)*SUM(C670:D670)</f>
        <v>348698.05596423411</v>
      </c>
      <c r="F670" s="179">
        <f>(F624/F612)*E64</f>
        <v>8403.8599579588299</v>
      </c>
      <c r="G670" s="179">
        <f>(G625/G612)*E77</f>
        <v>891520.73727785284</v>
      </c>
      <c r="H670" s="179">
        <f>(H628/H612)*E60</f>
        <v>110572.34569298945</v>
      </c>
      <c r="I670" s="179">
        <f>(I629/I612)*E78</f>
        <v>263888.67392451776</v>
      </c>
      <c r="J670" s="179">
        <f>(J630/J612)*E79</f>
        <v>65189.106222382892</v>
      </c>
      <c r="K670" s="179">
        <f>(K644/K612)*E75</f>
        <v>392435.28438624111</v>
      </c>
      <c r="L670" s="179">
        <f>(L647/L612)*E80</f>
        <v>293925.6412655313</v>
      </c>
      <c r="M670" s="179">
        <f t="shared" si="20"/>
        <v>2476535</v>
      </c>
      <c r="N670" s="196" t="s">
        <v>666</v>
      </c>
    </row>
    <row r="671" spans="1:14" ht="12.65" customHeight="1" x14ac:dyDescent="0.3">
      <c r="A671" s="194">
        <v>6100</v>
      </c>
      <c r="B671" s="196" t="s">
        <v>667</v>
      </c>
      <c r="C671" s="179">
        <f>F71</f>
        <v>0</v>
      </c>
      <c r="D671" s="179">
        <f>(D615/D612)*F76</f>
        <v>0</v>
      </c>
      <c r="E671" s="179">
        <f>(E623/E612)*SUM(C671:D671)</f>
        <v>0</v>
      </c>
      <c r="F671" s="179">
        <f>(F624/F612)*F64</f>
        <v>0</v>
      </c>
      <c r="G671" s="179">
        <f>(G625/G612)*F77</f>
        <v>0</v>
      </c>
      <c r="H671" s="179">
        <f>(H628/H612)*F60</f>
        <v>0</v>
      </c>
      <c r="I671" s="179">
        <f>(I629/I612)*F78</f>
        <v>0</v>
      </c>
      <c r="J671" s="179">
        <f>(J630/J612)*F79</f>
        <v>0</v>
      </c>
      <c r="K671" s="179">
        <f>(K644/K612)*F75</f>
        <v>0</v>
      </c>
      <c r="L671" s="179">
        <f>(L647/L612)*F80</f>
        <v>0</v>
      </c>
      <c r="M671" s="179">
        <f t="shared" si="20"/>
        <v>0</v>
      </c>
      <c r="N671" s="196" t="s">
        <v>668</v>
      </c>
    </row>
    <row r="672" spans="1:14" ht="12.65" customHeight="1" x14ac:dyDescent="0.3">
      <c r="A672" s="194">
        <v>6120</v>
      </c>
      <c r="B672" s="196" t="s">
        <v>669</v>
      </c>
      <c r="C672" s="179">
        <f>G71</f>
        <v>0</v>
      </c>
      <c r="D672" s="179">
        <f>(D615/D612)*G76</f>
        <v>0</v>
      </c>
      <c r="E672" s="179">
        <f>(E623/E612)*SUM(C672:D672)</f>
        <v>0</v>
      </c>
      <c r="F672" s="179">
        <f>(F624/F612)*G64</f>
        <v>0</v>
      </c>
      <c r="G672" s="179">
        <f>(G625/G612)*G77</f>
        <v>0</v>
      </c>
      <c r="H672" s="179">
        <f>(H628/H612)*G60</f>
        <v>0</v>
      </c>
      <c r="I672" s="179">
        <f>(I629/I612)*G78</f>
        <v>0</v>
      </c>
      <c r="J672" s="179">
        <f>(J630/J612)*G79</f>
        <v>0</v>
      </c>
      <c r="K672" s="179">
        <f>(K644/K612)*G75</f>
        <v>0</v>
      </c>
      <c r="L672" s="179">
        <f>(L647/L612)*G80</f>
        <v>0</v>
      </c>
      <c r="M672" s="179">
        <f t="shared" si="20"/>
        <v>0</v>
      </c>
      <c r="N672" s="196" t="s">
        <v>670</v>
      </c>
    </row>
    <row r="673" spans="1:14" ht="12.65" customHeight="1" x14ac:dyDescent="0.3">
      <c r="A673" s="194">
        <v>6140</v>
      </c>
      <c r="B673" s="196" t="s">
        <v>671</v>
      </c>
      <c r="C673" s="179">
        <f>H71</f>
        <v>0</v>
      </c>
      <c r="D673" s="179">
        <f>(D615/D612)*H76</f>
        <v>0</v>
      </c>
      <c r="E673" s="179">
        <f>(E623/E612)*SUM(C673:D673)</f>
        <v>0</v>
      </c>
      <c r="F673" s="179">
        <f>(F624/F612)*H64</f>
        <v>0</v>
      </c>
      <c r="G673" s="179">
        <f>(G625/G612)*H77</f>
        <v>0</v>
      </c>
      <c r="H673" s="179">
        <f>(H628/H612)*H60</f>
        <v>0</v>
      </c>
      <c r="I673" s="179">
        <f>(I629/I612)*H78</f>
        <v>0</v>
      </c>
      <c r="J673" s="179">
        <f>(J630/J612)*H79</f>
        <v>0</v>
      </c>
      <c r="K673" s="179">
        <f>(K644/K612)*H75</f>
        <v>0</v>
      </c>
      <c r="L673" s="179">
        <f>(L647/L612)*H80</f>
        <v>0</v>
      </c>
      <c r="M673" s="179">
        <f t="shared" si="20"/>
        <v>0</v>
      </c>
      <c r="N673" s="196" t="s">
        <v>672</v>
      </c>
    </row>
    <row r="674" spans="1:14" ht="12.65" customHeight="1" x14ac:dyDescent="0.3">
      <c r="A674" s="194">
        <v>6150</v>
      </c>
      <c r="B674" s="196" t="s">
        <v>673</v>
      </c>
      <c r="C674" s="179">
        <f>I71</f>
        <v>0</v>
      </c>
      <c r="D674" s="179">
        <f>(D615/D612)*I76</f>
        <v>0</v>
      </c>
      <c r="E674" s="179">
        <f>(E623/E612)*SUM(C674:D674)</f>
        <v>0</v>
      </c>
      <c r="F674" s="179">
        <f>(F624/F612)*I64</f>
        <v>0</v>
      </c>
      <c r="G674" s="179">
        <f>(G625/G612)*I77</f>
        <v>0</v>
      </c>
      <c r="H674" s="179">
        <f>(H628/H612)*I60</f>
        <v>0</v>
      </c>
      <c r="I674" s="179">
        <f>(I629/I612)*I78</f>
        <v>0</v>
      </c>
      <c r="J674" s="179">
        <f>(J630/J612)*I79</f>
        <v>0</v>
      </c>
      <c r="K674" s="179">
        <f>(K644/K612)*I75</f>
        <v>0</v>
      </c>
      <c r="L674" s="179">
        <f>(L647/L612)*I80</f>
        <v>0</v>
      </c>
      <c r="M674" s="179">
        <f t="shared" si="20"/>
        <v>0</v>
      </c>
      <c r="N674" s="196" t="s">
        <v>674</v>
      </c>
    </row>
    <row r="675" spans="1:14" ht="12.65" customHeight="1" x14ac:dyDescent="0.3">
      <c r="A675" s="194">
        <v>6170</v>
      </c>
      <c r="B675" s="196" t="s">
        <v>99</v>
      </c>
      <c r="C675" s="179">
        <f>J71</f>
        <v>1946</v>
      </c>
      <c r="D675" s="179">
        <f>(D615/D612)*J76</f>
        <v>1581.4068317061469</v>
      </c>
      <c r="E675" s="179">
        <f>(E623/E612)*SUM(C675:D675)</f>
        <v>291.97107697800988</v>
      </c>
      <c r="F675" s="179">
        <f>(F624/F612)*J64</f>
        <v>0</v>
      </c>
      <c r="G675" s="179">
        <f>(G625/G612)*J77</f>
        <v>0</v>
      </c>
      <c r="H675" s="179">
        <f>(H628/H612)*J60</f>
        <v>0</v>
      </c>
      <c r="I675" s="179">
        <f>(I629/I612)*J78</f>
        <v>0</v>
      </c>
      <c r="J675" s="179">
        <f>(J630/J612)*J79</f>
        <v>0</v>
      </c>
      <c r="K675" s="179">
        <f>(K644/K612)*J75</f>
        <v>10691.614066088106</v>
      </c>
      <c r="L675" s="179">
        <f>(L647/L612)*J80</f>
        <v>0</v>
      </c>
      <c r="M675" s="179">
        <f t="shared" si="20"/>
        <v>12565</v>
      </c>
      <c r="N675" s="196" t="s">
        <v>675</v>
      </c>
    </row>
    <row r="676" spans="1:14" ht="12.65" customHeight="1" x14ac:dyDescent="0.3">
      <c r="A676" s="194">
        <v>6200</v>
      </c>
      <c r="B676" s="196" t="s">
        <v>288</v>
      </c>
      <c r="C676" s="179">
        <f>K71</f>
        <v>0</v>
      </c>
      <c r="D676" s="179">
        <f>(D615/D612)*K76</f>
        <v>0</v>
      </c>
      <c r="E676" s="179">
        <f>(E623/E612)*SUM(C676:D676)</f>
        <v>0</v>
      </c>
      <c r="F676" s="179">
        <f>(F624/F612)*K64</f>
        <v>0</v>
      </c>
      <c r="G676" s="179">
        <f>(G625/G612)*K77</f>
        <v>0</v>
      </c>
      <c r="H676" s="179">
        <f>(H628/H612)*K60</f>
        <v>0</v>
      </c>
      <c r="I676" s="179">
        <f>(I629/I612)*K78</f>
        <v>0</v>
      </c>
      <c r="J676" s="179">
        <f>(J630/J612)*K79</f>
        <v>0</v>
      </c>
      <c r="K676" s="179">
        <f>(K644/K612)*K75</f>
        <v>0</v>
      </c>
      <c r="L676" s="179">
        <f>(L647/L612)*K80</f>
        <v>0</v>
      </c>
      <c r="M676" s="179">
        <f t="shared" si="20"/>
        <v>0</v>
      </c>
      <c r="N676" s="196" t="s">
        <v>676</v>
      </c>
    </row>
    <row r="677" spans="1:14" ht="12.65" customHeight="1" x14ac:dyDescent="0.3">
      <c r="A677" s="194">
        <v>6210</v>
      </c>
      <c r="B677" s="196" t="s">
        <v>289</v>
      </c>
      <c r="C677" s="179">
        <f>L71</f>
        <v>49429</v>
      </c>
      <c r="D677" s="179">
        <f>(D615/D612)*L76</f>
        <v>40086.100718977206</v>
      </c>
      <c r="E677" s="179">
        <f>(E623/E612)*SUM(C677:D677)</f>
        <v>7409.3580949587686</v>
      </c>
      <c r="F677" s="179">
        <f>(F624/F612)*L64</f>
        <v>0</v>
      </c>
      <c r="G677" s="179">
        <f>(G625/G612)*L77</f>
        <v>40656.925280843585</v>
      </c>
      <c r="H677" s="179">
        <f>(H628/H612)*L60</f>
        <v>6.6328815076476868</v>
      </c>
      <c r="I677" s="179">
        <f>(I629/I612)*L78</f>
        <v>0</v>
      </c>
      <c r="J677" s="179">
        <f>(J630/J612)*L79</f>
        <v>0</v>
      </c>
      <c r="K677" s="179">
        <f>(K644/K612)*L75</f>
        <v>11765.203562553133</v>
      </c>
      <c r="L677" s="179">
        <f>(L647/L612)*L80</f>
        <v>37.693541343031299</v>
      </c>
      <c r="M677" s="179">
        <f t="shared" si="20"/>
        <v>99962</v>
      </c>
      <c r="N677" s="196" t="s">
        <v>677</v>
      </c>
    </row>
    <row r="678" spans="1:14" ht="12.65" customHeight="1" x14ac:dyDescent="0.3">
      <c r="A678" s="194">
        <v>6330</v>
      </c>
      <c r="B678" s="196" t="s">
        <v>678</v>
      </c>
      <c r="C678" s="179">
        <f>M71</f>
        <v>0</v>
      </c>
      <c r="D678" s="179">
        <f>(D615/D612)*M76</f>
        <v>0</v>
      </c>
      <c r="E678" s="179">
        <f>(E623/E612)*SUM(C678:D678)</f>
        <v>0</v>
      </c>
      <c r="F678" s="179">
        <f>(F624/F612)*M64</f>
        <v>0</v>
      </c>
      <c r="G678" s="179">
        <f>(G625/G612)*M77</f>
        <v>0</v>
      </c>
      <c r="H678" s="179">
        <f>(H628/H612)*M60</f>
        <v>0</v>
      </c>
      <c r="I678" s="179">
        <f>(I629/I612)*M78</f>
        <v>0</v>
      </c>
      <c r="J678" s="179">
        <f>(J630/J612)*M79</f>
        <v>0</v>
      </c>
      <c r="K678" s="179">
        <f>(K644/K612)*M75</f>
        <v>0</v>
      </c>
      <c r="L678" s="179">
        <f>(L647/L612)*M80</f>
        <v>0</v>
      </c>
      <c r="M678" s="179">
        <f t="shared" si="20"/>
        <v>0</v>
      </c>
      <c r="N678" s="196" t="s">
        <v>679</v>
      </c>
    </row>
    <row r="679" spans="1:14" ht="12.65" customHeight="1" x14ac:dyDescent="0.3">
      <c r="A679" s="194">
        <v>6400</v>
      </c>
      <c r="B679" s="196" t="s">
        <v>680</v>
      </c>
      <c r="C679" s="179">
        <f>N71</f>
        <v>2504170</v>
      </c>
      <c r="D679" s="179">
        <f>(D615/D612)*N76</f>
        <v>5307.9627453099829</v>
      </c>
      <c r="E679" s="179">
        <f>(E623/E612)*SUM(C679:D679)</f>
        <v>207714.90740718957</v>
      </c>
      <c r="F679" s="179">
        <f>(F624/F612)*N64</f>
        <v>295.14887416735019</v>
      </c>
      <c r="G679" s="179">
        <f>(G625/G612)*N77</f>
        <v>0</v>
      </c>
      <c r="H679" s="179">
        <f>(H628/H612)*N60</f>
        <v>0</v>
      </c>
      <c r="I679" s="179">
        <f>(I629/I612)*N78</f>
        <v>0</v>
      </c>
      <c r="J679" s="179">
        <f>(J630/J612)*N79</f>
        <v>0</v>
      </c>
      <c r="K679" s="179">
        <f>(K644/K612)*N75</f>
        <v>90712.399439739806</v>
      </c>
      <c r="L679" s="179">
        <f>(L647/L612)*N80</f>
        <v>0</v>
      </c>
      <c r="M679" s="179">
        <f t="shared" si="20"/>
        <v>304030</v>
      </c>
      <c r="N679" s="196" t="s">
        <v>681</v>
      </c>
    </row>
    <row r="680" spans="1:14" ht="12.65" customHeight="1" x14ac:dyDescent="0.3">
      <c r="A680" s="194">
        <v>7010</v>
      </c>
      <c r="B680" s="196" t="s">
        <v>682</v>
      </c>
      <c r="C680" s="179">
        <f>O71</f>
        <v>1528693</v>
      </c>
      <c r="D680" s="179">
        <f>(D615/D612)*O76</f>
        <v>53363.328910176737</v>
      </c>
      <c r="E680" s="179">
        <f>(E623/E612)*SUM(C680:D680)</f>
        <v>130950.21703758526</v>
      </c>
      <c r="F680" s="179">
        <f>(F624/F612)*O64</f>
        <v>1734.4468607822905</v>
      </c>
      <c r="G680" s="179">
        <f>(G625/G612)*O77</f>
        <v>0</v>
      </c>
      <c r="H680" s="179">
        <f>(H628/H612)*O60</f>
        <v>30408.445271810822</v>
      </c>
      <c r="I680" s="179">
        <f>(I629/I612)*O78</f>
        <v>53218.160944443771</v>
      </c>
      <c r="J680" s="179">
        <f>(J630/J612)*O79</f>
        <v>0</v>
      </c>
      <c r="K680" s="179">
        <f>(K644/K612)*O75</f>
        <v>43684.973698382877</v>
      </c>
      <c r="L680" s="179">
        <f>(L647/L612)*O80</f>
        <v>151928.41699513141</v>
      </c>
      <c r="M680" s="179">
        <f t="shared" si="20"/>
        <v>465288</v>
      </c>
      <c r="N680" s="196" t="s">
        <v>683</v>
      </c>
    </row>
    <row r="681" spans="1:14" ht="12.65" customHeight="1" x14ac:dyDescent="0.3">
      <c r="A681" s="194">
        <v>7020</v>
      </c>
      <c r="B681" s="196" t="s">
        <v>684</v>
      </c>
      <c r="C681" s="179">
        <f>P71</f>
        <v>3930788</v>
      </c>
      <c r="D681" s="179">
        <f>(D615/D612)*P76</f>
        <v>178766.69426609672</v>
      </c>
      <c r="E681" s="179">
        <f>(E623/E612)*SUM(C681:D681)</f>
        <v>340156.71206390194</v>
      </c>
      <c r="F681" s="179">
        <f>(F624/F612)*P64</f>
        <v>49294.226116097023</v>
      </c>
      <c r="G681" s="179">
        <f>(G625/G612)*P77</f>
        <v>0</v>
      </c>
      <c r="H681" s="179">
        <f>(H628/H612)*P60</f>
        <v>53302.941275708086</v>
      </c>
      <c r="I681" s="179">
        <f>(I629/I612)*P78</f>
        <v>270458.36413765943</v>
      </c>
      <c r="J681" s="179">
        <f>(J630/J612)*P79</f>
        <v>41945.519734541929</v>
      </c>
      <c r="K681" s="179">
        <f>(K644/K612)*P75</f>
        <v>1061023.5911122083</v>
      </c>
      <c r="L681" s="179">
        <f>(L647/L612)*P80</f>
        <v>148264.68016367167</v>
      </c>
      <c r="M681" s="179">
        <f t="shared" si="20"/>
        <v>2143213</v>
      </c>
      <c r="N681" s="196" t="s">
        <v>685</v>
      </c>
    </row>
    <row r="682" spans="1:14" ht="12.65" customHeight="1" x14ac:dyDescent="0.3">
      <c r="A682" s="194">
        <v>7030</v>
      </c>
      <c r="B682" s="196" t="s">
        <v>686</v>
      </c>
      <c r="C682" s="179">
        <f>Q71</f>
        <v>26882</v>
      </c>
      <c r="D682" s="179">
        <f>(D615/D612)*Q76</f>
        <v>10771.503709016983</v>
      </c>
      <c r="E682" s="179">
        <f>(E623/E612)*SUM(C682:D682)</f>
        <v>3116.6617729205036</v>
      </c>
      <c r="F682" s="179">
        <f>(F624/F612)*Q64</f>
        <v>475.13975546988507</v>
      </c>
      <c r="G682" s="179">
        <f>(G625/G612)*Q77</f>
        <v>0</v>
      </c>
      <c r="H682" s="179">
        <f>(H628/H612)*Q60</f>
        <v>43.113729799709965</v>
      </c>
      <c r="I682" s="179">
        <f>(I629/I612)*Q78</f>
        <v>0</v>
      </c>
      <c r="J682" s="179">
        <f>(J630/J612)*Q79</f>
        <v>0</v>
      </c>
      <c r="K682" s="179">
        <f>(K644/K612)*Q75</f>
        <v>202495.39319771089</v>
      </c>
      <c r="L682" s="179">
        <f>(L647/L612)*Q80</f>
        <v>235.96156880737593</v>
      </c>
      <c r="M682" s="179">
        <f t="shared" si="20"/>
        <v>217138</v>
      </c>
      <c r="N682" s="196" t="s">
        <v>687</v>
      </c>
    </row>
    <row r="683" spans="1:14" ht="12.65" customHeight="1" x14ac:dyDescent="0.3">
      <c r="A683" s="194">
        <v>7040</v>
      </c>
      <c r="B683" s="196" t="s">
        <v>107</v>
      </c>
      <c r="C683" s="179">
        <f>R71</f>
        <v>1644045</v>
      </c>
      <c r="D683" s="179">
        <f>(D615/D612)*R76</f>
        <v>2489.2514943522669</v>
      </c>
      <c r="E683" s="179">
        <f>(E623/E612)*SUM(C683:D683)</f>
        <v>136287.19385834533</v>
      </c>
      <c r="F683" s="179">
        <f>(F624/F612)*R64</f>
        <v>4786.3892288708157</v>
      </c>
      <c r="G683" s="179">
        <f>(G625/G612)*R77</f>
        <v>0</v>
      </c>
      <c r="H683" s="179">
        <f>(H628/H612)*R60</f>
        <v>0</v>
      </c>
      <c r="I683" s="179">
        <f>(I629/I612)*R78</f>
        <v>0</v>
      </c>
      <c r="J683" s="179">
        <f>(J630/J612)*R79</f>
        <v>0</v>
      </c>
      <c r="K683" s="179">
        <f>(K644/K612)*R75</f>
        <v>427651.71406954381</v>
      </c>
      <c r="L683" s="179">
        <f>(L647/L612)*R80</f>
        <v>0</v>
      </c>
      <c r="M683" s="179">
        <f t="shared" si="20"/>
        <v>571215</v>
      </c>
      <c r="N683" s="196" t="s">
        <v>688</v>
      </c>
    </row>
    <row r="684" spans="1:14" ht="12.65" customHeight="1" x14ac:dyDescent="0.3">
      <c r="A684" s="194">
        <v>7050</v>
      </c>
      <c r="B684" s="196" t="s">
        <v>689</v>
      </c>
      <c r="C684" s="179">
        <f>S71</f>
        <v>1782556</v>
      </c>
      <c r="D684" s="179">
        <f>(D615/D612)*S76</f>
        <v>13656.106911295785</v>
      </c>
      <c r="E684" s="179">
        <f>(E623/E612)*SUM(C684:D684)</f>
        <v>148676.35301430983</v>
      </c>
      <c r="F684" s="179">
        <f>(F624/F612)*S64</f>
        <v>61385.422202024296</v>
      </c>
      <c r="G684" s="179">
        <f>(G625/G612)*S77</f>
        <v>0</v>
      </c>
      <c r="H684" s="179">
        <f>(H628/H612)*S60</f>
        <v>7883.1796718392752</v>
      </c>
      <c r="I684" s="179">
        <f>(I629/I612)*S78</f>
        <v>2281.6521876181068</v>
      </c>
      <c r="J684" s="179">
        <f>(J630/J612)*S79</f>
        <v>0</v>
      </c>
      <c r="K684" s="179">
        <f>(K644/K612)*S75</f>
        <v>19772.177006476228</v>
      </c>
      <c r="L684" s="179">
        <f>(L647/L612)*S80</f>
        <v>0</v>
      </c>
      <c r="M684" s="179">
        <f t="shared" si="20"/>
        <v>253655</v>
      </c>
      <c r="N684" s="196" t="s">
        <v>690</v>
      </c>
    </row>
    <row r="685" spans="1:14" ht="12.65" customHeight="1" x14ac:dyDescent="0.3">
      <c r="A685" s="194">
        <v>7060</v>
      </c>
      <c r="B685" s="196" t="s">
        <v>691</v>
      </c>
      <c r="C685" s="179">
        <f>T71</f>
        <v>0</v>
      </c>
      <c r="D685" s="179">
        <f>(D615/D612)*T76</f>
        <v>0</v>
      </c>
      <c r="E685" s="179">
        <f>(E623/E612)*SUM(C685:D685)</f>
        <v>0</v>
      </c>
      <c r="F685" s="179">
        <f>(F624/F612)*T64</f>
        <v>0</v>
      </c>
      <c r="G685" s="179">
        <f>(G625/G612)*T77</f>
        <v>0</v>
      </c>
      <c r="H685" s="179">
        <f>(H628/H612)*T60</f>
        <v>0</v>
      </c>
      <c r="I685" s="179">
        <f>(I629/I612)*T78</f>
        <v>0</v>
      </c>
      <c r="J685" s="179">
        <f>(J630/J612)*T79</f>
        <v>0</v>
      </c>
      <c r="K685" s="179">
        <f>(K644/K612)*T75</f>
        <v>0</v>
      </c>
      <c r="L685" s="179">
        <f>(L647/L612)*T80</f>
        <v>0</v>
      </c>
      <c r="M685" s="179">
        <f t="shared" si="20"/>
        <v>0</v>
      </c>
      <c r="N685" s="196" t="s">
        <v>692</v>
      </c>
    </row>
    <row r="686" spans="1:14" ht="12.65" customHeight="1" x14ac:dyDescent="0.3">
      <c r="A686" s="194">
        <v>7070</v>
      </c>
      <c r="B686" s="196" t="s">
        <v>109</v>
      </c>
      <c r="C686" s="179">
        <f>U71</f>
        <v>6341944</v>
      </c>
      <c r="D686" s="179">
        <f>(D615/D612)*U76</f>
        <v>71763.65631659099</v>
      </c>
      <c r="E686" s="179">
        <f>(E623/E612)*SUM(C686:D686)</f>
        <v>530876.42599226627</v>
      </c>
      <c r="F686" s="179">
        <f>(F624/F612)*U64</f>
        <v>50706.435042594567</v>
      </c>
      <c r="G686" s="179">
        <f>(G625/G612)*U77</f>
        <v>0</v>
      </c>
      <c r="H686" s="179">
        <f>(H628/H612)*U60</f>
        <v>74392.188029273908</v>
      </c>
      <c r="I686" s="179">
        <f>(I629/I612)*U78</f>
        <v>3945.4843458811765</v>
      </c>
      <c r="J686" s="179">
        <f>(J630/J612)*U79</f>
        <v>7777.7702009755812</v>
      </c>
      <c r="K686" s="179">
        <f>(K644/K612)*U75</f>
        <v>799088.60512075142</v>
      </c>
      <c r="L686" s="179">
        <f>(L647/L612)*U80</f>
        <v>0</v>
      </c>
      <c r="M686" s="179">
        <f t="shared" si="20"/>
        <v>1538551</v>
      </c>
      <c r="N686" s="196" t="s">
        <v>693</v>
      </c>
    </row>
    <row r="687" spans="1:14" ht="12.65" customHeight="1" x14ac:dyDescent="0.3">
      <c r="A687" s="194">
        <v>7110</v>
      </c>
      <c r="B687" s="196" t="s">
        <v>694</v>
      </c>
      <c r="C687" s="179">
        <f>V71</f>
        <v>0</v>
      </c>
      <c r="D687" s="179">
        <f>(D615/D612)*V76</f>
        <v>0</v>
      </c>
      <c r="E687" s="179">
        <f>(E623/E612)*SUM(C687:D687)</f>
        <v>0</v>
      </c>
      <c r="F687" s="179">
        <f>(F624/F612)*V64</f>
        <v>0</v>
      </c>
      <c r="G687" s="179">
        <f>(G625/G612)*V77</f>
        <v>0</v>
      </c>
      <c r="H687" s="179">
        <f>(H628/H612)*V60</f>
        <v>0</v>
      </c>
      <c r="I687" s="179">
        <f>(I629/I612)*V78</f>
        <v>0</v>
      </c>
      <c r="J687" s="179">
        <f>(J630/J612)*V79</f>
        <v>0</v>
      </c>
      <c r="K687" s="179">
        <f>(K644/K612)*V75</f>
        <v>6.1353052224686824</v>
      </c>
      <c r="L687" s="179">
        <f>(L647/L612)*V80</f>
        <v>0</v>
      </c>
      <c r="M687" s="179">
        <f t="shared" si="20"/>
        <v>6</v>
      </c>
      <c r="N687" s="196" t="s">
        <v>695</v>
      </c>
    </row>
    <row r="688" spans="1:14" ht="12.65" customHeight="1" x14ac:dyDescent="0.3">
      <c r="A688" s="194">
        <v>7120</v>
      </c>
      <c r="B688" s="196" t="s">
        <v>696</v>
      </c>
      <c r="C688" s="179">
        <f>W71</f>
        <v>663478</v>
      </c>
      <c r="D688" s="179">
        <f>(D615/D612)*W76</f>
        <v>20265.435695197284</v>
      </c>
      <c r="E688" s="179">
        <f>(E623/E612)*SUM(C688:D688)</f>
        <v>56594.919957109727</v>
      </c>
      <c r="F688" s="179">
        <f>(F624/F612)*W64</f>
        <v>1188.3408447726335</v>
      </c>
      <c r="G688" s="179">
        <f>(G625/G612)*W77</f>
        <v>0</v>
      </c>
      <c r="H688" s="179">
        <f>(H628/H612)*W60</f>
        <v>5734.1260633614247</v>
      </c>
      <c r="I688" s="179">
        <f>(I629/I612)*W78</f>
        <v>0</v>
      </c>
      <c r="J688" s="179">
        <f>(J630/J612)*W79</f>
        <v>34145.570538826047</v>
      </c>
      <c r="K688" s="179">
        <f>(K644/K612)*W75</f>
        <v>228975.28162041874</v>
      </c>
      <c r="L688" s="179">
        <f>(L647/L612)*W80</f>
        <v>0</v>
      </c>
      <c r="M688" s="179">
        <f t="shared" si="20"/>
        <v>346904</v>
      </c>
      <c r="N688" s="196" t="s">
        <v>697</v>
      </c>
    </row>
    <row r="689" spans="1:14" ht="12.65" customHeight="1" x14ac:dyDescent="0.3">
      <c r="A689" s="194">
        <v>7130</v>
      </c>
      <c r="B689" s="196" t="s">
        <v>698</v>
      </c>
      <c r="C689" s="179">
        <f>X71</f>
        <v>360653</v>
      </c>
      <c r="D689" s="179">
        <f>(D615/D612)*X76</f>
        <v>9770.312115332652</v>
      </c>
      <c r="E689" s="179">
        <f>(E623/E612)*SUM(C689:D689)</f>
        <v>30660.737061555057</v>
      </c>
      <c r="F689" s="179">
        <f>(F624/F612)*X64</f>
        <v>4389.3713347264302</v>
      </c>
      <c r="G689" s="179">
        <f>(G625/G612)*X77</f>
        <v>0</v>
      </c>
      <c r="H689" s="179">
        <f>(H628/H612)*X60</f>
        <v>3820.5397484050663</v>
      </c>
      <c r="I689" s="179">
        <f>(I629/I612)*X78</f>
        <v>0</v>
      </c>
      <c r="J689" s="179">
        <f>(J630/J612)*X79</f>
        <v>0</v>
      </c>
      <c r="K689" s="179">
        <f>(K644/K612)*X75</f>
        <v>628770.08691467845</v>
      </c>
      <c r="L689" s="179">
        <f>(L647/L612)*X80</f>
        <v>0</v>
      </c>
      <c r="M689" s="179">
        <f t="shared" si="20"/>
        <v>677411</v>
      </c>
      <c r="N689" s="196" t="s">
        <v>699</v>
      </c>
    </row>
    <row r="690" spans="1:14" ht="12.65" customHeight="1" x14ac:dyDescent="0.3">
      <c r="A690" s="194">
        <v>7140</v>
      </c>
      <c r="B690" s="196" t="s">
        <v>1249</v>
      </c>
      <c r="C690" s="179">
        <f>Y71</f>
        <v>2756902</v>
      </c>
      <c r="D690" s="179">
        <f>(D615/D612)*Y76</f>
        <v>84310.582047315082</v>
      </c>
      <c r="E690" s="179">
        <f>(E623/E612)*SUM(C690:D690)</f>
        <v>235173.29785931914</v>
      </c>
      <c r="F690" s="179">
        <f>(F624/F612)*Y64</f>
        <v>2804.6023431269164</v>
      </c>
      <c r="G690" s="179">
        <f>(G625/G612)*Y77</f>
        <v>0</v>
      </c>
      <c r="H690" s="179">
        <f>(H628/H612)*Y60</f>
        <v>57938.219969302547</v>
      </c>
      <c r="I690" s="179">
        <f>(I629/I612)*Y78</f>
        <v>163630.55232918059</v>
      </c>
      <c r="J690" s="179">
        <f>(J630/J612)*Y79</f>
        <v>10178.142313551454</v>
      </c>
      <c r="K690" s="179">
        <f>(K644/K612)*Y75</f>
        <v>550752.07856756134</v>
      </c>
      <c r="L690" s="179">
        <f>(L647/L612)*Y80</f>
        <v>4154.5821268289101</v>
      </c>
      <c r="M690" s="179">
        <f t="shared" si="20"/>
        <v>1108942</v>
      </c>
      <c r="N690" s="196" t="s">
        <v>700</v>
      </c>
    </row>
    <row r="691" spans="1:14" ht="12.65" customHeight="1" x14ac:dyDescent="0.3">
      <c r="A691" s="194">
        <v>7150</v>
      </c>
      <c r="B691" s="196" t="s">
        <v>701</v>
      </c>
      <c r="C691" s="179">
        <f>Z71</f>
        <v>0</v>
      </c>
      <c r="D691" s="179">
        <f>(D615/D612)*Z76</f>
        <v>0</v>
      </c>
      <c r="E691" s="179">
        <f>(E623/E612)*SUM(C691:D691)</f>
        <v>0</v>
      </c>
      <c r="F691" s="179">
        <f>(F624/F612)*Z64</f>
        <v>0</v>
      </c>
      <c r="G691" s="179">
        <f>(G625/G612)*Z77</f>
        <v>0</v>
      </c>
      <c r="H691" s="179">
        <f>(H628/H612)*Z60</f>
        <v>0</v>
      </c>
      <c r="I691" s="179">
        <f>(I629/I612)*Z78</f>
        <v>0</v>
      </c>
      <c r="J691" s="179">
        <f>(J630/J612)*Z79</f>
        <v>0</v>
      </c>
      <c r="K691" s="179">
        <f>(K644/K612)*Z75</f>
        <v>0</v>
      </c>
      <c r="L691" s="179">
        <f>(L647/L612)*Z80</f>
        <v>0</v>
      </c>
      <c r="M691" s="179">
        <f t="shared" si="20"/>
        <v>0</v>
      </c>
      <c r="N691" s="196" t="s">
        <v>702</v>
      </c>
    </row>
    <row r="692" spans="1:14" ht="12.65" customHeight="1" x14ac:dyDescent="0.3">
      <c r="A692" s="194">
        <v>7160</v>
      </c>
      <c r="B692" s="196" t="s">
        <v>703</v>
      </c>
      <c r="C692" s="179">
        <f>AA71</f>
        <v>272776</v>
      </c>
      <c r="D692" s="179">
        <f>(D615/D612)*AA76</f>
        <v>6543.4368325804126</v>
      </c>
      <c r="E692" s="179">
        <f>(E623/E612)*SUM(C692:D692)</f>
        <v>23119.872666758376</v>
      </c>
      <c r="F692" s="179">
        <f>(F624/F612)*AA64</f>
        <v>4459.0008346798577</v>
      </c>
      <c r="G692" s="179">
        <f>(G625/G612)*AA77</f>
        <v>0</v>
      </c>
      <c r="H692" s="179">
        <f>(H628/H612)*AA60</f>
        <v>2025.2398203350936</v>
      </c>
      <c r="I692" s="179">
        <f>(I629/I612)*AA78</f>
        <v>0</v>
      </c>
      <c r="J692" s="179">
        <f>(J630/J612)*AA79</f>
        <v>0</v>
      </c>
      <c r="K692" s="179">
        <f>(K644/K612)*AA75</f>
        <v>128380.06139435279</v>
      </c>
      <c r="L692" s="179">
        <f>(L647/L612)*AA80</f>
        <v>0</v>
      </c>
      <c r="M692" s="179">
        <f t="shared" si="20"/>
        <v>164528</v>
      </c>
      <c r="N692" s="196" t="s">
        <v>704</v>
      </c>
    </row>
    <row r="693" spans="1:14" ht="12.65" customHeight="1" x14ac:dyDescent="0.3">
      <c r="A693" s="194">
        <v>7170</v>
      </c>
      <c r="B693" s="196" t="s">
        <v>115</v>
      </c>
      <c r="C693" s="179">
        <f>AB71</f>
        <v>13996738</v>
      </c>
      <c r="D693" s="179">
        <f>(D615/D612)*AB76</f>
        <v>45408.706120136332</v>
      </c>
      <c r="E693" s="179">
        <f>(E623/E612)*SUM(C693:D693)</f>
        <v>1162298.7912868722</v>
      </c>
      <c r="F693" s="179">
        <f>(F624/F612)*AB64</f>
        <v>574027.76002288389</v>
      </c>
      <c r="G693" s="179">
        <f>(G625/G612)*AB77</f>
        <v>0</v>
      </c>
      <c r="H693" s="179">
        <f>(H628/H612)*AB60</f>
        <v>37505.628484993846</v>
      </c>
      <c r="I693" s="179">
        <f>(I629/I612)*AB78</f>
        <v>0</v>
      </c>
      <c r="J693" s="179">
        <f>(J630/J612)*AB79</f>
        <v>0</v>
      </c>
      <c r="K693" s="179">
        <f>(K644/K612)*AB75</f>
        <v>2143399.3337018788</v>
      </c>
      <c r="L693" s="179">
        <f>(L647/L612)*AB80</f>
        <v>0</v>
      </c>
      <c r="M693" s="179">
        <f t="shared" si="20"/>
        <v>3962640</v>
      </c>
      <c r="N693" s="196" t="s">
        <v>705</v>
      </c>
    </row>
    <row r="694" spans="1:14" ht="12.65" customHeight="1" x14ac:dyDescent="0.3">
      <c r="A694" s="194">
        <v>7180</v>
      </c>
      <c r="B694" s="196" t="s">
        <v>706</v>
      </c>
      <c r="C694" s="179">
        <f>AC71</f>
        <v>1123699</v>
      </c>
      <c r="D694" s="179">
        <f>(D615/D612)*AC76</f>
        <v>33747.661068284651</v>
      </c>
      <c r="E694" s="179">
        <f>(E623/E612)*SUM(C694:D694)</f>
        <v>95804.358357284334</v>
      </c>
      <c r="F694" s="179">
        <f>(F624/F612)*AC64</f>
        <v>3902.5152658821121</v>
      </c>
      <c r="G694" s="179">
        <f>(G625/G612)*AC77</f>
        <v>0</v>
      </c>
      <c r="H694" s="179">
        <f>(H628/H612)*AC60</f>
        <v>20928.952117130997</v>
      </c>
      <c r="I694" s="179">
        <f>(I629/I612)*AC78</f>
        <v>0</v>
      </c>
      <c r="J694" s="179">
        <f>(J630/J612)*AC79</f>
        <v>0</v>
      </c>
      <c r="K694" s="179">
        <f>(K644/K612)*AC75</f>
        <v>146085.12958692553</v>
      </c>
      <c r="L694" s="179">
        <f>(L647/L612)*AC80</f>
        <v>0</v>
      </c>
      <c r="M694" s="179">
        <f t="shared" si="20"/>
        <v>300469</v>
      </c>
      <c r="N694" s="196" t="s">
        <v>707</v>
      </c>
    </row>
    <row r="695" spans="1:14" ht="12.65" customHeight="1" x14ac:dyDescent="0.3">
      <c r="A695" s="194">
        <v>7190</v>
      </c>
      <c r="B695" s="196" t="s">
        <v>117</v>
      </c>
      <c r="C695" s="179">
        <f>AD71</f>
        <v>0</v>
      </c>
      <c r="D695" s="179">
        <f>(D615/D612)*AD76</f>
        <v>0</v>
      </c>
      <c r="E695" s="179">
        <f>(E623/E612)*SUM(C695:D695)</f>
        <v>0</v>
      </c>
      <c r="F695" s="179">
        <f>(F624/F612)*AD64</f>
        <v>0</v>
      </c>
      <c r="G695" s="179">
        <f>(G625/G612)*AD77</f>
        <v>0</v>
      </c>
      <c r="H695" s="179">
        <f>(H628/H612)*AD60</f>
        <v>0</v>
      </c>
      <c r="I695" s="179">
        <f>(I629/I612)*AD78</f>
        <v>0</v>
      </c>
      <c r="J695" s="179">
        <f>(J630/J612)*AD79</f>
        <v>0</v>
      </c>
      <c r="K695" s="179">
        <f>(K644/K612)*AD75</f>
        <v>0</v>
      </c>
      <c r="L695" s="179">
        <f>(L647/L612)*AD80</f>
        <v>0</v>
      </c>
      <c r="M695" s="179">
        <f t="shared" si="20"/>
        <v>0</v>
      </c>
      <c r="N695" s="196" t="s">
        <v>708</v>
      </c>
    </row>
    <row r="696" spans="1:14" ht="12.65" customHeight="1" x14ac:dyDescent="0.3">
      <c r="A696" s="194">
        <v>7200</v>
      </c>
      <c r="B696" s="196" t="s">
        <v>709</v>
      </c>
      <c r="C696" s="179">
        <f>AE71</f>
        <v>3626164</v>
      </c>
      <c r="D696" s="179">
        <f>(D615/D612)*AE76</f>
        <v>118744.61760852771</v>
      </c>
      <c r="E696" s="179">
        <f>(E623/E612)*SUM(C696:D696)</f>
        <v>309974.16925070999</v>
      </c>
      <c r="F696" s="179">
        <f>(F624/F612)*AE64</f>
        <v>2285.4674377711558</v>
      </c>
      <c r="G696" s="179">
        <f>(G625/G612)*AE77</f>
        <v>0</v>
      </c>
      <c r="H696" s="179">
        <f>(H628/H612)*AE60</f>
        <v>96156.883216368486</v>
      </c>
      <c r="I696" s="179">
        <f>(I629/I612)*AE78</f>
        <v>138618.01668529201</v>
      </c>
      <c r="J696" s="179">
        <f>(J630/J612)*AE79</f>
        <v>30103.95281546751</v>
      </c>
      <c r="K696" s="179">
        <f>(K644/K612)*AE75</f>
        <v>352814.41689294175</v>
      </c>
      <c r="L696" s="179">
        <f>(L647/L612)*AE80</f>
        <v>0</v>
      </c>
      <c r="M696" s="179">
        <f t="shared" si="20"/>
        <v>1048698</v>
      </c>
      <c r="N696" s="196" t="s">
        <v>710</v>
      </c>
    </row>
    <row r="697" spans="1:14" ht="12.65" customHeight="1" x14ac:dyDescent="0.3">
      <c r="A697" s="194">
        <v>7220</v>
      </c>
      <c r="B697" s="196" t="s">
        <v>711</v>
      </c>
      <c r="C697" s="179">
        <f>AF71</f>
        <v>0</v>
      </c>
      <c r="D697" s="179">
        <f>(D615/D612)*AF76</f>
        <v>0</v>
      </c>
      <c r="E697" s="179">
        <f>(E623/E612)*SUM(C697:D697)</f>
        <v>0</v>
      </c>
      <c r="F697" s="179">
        <f>(F624/F612)*AF64</f>
        <v>0</v>
      </c>
      <c r="G697" s="179">
        <f>(G625/G612)*AF77</f>
        <v>0</v>
      </c>
      <c r="H697" s="179">
        <f>(H628/H612)*AF60</f>
        <v>0</v>
      </c>
      <c r="I697" s="179">
        <f>(I629/I612)*AF78</f>
        <v>0</v>
      </c>
      <c r="J697" s="179">
        <f>(J630/J612)*AF79</f>
        <v>0</v>
      </c>
      <c r="K697" s="179">
        <f>(K644/K612)*AF75</f>
        <v>0</v>
      </c>
      <c r="L697" s="179">
        <f>(L647/L612)*AF80</f>
        <v>0</v>
      </c>
      <c r="M697" s="179">
        <f t="shared" si="20"/>
        <v>0</v>
      </c>
      <c r="N697" s="196" t="s">
        <v>712</v>
      </c>
    </row>
    <row r="698" spans="1:14" ht="12.65" customHeight="1" x14ac:dyDescent="0.3">
      <c r="A698" s="194">
        <v>7230</v>
      </c>
      <c r="B698" s="196" t="s">
        <v>713</v>
      </c>
      <c r="C698" s="179">
        <f>AG71</f>
        <v>6184968</v>
      </c>
      <c r="D698" s="179">
        <f>(D615/D612)*AG76</f>
        <v>116220.58980653374</v>
      </c>
      <c r="E698" s="179">
        <f>(E623/E612)*SUM(C698:D698)</f>
        <v>521562.97999726271</v>
      </c>
      <c r="F698" s="179">
        <f>(F624/F612)*AG64</f>
        <v>10887.246595484674</v>
      </c>
      <c r="G698" s="179">
        <f>(G625/G612)*AG77</f>
        <v>0</v>
      </c>
      <c r="H698" s="179">
        <f>(H628/H612)*AG60</f>
        <v>76887.256956400714</v>
      </c>
      <c r="I698" s="179">
        <f>(I629/I612)*AG78</f>
        <v>303337.40035333589</v>
      </c>
      <c r="J698" s="179">
        <f>(J630/J612)*AG79</f>
        <v>57281.28646133915</v>
      </c>
      <c r="K698" s="179">
        <f>(K644/K612)*AG75</f>
        <v>1349144.282086829</v>
      </c>
      <c r="L698" s="179">
        <f>(L647/L612)*AG80</f>
        <v>212157.79590092058</v>
      </c>
      <c r="M698" s="179">
        <f t="shared" si="20"/>
        <v>2647479</v>
      </c>
      <c r="N698" s="196" t="s">
        <v>714</v>
      </c>
    </row>
    <row r="699" spans="1:14" ht="12.65" customHeight="1" x14ac:dyDescent="0.3">
      <c r="A699" s="194">
        <v>7240</v>
      </c>
      <c r="B699" s="196" t="s">
        <v>119</v>
      </c>
      <c r="C699" s="179">
        <f>AH71</f>
        <v>0</v>
      </c>
      <c r="D699" s="179">
        <f>(D615/D612)*AH76</f>
        <v>0</v>
      </c>
      <c r="E699" s="179">
        <f>(E623/E612)*SUM(C699:D699)</f>
        <v>0</v>
      </c>
      <c r="F699" s="179">
        <f>(F624/F612)*AH64</f>
        <v>0</v>
      </c>
      <c r="G699" s="179">
        <f>(G625/G612)*AH77</f>
        <v>0</v>
      </c>
      <c r="H699" s="179">
        <f>(H628/H612)*AH60</f>
        <v>0</v>
      </c>
      <c r="I699" s="179">
        <f>(I629/I612)*AH78</f>
        <v>0</v>
      </c>
      <c r="J699" s="179">
        <f>(J630/J612)*AH79</f>
        <v>0</v>
      </c>
      <c r="K699" s="179">
        <f>(K644/K612)*AH75</f>
        <v>0</v>
      </c>
      <c r="L699" s="179">
        <f>(L647/L612)*AH80</f>
        <v>0</v>
      </c>
      <c r="M699" s="179">
        <f t="shared" si="20"/>
        <v>0</v>
      </c>
      <c r="N699" s="196" t="s">
        <v>715</v>
      </c>
    </row>
    <row r="700" spans="1:14" ht="12.65" customHeight="1" x14ac:dyDescent="0.3">
      <c r="A700" s="194">
        <v>7250</v>
      </c>
      <c r="B700" s="196" t="s">
        <v>716</v>
      </c>
      <c r="C700" s="179">
        <f>AI71</f>
        <v>4789040</v>
      </c>
      <c r="D700" s="179">
        <f>(D615/D612)*AI76</f>
        <v>116610.4505185169</v>
      </c>
      <c r="E700" s="179">
        <f>(E623/E612)*SUM(C700:D700)</f>
        <v>406051.27609359636</v>
      </c>
      <c r="F700" s="179">
        <f>(F624/F612)*AI64</f>
        <v>14087.490755681798</v>
      </c>
      <c r="G700" s="179">
        <f>(G625/G612)*AI77</f>
        <v>0</v>
      </c>
      <c r="H700" s="179">
        <f>(H628/H612)*AI60</f>
        <v>66298.967109692443</v>
      </c>
      <c r="I700" s="179">
        <f>(I629/I612)*AI78</f>
        <v>87326.720188836713</v>
      </c>
      <c r="J700" s="179">
        <f>(J630/J612)*AI79</f>
        <v>33094.084560910618</v>
      </c>
      <c r="K700" s="179">
        <f>(K644/K612)*AI75</f>
        <v>348936.85953360808</v>
      </c>
      <c r="L700" s="179">
        <f>(L647/L612)*AI80</f>
        <v>173074.71984982005</v>
      </c>
      <c r="M700" s="179">
        <f t="shared" si="20"/>
        <v>1245481</v>
      </c>
      <c r="N700" s="196" t="s">
        <v>717</v>
      </c>
    </row>
    <row r="701" spans="1:14" ht="12.65" customHeight="1" x14ac:dyDescent="0.3">
      <c r="A701" s="194">
        <v>7260</v>
      </c>
      <c r="B701" s="196" t="s">
        <v>121</v>
      </c>
      <c r="C701" s="179">
        <f>AJ71</f>
        <v>28450572</v>
      </c>
      <c r="D701" s="179">
        <f>(D615/D612)*AJ76</f>
        <v>820208.76396100142</v>
      </c>
      <c r="E701" s="179">
        <f>(E623/E612)*SUM(C701:D701)</f>
        <v>2422805.701577452</v>
      </c>
      <c r="F701" s="179">
        <f>(F624/F612)*AJ64</f>
        <v>64120.748893588287</v>
      </c>
      <c r="G701" s="179">
        <f>(G625/G612)*AJ77</f>
        <v>0</v>
      </c>
      <c r="H701" s="179">
        <f>(H628/H612)*AJ60</f>
        <v>369567.20690894278</v>
      </c>
      <c r="I701" s="179">
        <f>(I629/I612)*AJ78</f>
        <v>248326.94962076316</v>
      </c>
      <c r="J701" s="179">
        <f>(J630/J612)*AJ79</f>
        <v>50443.099128452908</v>
      </c>
      <c r="K701" s="179">
        <f>(K644/K612)*AJ75</f>
        <v>1688226.9077997489</v>
      </c>
      <c r="L701" s="179">
        <f>(L647/L612)*AJ80</f>
        <v>382480.51029728638</v>
      </c>
      <c r="M701" s="179">
        <f t="shared" si="20"/>
        <v>6046180</v>
      </c>
      <c r="N701" s="196" t="s">
        <v>718</v>
      </c>
    </row>
    <row r="702" spans="1:14" ht="12.65" customHeight="1" x14ac:dyDescent="0.3">
      <c r="A702" s="194">
        <v>7310</v>
      </c>
      <c r="B702" s="196" t="s">
        <v>719</v>
      </c>
      <c r="C702" s="179">
        <f>AK71</f>
        <v>0</v>
      </c>
      <c r="D702" s="179">
        <f>(D615/D612)*AK76</f>
        <v>0</v>
      </c>
      <c r="E702" s="179">
        <f>(E623/E612)*SUM(C702:D702)</f>
        <v>0</v>
      </c>
      <c r="F702" s="179">
        <f>(F624/F612)*AK64</f>
        <v>0</v>
      </c>
      <c r="G702" s="179">
        <f>(G625/G612)*AK77</f>
        <v>0</v>
      </c>
      <c r="H702" s="179">
        <f>(H628/H612)*AK60</f>
        <v>0</v>
      </c>
      <c r="I702" s="179">
        <f>(I629/I612)*AK78</f>
        <v>0</v>
      </c>
      <c r="J702" s="179">
        <f>(J630/J612)*AK79</f>
        <v>0</v>
      </c>
      <c r="K702" s="179">
        <f>(K644/K612)*AK75</f>
        <v>0</v>
      </c>
      <c r="L702" s="179">
        <f>(L647/L612)*AK80</f>
        <v>0</v>
      </c>
      <c r="M702" s="179">
        <f t="shared" si="20"/>
        <v>0</v>
      </c>
      <c r="N702" s="196" t="s">
        <v>720</v>
      </c>
    </row>
    <row r="703" spans="1:14" ht="12.65" customHeight="1" x14ac:dyDescent="0.3">
      <c r="A703" s="194">
        <v>7320</v>
      </c>
      <c r="B703" s="196" t="s">
        <v>721</v>
      </c>
      <c r="C703" s="179">
        <f>AL71</f>
        <v>0</v>
      </c>
      <c r="D703" s="179">
        <f>(D615/D612)*AL76</f>
        <v>0</v>
      </c>
      <c r="E703" s="179">
        <f>(E623/E612)*SUM(C703:D703)</f>
        <v>0</v>
      </c>
      <c r="F703" s="179">
        <f>(F624/F612)*AL64</f>
        <v>0</v>
      </c>
      <c r="G703" s="179">
        <f>(G625/G612)*AL77</f>
        <v>0</v>
      </c>
      <c r="H703" s="179">
        <f>(H628/H612)*AL60</f>
        <v>0</v>
      </c>
      <c r="I703" s="179">
        <f>(I629/I612)*AL78</f>
        <v>0</v>
      </c>
      <c r="J703" s="179">
        <f>(J630/J612)*AL79</f>
        <v>0</v>
      </c>
      <c r="K703" s="179">
        <f>(K644/K612)*AL75</f>
        <v>0</v>
      </c>
      <c r="L703" s="179">
        <f>(L647/L612)*AL80</f>
        <v>0</v>
      </c>
      <c r="M703" s="179">
        <f t="shared" si="20"/>
        <v>0</v>
      </c>
      <c r="N703" s="196" t="s">
        <v>722</v>
      </c>
    </row>
    <row r="704" spans="1:14" ht="12.65" customHeight="1" x14ac:dyDescent="0.3">
      <c r="A704" s="194">
        <v>7330</v>
      </c>
      <c r="B704" s="196" t="s">
        <v>723</v>
      </c>
      <c r="C704" s="179">
        <f>AM71</f>
        <v>0</v>
      </c>
      <c r="D704" s="179">
        <f>(D615/D612)*AM76</f>
        <v>0</v>
      </c>
      <c r="E704" s="179">
        <f>(E623/E612)*SUM(C704:D704)</f>
        <v>0</v>
      </c>
      <c r="F704" s="179">
        <f>(F624/F612)*AM64</f>
        <v>0</v>
      </c>
      <c r="G704" s="179">
        <f>(G625/G612)*AM77</f>
        <v>0</v>
      </c>
      <c r="H704" s="179">
        <f>(H628/H612)*AM60</f>
        <v>0</v>
      </c>
      <c r="I704" s="179">
        <f>(I629/I612)*AM78</f>
        <v>0</v>
      </c>
      <c r="J704" s="179">
        <f>(J630/J612)*AM79</f>
        <v>0</v>
      </c>
      <c r="K704" s="179">
        <f>(K644/K612)*AM75</f>
        <v>0</v>
      </c>
      <c r="L704" s="179">
        <f>(L647/L612)*AM80</f>
        <v>0</v>
      </c>
      <c r="M704" s="179">
        <f t="shared" si="20"/>
        <v>0</v>
      </c>
      <c r="N704" s="196" t="s">
        <v>724</v>
      </c>
    </row>
    <row r="705" spans="1:83" ht="12.65" customHeight="1" x14ac:dyDescent="0.3">
      <c r="A705" s="194">
        <v>7340</v>
      </c>
      <c r="B705" s="196" t="s">
        <v>725</v>
      </c>
      <c r="C705" s="179">
        <f>AN71</f>
        <v>0</v>
      </c>
      <c r="D705" s="179">
        <f>(D615/D612)*AN76</f>
        <v>0</v>
      </c>
      <c r="E705" s="179">
        <f>(E623/E612)*SUM(C705:D705)</f>
        <v>0</v>
      </c>
      <c r="F705" s="179">
        <f>(F624/F612)*AN64</f>
        <v>0</v>
      </c>
      <c r="G705" s="179">
        <f>(G625/G612)*AN77</f>
        <v>0</v>
      </c>
      <c r="H705" s="179">
        <f>(H628/H612)*AN60</f>
        <v>0</v>
      </c>
      <c r="I705" s="179">
        <f>(I629/I612)*AN78</f>
        <v>0</v>
      </c>
      <c r="J705" s="179">
        <f>(J630/J612)*AN79</f>
        <v>0</v>
      </c>
      <c r="K705" s="179">
        <f>(K644/K612)*AN75</f>
        <v>0</v>
      </c>
      <c r="L705" s="179">
        <f>(L647/L612)*AN80</f>
        <v>0</v>
      </c>
      <c r="M705" s="179">
        <f t="shared" si="20"/>
        <v>0</v>
      </c>
      <c r="N705" s="196" t="s">
        <v>726</v>
      </c>
    </row>
    <row r="706" spans="1:83" ht="12.65" customHeight="1" x14ac:dyDescent="0.3">
      <c r="A706" s="194">
        <v>7350</v>
      </c>
      <c r="B706" s="196" t="s">
        <v>727</v>
      </c>
      <c r="C706" s="179">
        <f>AO71</f>
        <v>0</v>
      </c>
      <c r="D706" s="179">
        <f>(D615/D612)*AO76</f>
        <v>0</v>
      </c>
      <c r="E706" s="179">
        <f>(E623/E612)*SUM(C706:D706)</f>
        <v>0</v>
      </c>
      <c r="F706" s="179">
        <f>(F624/F612)*AO64</f>
        <v>0</v>
      </c>
      <c r="G706" s="179">
        <f>(G625/G612)*AO77</f>
        <v>0</v>
      </c>
      <c r="H706" s="179">
        <f>(H628/H612)*AO60</f>
        <v>0</v>
      </c>
      <c r="I706" s="179">
        <f>(I629/I612)*AO78</f>
        <v>0</v>
      </c>
      <c r="J706" s="179">
        <f>(J630/J612)*AO79</f>
        <v>0</v>
      </c>
      <c r="K706" s="179">
        <f>(K644/K612)*AO75</f>
        <v>0</v>
      </c>
      <c r="L706" s="179">
        <f>(L647/L612)*AO80</f>
        <v>0</v>
      </c>
      <c r="M706" s="179">
        <f t="shared" si="20"/>
        <v>0</v>
      </c>
      <c r="N706" s="196" t="s">
        <v>728</v>
      </c>
    </row>
    <row r="707" spans="1:83" ht="12.65" customHeight="1" x14ac:dyDescent="0.3">
      <c r="A707" s="194">
        <v>7380</v>
      </c>
      <c r="B707" s="196" t="s">
        <v>729</v>
      </c>
      <c r="C707" s="179">
        <f>AP71</f>
        <v>0</v>
      </c>
      <c r="D707" s="179">
        <f>(D615/D612)*AP76</f>
        <v>0</v>
      </c>
      <c r="E707" s="179">
        <f>(E623/E612)*SUM(C707:D707)</f>
        <v>0</v>
      </c>
      <c r="F707" s="179">
        <f>(F624/F612)*AP64</f>
        <v>0</v>
      </c>
      <c r="G707" s="179">
        <f>(G625/G612)*AP77</f>
        <v>0</v>
      </c>
      <c r="H707" s="179">
        <f>(H628/H612)*AP60</f>
        <v>0</v>
      </c>
      <c r="I707" s="179">
        <f>(I629/I612)*AP78</f>
        <v>0</v>
      </c>
      <c r="J707" s="179">
        <f>(J630/J612)*AP79</f>
        <v>0</v>
      </c>
      <c r="K707" s="179">
        <f>(K644/K612)*AP75</f>
        <v>0</v>
      </c>
      <c r="L707" s="179">
        <f>(L647/L612)*AP80</f>
        <v>0</v>
      </c>
      <c r="M707" s="179">
        <f t="shared" si="20"/>
        <v>0</v>
      </c>
      <c r="N707" s="196" t="s">
        <v>730</v>
      </c>
    </row>
    <row r="708" spans="1:83" ht="12.65" customHeight="1" x14ac:dyDescent="0.3">
      <c r="A708" s="194">
        <v>7390</v>
      </c>
      <c r="B708" s="196" t="s">
        <v>731</v>
      </c>
      <c r="C708" s="179">
        <f>AQ71</f>
        <v>0</v>
      </c>
      <c r="D708" s="179">
        <f>(D615/D612)*AQ76</f>
        <v>0</v>
      </c>
      <c r="E708" s="179">
        <f>(E623/E612)*SUM(C708:D708)</f>
        <v>0</v>
      </c>
      <c r="F708" s="179">
        <f>(F624/F612)*AQ64</f>
        <v>0</v>
      </c>
      <c r="G708" s="179">
        <f>(G625/G612)*AQ77</f>
        <v>0</v>
      </c>
      <c r="H708" s="179">
        <f>(H628/H612)*AQ60</f>
        <v>0</v>
      </c>
      <c r="I708" s="179">
        <f>(I629/I612)*AQ78</f>
        <v>0</v>
      </c>
      <c r="J708" s="179">
        <f>(J630/J612)*AQ79</f>
        <v>0</v>
      </c>
      <c r="K708" s="179">
        <f>(K644/K612)*AQ75</f>
        <v>0</v>
      </c>
      <c r="L708" s="179">
        <f>(L647/L612)*AQ80</f>
        <v>0</v>
      </c>
      <c r="M708" s="179">
        <f t="shared" si="20"/>
        <v>0</v>
      </c>
      <c r="N708" s="196" t="s">
        <v>732</v>
      </c>
    </row>
    <row r="709" spans="1:83" ht="12.65" customHeight="1" x14ac:dyDescent="0.3">
      <c r="A709" s="194">
        <v>7400</v>
      </c>
      <c r="B709" s="196" t="s">
        <v>733</v>
      </c>
      <c r="C709" s="179">
        <f>AR71</f>
        <v>4392980</v>
      </c>
      <c r="D709" s="179">
        <f>(D615/D612)*AR76</f>
        <v>68402.556688555007</v>
      </c>
      <c r="E709" s="179">
        <f>(E623/E612)*SUM(C709:D709)</f>
        <v>369278.26361815527</v>
      </c>
      <c r="F709" s="179">
        <f>(F624/F612)*AR64</f>
        <v>5331.8268645873004</v>
      </c>
      <c r="G709" s="179">
        <f>(G625/G612)*AR77</f>
        <v>0</v>
      </c>
      <c r="H709" s="179">
        <f>(H628/H612)*AR60</f>
        <v>100506.94800513411</v>
      </c>
      <c r="I709" s="179">
        <f>(I629/I612)*AR78</f>
        <v>0</v>
      </c>
      <c r="J709" s="179">
        <f>(J630/J612)*AR79</f>
        <v>0</v>
      </c>
      <c r="K709" s="179">
        <f>(K644/K612)*AR75</f>
        <v>284510.59735599987</v>
      </c>
      <c r="L709" s="179">
        <f>(L647/L612)*AR80</f>
        <v>215525.71381992113</v>
      </c>
      <c r="M709" s="179">
        <f t="shared" si="20"/>
        <v>1043556</v>
      </c>
      <c r="N709" s="196" t="s">
        <v>734</v>
      </c>
    </row>
    <row r="710" spans="1:83" ht="12.65" customHeight="1" x14ac:dyDescent="0.3">
      <c r="A710" s="194">
        <v>7410</v>
      </c>
      <c r="B710" s="196" t="s">
        <v>129</v>
      </c>
      <c r="C710" s="179">
        <f>AS71</f>
        <v>0</v>
      </c>
      <c r="D710" s="179">
        <f>(D615/D612)*AS76</f>
        <v>0</v>
      </c>
      <c r="E710" s="179">
        <f>(E623/E612)*SUM(C710:D710)</f>
        <v>0</v>
      </c>
      <c r="F710" s="179">
        <f>(F624/F612)*AS64</f>
        <v>0</v>
      </c>
      <c r="G710" s="179">
        <f>(G625/G612)*AS77</f>
        <v>0</v>
      </c>
      <c r="H710" s="179">
        <f>(H628/H612)*AS60</f>
        <v>0</v>
      </c>
      <c r="I710" s="179">
        <f>(I629/I612)*AS78</f>
        <v>0</v>
      </c>
      <c r="J710" s="179">
        <f>(J630/J612)*AS79</f>
        <v>0</v>
      </c>
      <c r="K710" s="179">
        <f>(K644/K612)*AS75</f>
        <v>0</v>
      </c>
      <c r="L710" s="179">
        <f>(L647/L612)*AS80</f>
        <v>0</v>
      </c>
      <c r="M710" s="179">
        <f t="shared" si="20"/>
        <v>0</v>
      </c>
      <c r="N710" s="196" t="s">
        <v>735</v>
      </c>
    </row>
    <row r="711" spans="1:83" ht="12.65" customHeight="1" x14ac:dyDescent="0.3">
      <c r="A711" s="194">
        <v>7420</v>
      </c>
      <c r="B711" s="196" t="s">
        <v>736</v>
      </c>
      <c r="C711" s="179">
        <f>AT71</f>
        <v>0</v>
      </c>
      <c r="D711" s="179">
        <f>(D615/D612)*AT76</f>
        <v>0</v>
      </c>
      <c r="E711" s="179">
        <f>(E623/E612)*SUM(C711:D711)</f>
        <v>0</v>
      </c>
      <c r="F711" s="179">
        <f>(F624/F612)*AT64</f>
        <v>0</v>
      </c>
      <c r="G711" s="179">
        <f>(G625/G612)*AT77</f>
        <v>0</v>
      </c>
      <c r="H711" s="179">
        <f>(H628/H612)*AT60</f>
        <v>0</v>
      </c>
      <c r="I711" s="179">
        <f>(I629/I612)*AT78</f>
        <v>0</v>
      </c>
      <c r="J711" s="179">
        <f>(J630/J612)*AT79</f>
        <v>0</v>
      </c>
      <c r="K711" s="179">
        <f>(K644/K612)*AT75</f>
        <v>0</v>
      </c>
      <c r="L711" s="179">
        <f>(L647/L612)*AT80</f>
        <v>0</v>
      </c>
      <c r="M711" s="179">
        <f t="shared" si="20"/>
        <v>0</v>
      </c>
      <c r="N711" s="196" t="s">
        <v>737</v>
      </c>
    </row>
    <row r="712" spans="1:83" ht="12.65" customHeight="1" x14ac:dyDescent="0.3">
      <c r="A712" s="194">
        <v>7430</v>
      </c>
      <c r="B712" s="196" t="s">
        <v>738</v>
      </c>
      <c r="C712" s="179">
        <f>AU71</f>
        <v>0</v>
      </c>
      <c r="D712" s="179">
        <f>(D615/D612)*AU76</f>
        <v>0</v>
      </c>
      <c r="E712" s="179">
        <f>(E623/E612)*SUM(C712:D712)</f>
        <v>0</v>
      </c>
      <c r="F712" s="179">
        <f>(F624/F612)*AU64</f>
        <v>0</v>
      </c>
      <c r="G712" s="179">
        <f>(G625/G612)*AU77</f>
        <v>0</v>
      </c>
      <c r="H712" s="179">
        <f>(H628/H612)*AU60</f>
        <v>0</v>
      </c>
      <c r="I712" s="179">
        <f>(I629/I612)*AU78</f>
        <v>0</v>
      </c>
      <c r="J712" s="179">
        <f>(J630/J612)*AU79</f>
        <v>0</v>
      </c>
      <c r="K712" s="179">
        <f>(K644/K612)*AU75</f>
        <v>0</v>
      </c>
      <c r="L712" s="179">
        <f>(L647/L612)*AU80</f>
        <v>0</v>
      </c>
      <c r="M712" s="179">
        <f t="shared" si="20"/>
        <v>0</v>
      </c>
      <c r="N712" s="196" t="s">
        <v>739</v>
      </c>
    </row>
    <row r="713" spans="1:83" ht="12.65" customHeight="1" x14ac:dyDescent="0.3">
      <c r="A713" s="194">
        <v>7490</v>
      </c>
      <c r="B713" s="196" t="s">
        <v>740</v>
      </c>
      <c r="C713" s="179">
        <f>AV71</f>
        <v>2418672</v>
      </c>
      <c r="D713" s="179">
        <f>(D615/D612)*AV76</f>
        <v>84746.018025628611</v>
      </c>
      <c r="E713" s="179">
        <f>(E623/E612)*SUM(C713:D713)</f>
        <v>207213.31270302081</v>
      </c>
      <c r="F713" s="179">
        <f>(F624/F612)*AV64</f>
        <v>3233.1913770017377</v>
      </c>
      <c r="G713" s="179">
        <f>(G625/G612)*AV77</f>
        <v>0</v>
      </c>
      <c r="H713" s="179">
        <f>(H628/H612)*AV60</f>
        <v>50680.631571659556</v>
      </c>
      <c r="I713" s="179">
        <f>(I629/I612)*AV78</f>
        <v>81338.147825088381</v>
      </c>
      <c r="J713" s="179">
        <f>(J630/J612)*AV79</f>
        <v>32594.049043129166</v>
      </c>
      <c r="K713" s="179">
        <f>(K644/K612)*AV75</f>
        <v>390506.39777477714</v>
      </c>
      <c r="L713" s="179">
        <f>(L647/L612)*AV80</f>
        <v>60972.09244441249</v>
      </c>
      <c r="M713" s="179">
        <f t="shared" si="20"/>
        <v>911284</v>
      </c>
      <c r="N713" s="197" t="s">
        <v>741</v>
      </c>
    </row>
    <row r="715" spans="1:83" ht="12.65" customHeight="1" x14ac:dyDescent="0.3">
      <c r="C715" s="179">
        <f>SUM(C614:C647)+SUM(C668:C713)</f>
        <v>120395468</v>
      </c>
      <c r="D715" s="179">
        <f>SUM(D616:D647)+SUM(D668:D713)</f>
        <v>2828415</v>
      </c>
      <c r="E715" s="179">
        <f>SUM(E624:E647)+SUM(E668:E713)</f>
        <v>9203591.6046186723</v>
      </c>
      <c r="F715" s="179">
        <f>SUM(F625:F648)+SUM(F668:F713)</f>
        <v>922399.44240364688</v>
      </c>
      <c r="G715" s="179">
        <f>SUM(G626:G647)+SUM(G668:G713)</f>
        <v>988958.49179342296</v>
      </c>
      <c r="H715" s="179">
        <f>SUM(H629:H647)+SUM(H668:H713)</f>
        <v>1485617.9497982198</v>
      </c>
      <c r="I715" s="179">
        <f>SUM(I630:I647)+SUM(I668:I713)</f>
        <v>1783248.8177984066</v>
      </c>
      <c r="J715" s="179">
        <f>SUM(J631:J647)+SUM(J668:J713)</f>
        <v>460078.04248453933</v>
      </c>
      <c r="K715" s="179">
        <f>SUM(K668:K713)</f>
        <v>11388827.0394581</v>
      </c>
      <c r="L715" s="179">
        <f>SUM(L668:L713)</f>
        <v>1751579.4387664194</v>
      </c>
      <c r="M715" s="179">
        <f>SUM(M668:M713)</f>
        <v>28097771</v>
      </c>
      <c r="N715" s="196" t="s">
        <v>742</v>
      </c>
    </row>
    <row r="716" spans="1:83" ht="12.65" customHeight="1" x14ac:dyDescent="0.3">
      <c r="C716" s="179">
        <f>CE71</f>
        <v>120395468</v>
      </c>
      <c r="D716" s="179">
        <f>D615</f>
        <v>2828415</v>
      </c>
      <c r="E716" s="179">
        <f>E623</f>
        <v>9203591.6046186704</v>
      </c>
      <c r="F716" s="179">
        <f>F624</f>
        <v>922399.44240364688</v>
      </c>
      <c r="G716" s="179">
        <f>G625</f>
        <v>988958.49179342308</v>
      </c>
      <c r="H716" s="179">
        <f>H628</f>
        <v>1485617.9497982201</v>
      </c>
      <c r="I716" s="179">
        <f>I629</f>
        <v>1783248.817798407</v>
      </c>
      <c r="J716" s="179">
        <f>J630</f>
        <v>460078.04248453939</v>
      </c>
      <c r="K716" s="179">
        <f>K644</f>
        <v>11388827.039458102</v>
      </c>
      <c r="L716" s="179">
        <f>L647</f>
        <v>1751579.4387664192</v>
      </c>
      <c r="M716" s="179">
        <f>C648</f>
        <v>28097768</v>
      </c>
      <c r="N716" s="196" t="s">
        <v>743</v>
      </c>
    </row>
    <row r="717" spans="1:83" ht="12.65" customHeight="1" x14ac:dyDescent="0.3">
      <c r="O717" s="196"/>
    </row>
    <row r="718" spans="1:83" ht="12.65" customHeight="1" x14ac:dyDescent="0.3">
      <c r="O718" s="196"/>
    </row>
    <row r="719" spans="1:83" ht="12.65" customHeight="1" x14ac:dyDescent="0.3">
      <c r="O719" s="196"/>
    </row>
    <row r="720" spans="1:83" s="199" customFormat="1" ht="12.65" customHeight="1" x14ac:dyDescent="0.3">
      <c r="A720" s="199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1" customFormat="1" ht="12.65" customHeight="1" x14ac:dyDescent="0.3">
      <c r="A721" s="201" t="s">
        <v>745</v>
      </c>
      <c r="B721" s="201" t="s">
        <v>746</v>
      </c>
      <c r="C721" s="201" t="s">
        <v>747</v>
      </c>
      <c r="D721" s="201" t="s">
        <v>748</v>
      </c>
      <c r="E721" s="201" t="s">
        <v>749</v>
      </c>
      <c r="F721" s="201" t="s">
        <v>750</v>
      </c>
      <c r="G721" s="201" t="s">
        <v>751</v>
      </c>
      <c r="H721" s="201" t="s">
        <v>752</v>
      </c>
      <c r="I721" s="201" t="s">
        <v>753</v>
      </c>
      <c r="J721" s="201" t="s">
        <v>754</v>
      </c>
      <c r="K721" s="201" t="s">
        <v>755</v>
      </c>
      <c r="L721" s="201" t="s">
        <v>756</v>
      </c>
      <c r="M721" s="201" t="s">
        <v>757</v>
      </c>
      <c r="N721" s="201" t="s">
        <v>758</v>
      </c>
      <c r="O721" s="201" t="s">
        <v>759</v>
      </c>
      <c r="P721" s="201" t="s">
        <v>760</v>
      </c>
      <c r="Q721" s="201" t="s">
        <v>761</v>
      </c>
      <c r="R721" s="201" t="s">
        <v>762</v>
      </c>
      <c r="S721" s="201" t="s">
        <v>763</v>
      </c>
      <c r="T721" s="201" t="s">
        <v>764</v>
      </c>
      <c r="U721" s="201" t="s">
        <v>765</v>
      </c>
      <c r="V721" s="201" t="s">
        <v>766</v>
      </c>
      <c r="W721" s="201" t="s">
        <v>767</v>
      </c>
      <c r="X721" s="201" t="s">
        <v>768</v>
      </c>
      <c r="Y721" s="201" t="s">
        <v>769</v>
      </c>
      <c r="Z721" s="201" t="s">
        <v>770</v>
      </c>
      <c r="AA721" s="201" t="s">
        <v>771</v>
      </c>
      <c r="AB721" s="201" t="s">
        <v>772</v>
      </c>
      <c r="AC721" s="201" t="s">
        <v>773</v>
      </c>
      <c r="AD721" s="201" t="s">
        <v>774</v>
      </c>
      <c r="AE721" s="201" t="s">
        <v>775</v>
      </c>
      <c r="AF721" s="201" t="s">
        <v>776</v>
      </c>
      <c r="AG721" s="201" t="s">
        <v>777</v>
      </c>
      <c r="AH721" s="201" t="s">
        <v>778</v>
      </c>
      <c r="AI721" s="201" t="s">
        <v>779</v>
      </c>
      <c r="AJ721" s="201" t="s">
        <v>780</v>
      </c>
      <c r="AK721" s="201" t="s">
        <v>781</v>
      </c>
      <c r="AL721" s="201" t="s">
        <v>782</v>
      </c>
      <c r="AM721" s="201" t="s">
        <v>783</v>
      </c>
      <c r="AN721" s="201" t="s">
        <v>784</v>
      </c>
      <c r="AO721" s="201" t="s">
        <v>785</v>
      </c>
      <c r="AP721" s="201" t="s">
        <v>786</v>
      </c>
      <c r="AQ721" s="201" t="s">
        <v>787</v>
      </c>
      <c r="AR721" s="201" t="s">
        <v>788</v>
      </c>
      <c r="AS721" s="201" t="s">
        <v>789</v>
      </c>
      <c r="AT721" s="201" t="s">
        <v>790</v>
      </c>
      <c r="AU721" s="201" t="s">
        <v>791</v>
      </c>
      <c r="AV721" s="201" t="s">
        <v>792</v>
      </c>
      <c r="AW721" s="201" t="s">
        <v>793</v>
      </c>
      <c r="AX721" s="201" t="s">
        <v>794</v>
      </c>
      <c r="AY721" s="201" t="s">
        <v>795</v>
      </c>
      <c r="AZ721" s="201" t="s">
        <v>796</v>
      </c>
      <c r="BA721" s="201" t="s">
        <v>797</v>
      </c>
      <c r="BB721" s="201" t="s">
        <v>798</v>
      </c>
      <c r="BC721" s="201" t="s">
        <v>799</v>
      </c>
      <c r="BD721" s="201" t="s">
        <v>800</v>
      </c>
      <c r="BE721" s="201" t="s">
        <v>801</v>
      </c>
      <c r="BF721" s="201" t="s">
        <v>802</v>
      </c>
      <c r="BG721" s="201" t="s">
        <v>803</v>
      </c>
      <c r="BH721" s="201" t="s">
        <v>804</v>
      </c>
      <c r="BI721" s="201" t="s">
        <v>805</v>
      </c>
      <c r="BJ721" s="201" t="s">
        <v>806</v>
      </c>
      <c r="BK721" s="201" t="s">
        <v>807</v>
      </c>
      <c r="BL721" s="201" t="s">
        <v>808</v>
      </c>
      <c r="BM721" s="201" t="s">
        <v>809</v>
      </c>
      <c r="BN721" s="201" t="s">
        <v>810</v>
      </c>
      <c r="BO721" s="201" t="s">
        <v>811</v>
      </c>
      <c r="BP721" s="201" t="s">
        <v>812</v>
      </c>
      <c r="BQ721" s="201" t="s">
        <v>813</v>
      </c>
      <c r="BR721" s="201" t="s">
        <v>814</v>
      </c>
      <c r="BS721" s="201" t="s">
        <v>815</v>
      </c>
      <c r="BT721" s="201" t="s">
        <v>816</v>
      </c>
      <c r="BU721" s="201" t="s">
        <v>817</v>
      </c>
      <c r="BV721" s="201" t="s">
        <v>818</v>
      </c>
      <c r="BW721" s="201" t="s">
        <v>819</v>
      </c>
      <c r="BX721" s="201" t="s">
        <v>820</v>
      </c>
      <c r="BY721" s="201" t="s">
        <v>821</v>
      </c>
      <c r="BZ721" s="201" t="s">
        <v>822</v>
      </c>
      <c r="CA721" s="201" t="s">
        <v>823</v>
      </c>
      <c r="CB721" s="201" t="s">
        <v>824</v>
      </c>
      <c r="CC721" s="201" t="s">
        <v>825</v>
      </c>
      <c r="CD721" s="201" t="s">
        <v>1255</v>
      </c>
    </row>
    <row r="722" spans="1:84" s="199" customFormat="1" ht="12.65" customHeight="1" x14ac:dyDescent="0.3">
      <c r="A722" s="200" t="str">
        <f>RIGHT(C83,3)&amp;"*"&amp;RIGHT(C82,4)&amp;"*"&amp;"A"</f>
        <v>085*2020*A</v>
      </c>
      <c r="B722" s="271">
        <f>ROUND(C165,0)</f>
        <v>4257243</v>
      </c>
      <c r="C722" s="271">
        <f>ROUND(C166,0)</f>
        <v>209472</v>
      </c>
      <c r="D722" s="271">
        <f>ROUND(C167,0)</f>
        <v>424046</v>
      </c>
      <c r="E722" s="271">
        <f>ROUND(C168,0)</f>
        <v>7297614</v>
      </c>
      <c r="F722" s="271">
        <f>ROUND(C169,0)</f>
        <v>79884</v>
      </c>
      <c r="G722" s="271">
        <f>ROUND(C170,0)</f>
        <v>2384763</v>
      </c>
      <c r="H722" s="271">
        <f>ROUND(C171+C172,0)</f>
        <v>98074</v>
      </c>
      <c r="I722" s="271">
        <f>ROUND(C175,0)</f>
        <v>648078</v>
      </c>
      <c r="J722" s="271">
        <f>ROUND(C176,0)</f>
        <v>968143</v>
      </c>
      <c r="K722" s="271">
        <f>ROUND(C179,0)</f>
        <v>699240</v>
      </c>
      <c r="L722" s="271">
        <f>ROUND(C180,0)</f>
        <v>198544</v>
      </c>
      <c r="M722" s="271">
        <f>ROUND(C183,0)</f>
        <v>0</v>
      </c>
      <c r="N722" s="271">
        <f>ROUND(C184,0)</f>
        <v>0</v>
      </c>
      <c r="O722" s="271">
        <f>ROUND(C185,0)</f>
        <v>0</v>
      </c>
      <c r="P722" s="271">
        <f>ROUND(C188,0)</f>
        <v>764625</v>
      </c>
      <c r="Q722" s="271">
        <f>ROUND(C189,0)</f>
        <v>195865</v>
      </c>
      <c r="R722" s="271">
        <f>ROUND(B195,0)</f>
        <v>1549711</v>
      </c>
      <c r="S722" s="271">
        <f>ROUND(C195,0)</f>
        <v>165620</v>
      </c>
      <c r="T722" s="271">
        <f>ROUND(D195,0)</f>
        <v>0</v>
      </c>
      <c r="U722" s="271">
        <f>ROUND(B196,0)</f>
        <v>4028158</v>
      </c>
      <c r="V722" s="271">
        <f>ROUND(C196,0)</f>
        <v>0</v>
      </c>
      <c r="W722" s="271">
        <f>ROUND(D196,0)</f>
        <v>0</v>
      </c>
      <c r="X722" s="271">
        <f>ROUND(B197,0)</f>
        <v>40757243</v>
      </c>
      <c r="Y722" s="271">
        <f>ROUND(C197,0)</f>
        <v>0</v>
      </c>
      <c r="Z722" s="271">
        <f>ROUND(D197,0)</f>
        <v>0</v>
      </c>
      <c r="AA722" s="271">
        <f>ROUND(B198,0)</f>
        <v>0</v>
      </c>
      <c r="AB722" s="271">
        <f>ROUND(C198,0)</f>
        <v>0</v>
      </c>
      <c r="AC722" s="271">
        <f>ROUND(D198,0)</f>
        <v>0</v>
      </c>
      <c r="AD722" s="271">
        <f>ROUND(B199,0)</f>
        <v>0</v>
      </c>
      <c r="AE722" s="271">
        <f>ROUND(C199,0)</f>
        <v>0</v>
      </c>
      <c r="AF722" s="271">
        <f>ROUND(D199,0)</f>
        <v>0</v>
      </c>
      <c r="AG722" s="271">
        <f>ROUND(B200,0)</f>
        <v>39493280</v>
      </c>
      <c r="AH722" s="271">
        <f>ROUND(C200,0)</f>
        <v>2037024</v>
      </c>
      <c r="AI722" s="271">
        <f>ROUND(D200,0)</f>
        <v>0</v>
      </c>
      <c r="AJ722" s="271">
        <f>ROUND(B201,0)</f>
        <v>0</v>
      </c>
      <c r="AK722" s="271">
        <f>ROUND(C201,0)</f>
        <v>0</v>
      </c>
      <c r="AL722" s="271">
        <f>ROUND(D201,0)</f>
        <v>0</v>
      </c>
      <c r="AM722" s="271">
        <f>ROUND(B202,0)</f>
        <v>1361180</v>
      </c>
      <c r="AN722" s="271">
        <f>ROUND(C202,0)</f>
        <v>0</v>
      </c>
      <c r="AO722" s="271">
        <f>ROUND(D202,0)</f>
        <v>0</v>
      </c>
      <c r="AP722" s="271">
        <f>ROUND(B203,0)</f>
        <v>493251</v>
      </c>
      <c r="AQ722" s="271">
        <f>ROUND(C203,0)</f>
        <v>501992</v>
      </c>
      <c r="AR722" s="271">
        <f>ROUND(D203,0)</f>
        <v>0</v>
      </c>
      <c r="AS722" s="271"/>
      <c r="AT722" s="271"/>
      <c r="AU722" s="271"/>
      <c r="AV722" s="271">
        <f>ROUND(B209,0)</f>
        <v>1515043</v>
      </c>
      <c r="AW722" s="271">
        <f>ROUND(C209,0)</f>
        <v>251000</v>
      </c>
      <c r="AX722" s="271">
        <f>ROUND(D209,0)</f>
        <v>0</v>
      </c>
      <c r="AY722" s="271">
        <f>ROUND(B210,0)</f>
        <v>20142436</v>
      </c>
      <c r="AZ722" s="271">
        <f>ROUND(C210,0)</f>
        <v>1722816</v>
      </c>
      <c r="BA722" s="271">
        <f>ROUND(D210,0)</f>
        <v>0</v>
      </c>
      <c r="BB722" s="271">
        <f>ROUND(B211,0)</f>
        <v>0</v>
      </c>
      <c r="BC722" s="271">
        <f>ROUND(C211,0)</f>
        <v>0</v>
      </c>
      <c r="BD722" s="271">
        <f>ROUND(D211,0)</f>
        <v>0</v>
      </c>
      <c r="BE722" s="271">
        <f>ROUND(B212,0)</f>
        <v>0</v>
      </c>
      <c r="BF722" s="271">
        <f>ROUND(C212,0)</f>
        <v>0</v>
      </c>
      <c r="BG722" s="271">
        <f>ROUND(D212,0)</f>
        <v>0</v>
      </c>
      <c r="BH722" s="271">
        <f>ROUND(B213,0)</f>
        <v>22593911</v>
      </c>
      <c r="BI722" s="271">
        <f>ROUND(C213,0)</f>
        <v>2666214</v>
      </c>
      <c r="BJ722" s="271">
        <f>ROUND(D213,0)</f>
        <v>0</v>
      </c>
      <c r="BK722" s="271">
        <f>ROUND(B214,0)</f>
        <v>0</v>
      </c>
      <c r="BL722" s="271">
        <f>ROUND(C214,0)</f>
        <v>0</v>
      </c>
      <c r="BM722" s="271">
        <f>ROUND(D214,0)</f>
        <v>0</v>
      </c>
      <c r="BN722" s="271">
        <f>ROUND(B215,0)</f>
        <v>778739</v>
      </c>
      <c r="BO722" s="271">
        <f>ROUND(C215,0)</f>
        <v>118978</v>
      </c>
      <c r="BP722" s="271">
        <f>ROUND(D215,0)</f>
        <v>0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90312560</v>
      </c>
      <c r="BU722" s="271">
        <f>ROUND(C224,0)</f>
        <v>20739856</v>
      </c>
      <c r="BV722" s="271">
        <f>ROUND(C225,0)</f>
        <v>0</v>
      </c>
      <c r="BW722" s="271">
        <f>ROUND(C226,0)</f>
        <v>0</v>
      </c>
      <c r="BX722" s="271">
        <f>ROUND(C227,0)</f>
        <v>0</v>
      </c>
      <c r="BY722" s="271">
        <f>ROUND(C228,0)</f>
        <v>0</v>
      </c>
      <c r="BZ722" s="271">
        <f>ROUND(C231,0)</f>
        <v>1773</v>
      </c>
      <c r="CA722" s="271">
        <f>ROUND(C233,0)</f>
        <v>336849</v>
      </c>
      <c r="CB722" s="271">
        <f>ROUND(C234,0)</f>
        <v>3339719</v>
      </c>
      <c r="CC722" s="271">
        <f>ROUND(C238+C239,0)</f>
        <v>22573297</v>
      </c>
      <c r="CD722" s="271">
        <f>D221</f>
        <v>3778000</v>
      </c>
      <c r="CE722" s="271"/>
    </row>
    <row r="723" spans="1:84" ht="12.65" customHeight="1" x14ac:dyDescent="0.3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199" customFormat="1" ht="12.65" customHeight="1" x14ac:dyDescent="0.3">
      <c r="A724" s="199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1" customFormat="1" ht="12.65" customHeight="1" x14ac:dyDescent="0.3">
      <c r="A725" s="201" t="s">
        <v>745</v>
      </c>
      <c r="B725" s="201" t="s">
        <v>826</v>
      </c>
      <c r="C725" s="201" t="s">
        <v>827</v>
      </c>
      <c r="D725" s="201" t="s">
        <v>828</v>
      </c>
      <c r="E725" s="201" t="s">
        <v>829</v>
      </c>
      <c r="F725" s="201" t="s">
        <v>830</v>
      </c>
      <c r="G725" s="201" t="s">
        <v>831</v>
      </c>
      <c r="H725" s="201" t="s">
        <v>832</v>
      </c>
      <c r="I725" s="201" t="s">
        <v>833</v>
      </c>
      <c r="J725" s="201" t="s">
        <v>834</v>
      </c>
      <c r="K725" s="201" t="s">
        <v>835</v>
      </c>
      <c r="L725" s="201" t="s">
        <v>836</v>
      </c>
      <c r="M725" s="201" t="s">
        <v>837</v>
      </c>
      <c r="N725" s="201" t="s">
        <v>838</v>
      </c>
      <c r="O725" s="201" t="s">
        <v>839</v>
      </c>
      <c r="P725" s="201" t="s">
        <v>840</v>
      </c>
      <c r="Q725" s="201" t="s">
        <v>841</v>
      </c>
      <c r="R725" s="201" t="s">
        <v>842</v>
      </c>
      <c r="S725" s="201" t="s">
        <v>843</v>
      </c>
      <c r="T725" s="201" t="s">
        <v>844</v>
      </c>
      <c r="U725" s="201" t="s">
        <v>845</v>
      </c>
      <c r="V725" s="201" t="s">
        <v>846</v>
      </c>
      <c r="W725" s="201" t="s">
        <v>847</v>
      </c>
      <c r="X725" s="201" t="s">
        <v>848</v>
      </c>
      <c r="Y725" s="201" t="s">
        <v>849</v>
      </c>
      <c r="Z725" s="201" t="s">
        <v>850</v>
      </c>
      <c r="AA725" s="201" t="s">
        <v>851</v>
      </c>
      <c r="AB725" s="201" t="s">
        <v>852</v>
      </c>
      <c r="AC725" s="201" t="s">
        <v>853</v>
      </c>
      <c r="AD725" s="201" t="s">
        <v>854</v>
      </c>
      <c r="AE725" s="201" t="s">
        <v>855</v>
      </c>
      <c r="AF725" s="201" t="s">
        <v>856</v>
      </c>
      <c r="AG725" s="201" t="s">
        <v>857</v>
      </c>
      <c r="AH725" s="201" t="s">
        <v>858</v>
      </c>
      <c r="AI725" s="201" t="s">
        <v>859</v>
      </c>
      <c r="AJ725" s="201" t="s">
        <v>860</v>
      </c>
      <c r="AK725" s="201" t="s">
        <v>861</v>
      </c>
      <c r="AL725" s="201" t="s">
        <v>862</v>
      </c>
      <c r="AM725" s="201" t="s">
        <v>863</v>
      </c>
      <c r="AN725" s="201" t="s">
        <v>864</v>
      </c>
      <c r="AO725" s="201" t="s">
        <v>865</v>
      </c>
      <c r="AP725" s="201" t="s">
        <v>866</v>
      </c>
      <c r="AQ725" s="201" t="s">
        <v>867</v>
      </c>
      <c r="AR725" s="201" t="s">
        <v>868</v>
      </c>
      <c r="AS725" s="201" t="s">
        <v>869</v>
      </c>
      <c r="AT725" s="201" t="s">
        <v>870</v>
      </c>
      <c r="AU725" s="201" t="s">
        <v>871</v>
      </c>
      <c r="AV725" s="201" t="s">
        <v>872</v>
      </c>
      <c r="AW725" s="201" t="s">
        <v>873</v>
      </c>
      <c r="AX725" s="201" t="s">
        <v>874</v>
      </c>
      <c r="AY725" s="201" t="s">
        <v>875</v>
      </c>
      <c r="AZ725" s="201" t="s">
        <v>876</v>
      </c>
      <c r="BA725" s="201" t="s">
        <v>877</v>
      </c>
      <c r="BB725" s="201" t="s">
        <v>878</v>
      </c>
      <c r="BC725" s="201" t="s">
        <v>879</v>
      </c>
      <c r="BD725" s="201" t="s">
        <v>880</v>
      </c>
      <c r="BE725" s="201" t="s">
        <v>881</v>
      </c>
      <c r="BF725" s="201" t="s">
        <v>882</v>
      </c>
      <c r="BG725" s="201" t="s">
        <v>883</v>
      </c>
      <c r="BH725" s="201" t="s">
        <v>884</v>
      </c>
      <c r="BI725" s="201" t="s">
        <v>885</v>
      </c>
      <c r="BJ725" s="201" t="s">
        <v>886</v>
      </c>
      <c r="BK725" s="201" t="s">
        <v>887</v>
      </c>
      <c r="BL725" s="201" t="s">
        <v>888</v>
      </c>
      <c r="BM725" s="201" t="s">
        <v>889</v>
      </c>
      <c r="BN725" s="201" t="s">
        <v>890</v>
      </c>
      <c r="BO725" s="201" t="s">
        <v>891</v>
      </c>
      <c r="BP725" s="201" t="s">
        <v>892</v>
      </c>
      <c r="BQ725" s="201" t="s">
        <v>893</v>
      </c>
      <c r="BR725" s="201" t="s">
        <v>894</v>
      </c>
    </row>
    <row r="726" spans="1:84" s="199" customFormat="1" ht="12.65" customHeight="1" x14ac:dyDescent="0.3">
      <c r="A726" s="200" t="str">
        <f>RIGHT(C83,3)&amp;"*"&amp;RIGHT(C82,4)&amp;"*"&amp;"A"</f>
        <v>085*2020*A</v>
      </c>
      <c r="B726" s="271">
        <f>ROUND(C111,0)</f>
        <v>975</v>
      </c>
      <c r="C726" s="271">
        <f>ROUND(C112,0)</f>
        <v>10</v>
      </c>
      <c r="D726" s="271">
        <f>ROUND(C113,0)</f>
        <v>0</v>
      </c>
      <c r="E726" s="271">
        <f>ROUND(C114,0)</f>
        <v>88</v>
      </c>
      <c r="F726" s="271">
        <f>ROUND(D111,0)</f>
        <v>2851</v>
      </c>
      <c r="G726" s="271">
        <f>ROUND(D112,0)</f>
        <v>152</v>
      </c>
      <c r="H726" s="271">
        <f>ROUND(D113,0)</f>
        <v>0</v>
      </c>
      <c r="I726" s="271">
        <f>ROUND(D114,0)</f>
        <v>197</v>
      </c>
      <c r="J726" s="271">
        <f>ROUND(C116,0)</f>
        <v>6</v>
      </c>
      <c r="K726" s="271">
        <f>ROUND(C117,0)</f>
        <v>0</v>
      </c>
      <c r="L726" s="271">
        <f>ROUND(C118,0)</f>
        <v>10</v>
      </c>
      <c r="M726" s="271">
        <f>ROUND(C119,0)</f>
        <v>0</v>
      </c>
      <c r="N726" s="271">
        <f>ROUND(C120,0)</f>
        <v>4</v>
      </c>
      <c r="O726" s="271">
        <f>ROUND(C121,0)</f>
        <v>0</v>
      </c>
      <c r="P726" s="271">
        <f>ROUND(C122,0)</f>
        <v>0</v>
      </c>
      <c r="Q726" s="271">
        <f>ROUND(C123,0)</f>
        <v>5</v>
      </c>
      <c r="R726" s="271">
        <f>ROUND(C124,0)</f>
        <v>0</v>
      </c>
      <c r="S726" s="271">
        <f>ROUND(C125,0)</f>
        <v>0</v>
      </c>
      <c r="T726" s="271"/>
      <c r="U726" s="271">
        <f>ROUND(C126,0)</f>
        <v>0</v>
      </c>
      <c r="V726" s="271">
        <f>ROUND(C128,0)</f>
        <v>4</v>
      </c>
      <c r="W726" s="271">
        <f>ROUND(C129,0)</f>
        <v>4</v>
      </c>
      <c r="X726" s="271">
        <f>ROUND(B138,0)</f>
        <v>732</v>
      </c>
      <c r="Y726" s="271">
        <f>ROUND(B139,0)</f>
        <v>2132</v>
      </c>
      <c r="Z726" s="271">
        <f>ROUND(B140,0)</f>
        <v>0</v>
      </c>
      <c r="AA726" s="271">
        <f>ROUND(B141,0)</f>
        <v>23856769</v>
      </c>
      <c r="AB726" s="271">
        <f>ROUND(B142,0)</f>
        <v>131770813</v>
      </c>
      <c r="AC726" s="271">
        <f>ROUND(C138,0)</f>
        <v>99</v>
      </c>
      <c r="AD726" s="271">
        <f>ROUND(C139,0)</f>
        <v>340</v>
      </c>
      <c r="AE726" s="271">
        <f>ROUND(C140,0)</f>
        <v>0</v>
      </c>
      <c r="AF726" s="271">
        <f>ROUND(C141,0)</f>
        <v>5594630</v>
      </c>
      <c r="AG726" s="271">
        <f>ROUND(C142,0)</f>
        <v>28781995</v>
      </c>
      <c r="AH726" s="271">
        <f>ROUND(D138,0)</f>
        <v>144</v>
      </c>
      <c r="AI726" s="271">
        <f>ROUND(D139,0)</f>
        <v>379</v>
      </c>
      <c r="AJ726" s="271">
        <f>ROUND(D140,0)</f>
        <v>0</v>
      </c>
      <c r="AK726" s="271">
        <f>ROUND(D141,0)</f>
        <v>6929288</v>
      </c>
      <c r="AL726" s="271">
        <f>ROUND(D142,0)</f>
        <v>58968123</v>
      </c>
      <c r="AM726" s="271">
        <f>ROUND(B144,0)</f>
        <v>7</v>
      </c>
      <c r="AN726" s="271">
        <f>ROUND(B145,0)</f>
        <v>122</v>
      </c>
      <c r="AO726" s="271">
        <f>ROUND(B146,0)</f>
        <v>0</v>
      </c>
      <c r="AP726" s="271">
        <f>ROUND(B147,0)</f>
        <v>226058</v>
      </c>
      <c r="AQ726" s="271">
        <f>ROUND(B148,0)</f>
        <v>0</v>
      </c>
      <c r="AR726" s="271">
        <f>ROUND(C144,0)</f>
        <v>1</v>
      </c>
      <c r="AS726" s="271">
        <f>ROUND(C145,0)</f>
        <v>12</v>
      </c>
      <c r="AT726" s="271">
        <f>ROUND(C146,0)</f>
        <v>0</v>
      </c>
      <c r="AU726" s="271">
        <f>ROUND(C147,0)</f>
        <v>7236</v>
      </c>
      <c r="AV726" s="271">
        <f>ROUND(C148,0)</f>
        <v>0</v>
      </c>
      <c r="AW726" s="271">
        <f>ROUND(D144,0)</f>
        <v>2</v>
      </c>
      <c r="AX726" s="271">
        <f>ROUND(D145,0)</f>
        <v>18</v>
      </c>
      <c r="AY726" s="271">
        <f>ROUND(D146,0)</f>
        <v>0</v>
      </c>
      <c r="AZ726" s="271">
        <f>ROUND(D147,0)</f>
        <v>31338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31008939</v>
      </c>
      <c r="BR726" s="271">
        <f>ROUND(C157,0)</f>
        <v>9302682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5" customHeight="1" x14ac:dyDescent="0.3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199" customFormat="1" ht="12.65" customHeight="1" x14ac:dyDescent="0.3">
      <c r="A728" s="199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1" customFormat="1" ht="12.65" customHeight="1" x14ac:dyDescent="0.3">
      <c r="A729" s="201" t="s">
        <v>745</v>
      </c>
      <c r="B729" s="201" t="s">
        <v>896</v>
      </c>
      <c r="C729" s="201" t="s">
        <v>897</v>
      </c>
      <c r="D729" s="201" t="s">
        <v>898</v>
      </c>
      <c r="E729" s="201" t="s">
        <v>899</v>
      </c>
      <c r="F729" s="201" t="s">
        <v>900</v>
      </c>
      <c r="G729" s="201" t="s">
        <v>901</v>
      </c>
      <c r="H729" s="201" t="s">
        <v>902</v>
      </c>
      <c r="I729" s="201" t="s">
        <v>903</v>
      </c>
      <c r="J729" s="201" t="s">
        <v>904</v>
      </c>
      <c r="K729" s="201" t="s">
        <v>905</v>
      </c>
      <c r="L729" s="201" t="s">
        <v>906</v>
      </c>
      <c r="M729" s="201" t="s">
        <v>907</v>
      </c>
      <c r="N729" s="201" t="s">
        <v>908</v>
      </c>
      <c r="O729" s="201" t="s">
        <v>909</v>
      </c>
      <c r="P729" s="201" t="s">
        <v>910</v>
      </c>
      <c r="Q729" s="201" t="s">
        <v>911</v>
      </c>
      <c r="R729" s="201" t="s">
        <v>912</v>
      </c>
      <c r="S729" s="201" t="s">
        <v>913</v>
      </c>
      <c r="T729" s="201" t="s">
        <v>914</v>
      </c>
      <c r="U729" s="201" t="s">
        <v>915</v>
      </c>
      <c r="V729" s="201" t="s">
        <v>916</v>
      </c>
      <c r="W729" s="201" t="s">
        <v>917</v>
      </c>
      <c r="X729" s="201" t="s">
        <v>918</v>
      </c>
      <c r="Y729" s="201" t="s">
        <v>919</v>
      </c>
      <c r="Z729" s="201" t="s">
        <v>920</v>
      </c>
      <c r="AA729" s="201" t="s">
        <v>921</v>
      </c>
      <c r="AB729" s="201" t="s">
        <v>922</v>
      </c>
      <c r="AC729" s="201" t="s">
        <v>923</v>
      </c>
      <c r="AD729" s="201" t="s">
        <v>924</v>
      </c>
      <c r="AE729" s="201" t="s">
        <v>925</v>
      </c>
      <c r="AF729" s="201" t="s">
        <v>926</v>
      </c>
      <c r="AG729" s="201" t="s">
        <v>927</v>
      </c>
      <c r="AH729" s="201" t="s">
        <v>928</v>
      </c>
      <c r="AI729" s="201" t="s">
        <v>929</v>
      </c>
      <c r="AJ729" s="201" t="s">
        <v>930</v>
      </c>
      <c r="AK729" s="201" t="s">
        <v>931</v>
      </c>
      <c r="AL729" s="201" t="s">
        <v>932</v>
      </c>
      <c r="AM729" s="201" t="s">
        <v>933</v>
      </c>
      <c r="AN729" s="201" t="s">
        <v>934</v>
      </c>
      <c r="AO729" s="201" t="s">
        <v>935</v>
      </c>
      <c r="AP729" s="201" t="s">
        <v>936</v>
      </c>
      <c r="AQ729" s="201" t="s">
        <v>937</v>
      </c>
      <c r="AR729" s="201" t="s">
        <v>938</v>
      </c>
      <c r="AS729" s="201" t="s">
        <v>939</v>
      </c>
      <c r="AT729" s="201" t="s">
        <v>940</v>
      </c>
      <c r="AU729" s="201" t="s">
        <v>941</v>
      </c>
      <c r="AV729" s="201" t="s">
        <v>942</v>
      </c>
      <c r="AW729" s="201" t="s">
        <v>943</v>
      </c>
      <c r="AX729" s="201" t="s">
        <v>944</v>
      </c>
      <c r="AY729" s="201" t="s">
        <v>945</v>
      </c>
      <c r="AZ729" s="201" t="s">
        <v>946</v>
      </c>
      <c r="BA729" s="201" t="s">
        <v>947</v>
      </c>
      <c r="BB729" s="201" t="s">
        <v>948</v>
      </c>
      <c r="BC729" s="201" t="s">
        <v>949</v>
      </c>
      <c r="BD729" s="201" t="s">
        <v>950</v>
      </c>
      <c r="BE729" s="201" t="s">
        <v>951</v>
      </c>
      <c r="BF729" s="201" t="s">
        <v>952</v>
      </c>
      <c r="BG729" s="201" t="s">
        <v>953</v>
      </c>
      <c r="BH729" s="201" t="s">
        <v>954</v>
      </c>
      <c r="BI729" s="201" t="s">
        <v>955</v>
      </c>
      <c r="BJ729" s="201" t="s">
        <v>956</v>
      </c>
      <c r="BK729" s="201" t="s">
        <v>957</v>
      </c>
      <c r="BL729" s="201" t="s">
        <v>958</v>
      </c>
      <c r="BM729" s="201" t="s">
        <v>959</v>
      </c>
      <c r="BN729" s="201" t="s">
        <v>960</v>
      </c>
      <c r="BO729" s="201" t="s">
        <v>961</v>
      </c>
      <c r="BP729" s="201" t="s">
        <v>962</v>
      </c>
      <c r="BQ729" s="201" t="s">
        <v>963</v>
      </c>
      <c r="BR729" s="201" t="s">
        <v>964</v>
      </c>
      <c r="BS729" s="201" t="s">
        <v>965</v>
      </c>
      <c r="BT729" s="201" t="s">
        <v>966</v>
      </c>
      <c r="BU729" s="201" t="s">
        <v>967</v>
      </c>
      <c r="BV729" s="201" t="s">
        <v>968</v>
      </c>
      <c r="BW729" s="201" t="s">
        <v>969</v>
      </c>
      <c r="BX729" s="201" t="s">
        <v>970</v>
      </c>
      <c r="BY729" s="201" t="s">
        <v>971</v>
      </c>
      <c r="BZ729" s="201" t="s">
        <v>972</v>
      </c>
      <c r="CA729" s="201" t="s">
        <v>973</v>
      </c>
      <c r="CB729" s="201" t="s">
        <v>974</v>
      </c>
      <c r="CC729" s="201" t="s">
        <v>975</v>
      </c>
      <c r="CD729" s="201" t="s">
        <v>976</v>
      </c>
      <c r="CE729" s="201" t="s">
        <v>977</v>
      </c>
      <c r="CF729" s="201" t="s">
        <v>978</v>
      </c>
    </row>
    <row r="730" spans="1:84" s="199" customFormat="1" ht="12.65" customHeight="1" x14ac:dyDescent="0.3">
      <c r="A730" s="200" t="str">
        <f>RIGHT(C83,3)&amp;"*"&amp;RIGHT(C82,4)&amp;"*"&amp;"A"</f>
        <v>085*2020*A</v>
      </c>
      <c r="B730" s="271">
        <f>ROUND(C250,0)</f>
        <v>8737552</v>
      </c>
      <c r="C730" s="271">
        <f>ROUND(C251,0)</f>
        <v>0</v>
      </c>
      <c r="D730" s="271">
        <f>ROUND(C252,0)</f>
        <v>18331175</v>
      </c>
      <c r="E730" s="271">
        <f>ROUND(C253,0)</f>
        <v>3713000</v>
      </c>
      <c r="F730" s="271">
        <f>ROUND(C254,0)</f>
        <v>2609993</v>
      </c>
      <c r="G730" s="271">
        <f>ROUND(C255,0)</f>
        <v>1522924</v>
      </c>
      <c r="H730" s="271">
        <f>ROUND(C256,0)</f>
        <v>0</v>
      </c>
      <c r="I730" s="271">
        <f>ROUND(C257,0)</f>
        <v>4278467</v>
      </c>
      <c r="J730" s="271">
        <f>ROUND(C258,0)</f>
        <v>1212853</v>
      </c>
      <c r="K730" s="271">
        <f>ROUND(C259,0)</f>
        <v>0</v>
      </c>
      <c r="L730" s="271">
        <f>ROUND(C262,0)</f>
        <v>47779135</v>
      </c>
      <c r="M730" s="271">
        <f>ROUND(C263,0)</f>
        <v>0</v>
      </c>
      <c r="N730" s="271">
        <f>ROUND(C264,0)</f>
        <v>10939</v>
      </c>
      <c r="O730" s="271">
        <f>ROUND(C267,0)</f>
        <v>1715331</v>
      </c>
      <c r="P730" s="271">
        <f>ROUND(C268,0)</f>
        <v>4028158</v>
      </c>
      <c r="Q730" s="271">
        <f>ROUND(C269,0)</f>
        <v>40757243</v>
      </c>
      <c r="R730" s="271">
        <f>ROUND(C270,0)</f>
        <v>0</v>
      </c>
      <c r="S730" s="271">
        <f>ROUND(C271,0)</f>
        <v>0</v>
      </c>
      <c r="T730" s="271">
        <f>ROUND(C272,0)</f>
        <v>41530304</v>
      </c>
      <c r="U730" s="271">
        <f>ROUND(C273,0)</f>
        <v>0</v>
      </c>
      <c r="V730" s="271">
        <f>ROUND(C274,0)</f>
        <v>1361180</v>
      </c>
      <c r="W730" s="271">
        <f>ROUND(C275,0)</f>
        <v>0</v>
      </c>
      <c r="X730" s="271">
        <f>ROUND(C276,0)</f>
        <v>49789137</v>
      </c>
      <c r="Y730" s="271">
        <f>ROUND(C279,0)</f>
        <v>0</v>
      </c>
      <c r="Z730" s="271">
        <f>ROUND(C280,0)</f>
        <v>0</v>
      </c>
      <c r="AA730" s="271">
        <f>ROUND(C281,0)</f>
        <v>0</v>
      </c>
      <c r="AB730" s="271">
        <f>ROUND(C282,0)</f>
        <v>0</v>
      </c>
      <c r="AC730" s="271">
        <f>ROUND(C286,0)</f>
        <v>0</v>
      </c>
      <c r="AD730" s="271">
        <f>ROUND(C287,0)</f>
        <v>0</v>
      </c>
      <c r="AE730" s="271">
        <f>ROUND(C288,0)</f>
        <v>0</v>
      </c>
      <c r="AF730" s="271">
        <f>ROUND(C289,0)</f>
        <v>0</v>
      </c>
      <c r="AG730" s="271">
        <f>ROUND(C304,0)</f>
        <v>0</v>
      </c>
      <c r="AH730" s="271">
        <f>ROUND(C305,0)</f>
        <v>3252333</v>
      </c>
      <c r="AI730" s="271">
        <f>ROUND(C306,0)</f>
        <v>8033225</v>
      </c>
      <c r="AJ730" s="271">
        <f>ROUND(C307,0)</f>
        <v>0</v>
      </c>
      <c r="AK730" s="271">
        <f>ROUND(C308,0)</f>
        <v>18241170</v>
      </c>
      <c r="AL730" s="271">
        <f>ROUND(C309,0)</f>
        <v>0</v>
      </c>
      <c r="AM730" s="271">
        <f>ROUND(C310,0)</f>
        <v>0</v>
      </c>
      <c r="AN730" s="271">
        <f>ROUND(C311,0)</f>
        <v>0</v>
      </c>
      <c r="AO730" s="271">
        <f>ROUND(C312,0)</f>
        <v>381629</v>
      </c>
      <c r="AP730" s="271">
        <f>ROUND(C313,0)</f>
        <v>0</v>
      </c>
      <c r="AQ730" s="271">
        <f>ROUND(C316,0)</f>
        <v>0</v>
      </c>
      <c r="AR730" s="271">
        <f>ROUND(C317,0)</f>
        <v>0</v>
      </c>
      <c r="AS730" s="271">
        <f>ROUND(C318,0)</f>
        <v>0</v>
      </c>
      <c r="AT730" s="271">
        <f>ROUND(C321,0)</f>
        <v>0</v>
      </c>
      <c r="AU730" s="271">
        <f>ROUND(C322,0)</f>
        <v>0</v>
      </c>
      <c r="AV730" s="271">
        <f>ROUND(C323,0)</f>
        <v>3923948</v>
      </c>
      <c r="AW730" s="271">
        <f>ROUND(C324,0)</f>
        <v>0</v>
      </c>
      <c r="AX730" s="271">
        <f>ROUND(C325,0)</f>
        <v>24343151</v>
      </c>
      <c r="AY730" s="271">
        <f>ROUND(C326,0)</f>
        <v>0</v>
      </c>
      <c r="AZ730" s="271">
        <f>ROUND(C327,0)</f>
        <v>0</v>
      </c>
      <c r="BA730" s="271">
        <f>ROUND(C328,0)</f>
        <v>0</v>
      </c>
      <c r="BB730" s="271">
        <f>ROUND(C332,0)</f>
        <v>63160338</v>
      </c>
      <c r="BC730" s="271"/>
      <c r="BD730" s="271"/>
      <c r="BE730" s="271">
        <f>ROUND(C337,0)</f>
        <v>0</v>
      </c>
      <c r="BF730" s="271">
        <f>ROUND(C336,0)</f>
        <v>0</v>
      </c>
      <c r="BG730" s="271"/>
      <c r="BH730" s="271"/>
      <c r="BI730" s="271">
        <f>ROUND(CE60,2)</f>
        <v>606.51</v>
      </c>
      <c r="BJ730" s="271">
        <f>ROUND(C359,0)</f>
        <v>36422817</v>
      </c>
      <c r="BK730" s="271">
        <f>ROUND(C360,0)</f>
        <v>219712976</v>
      </c>
      <c r="BL730" s="271">
        <f>ROUND(C364,0)</f>
        <v>106984646</v>
      </c>
      <c r="BM730" s="271">
        <f>ROUND(C365,0)</f>
        <v>3658135</v>
      </c>
      <c r="BN730" s="271">
        <f>ROUND(C366,0)</f>
        <v>26659500</v>
      </c>
      <c r="BO730" s="271">
        <f>ROUND(C370,0)</f>
        <v>15262649</v>
      </c>
      <c r="BP730" s="271">
        <f>ROUND(C371,0)</f>
        <v>0</v>
      </c>
      <c r="BQ730" s="271">
        <f>ROUND(C378,0)</f>
        <v>65363392</v>
      </c>
      <c r="BR730" s="271">
        <f>ROUND(C379,0)</f>
        <v>14751096</v>
      </c>
      <c r="BS730" s="271">
        <f>ROUND(C380,0)</f>
        <v>3034303</v>
      </c>
      <c r="BT730" s="271">
        <f>ROUND(C381,0)</f>
        <v>24818051</v>
      </c>
      <c r="BU730" s="271">
        <f>ROUND(C382,0)</f>
        <v>1201686</v>
      </c>
      <c r="BV730" s="271">
        <f>ROUND(C383,0)</f>
        <v>8330773</v>
      </c>
      <c r="BW730" s="271">
        <f>ROUND(C384,0)</f>
        <v>4814047</v>
      </c>
      <c r="BX730" s="271">
        <f>ROUND(C385,0)</f>
        <v>1616221</v>
      </c>
      <c r="BY730" s="271">
        <f>ROUND(C386,0)</f>
        <v>897783</v>
      </c>
      <c r="BZ730" s="271">
        <f>ROUND(C387,0)</f>
        <v>749437</v>
      </c>
      <c r="CA730" s="271">
        <f>ROUND(C388,0)</f>
        <v>977279</v>
      </c>
      <c r="CB730" s="271">
        <f>C363</f>
        <v>3778000</v>
      </c>
      <c r="CC730" s="271">
        <f>ROUND(C389,0)</f>
        <v>3222117</v>
      </c>
      <c r="CD730" s="271">
        <f>ROUND(C392,0)</f>
        <v>1008586</v>
      </c>
      <c r="CE730" s="271">
        <f>ROUND(C394,0)</f>
        <v>0</v>
      </c>
      <c r="CF730" s="199">
        <f>ROUND(C395,0)</f>
        <v>0</v>
      </c>
    </row>
    <row r="731" spans="1:84" ht="12.65" customHeight="1" x14ac:dyDescent="0.3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199" customFormat="1" ht="12.65" customHeight="1" x14ac:dyDescent="0.3">
      <c r="A732" s="199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1" customFormat="1" ht="12.65" customHeight="1" x14ac:dyDescent="0.3">
      <c r="A733" s="201" t="s">
        <v>745</v>
      </c>
      <c r="B733" s="201" t="s">
        <v>980</v>
      </c>
      <c r="C733" s="201" t="s">
        <v>981</v>
      </c>
      <c r="D733" s="201" t="s">
        <v>982</v>
      </c>
      <c r="E733" s="201" t="s">
        <v>983</v>
      </c>
      <c r="F733" s="201" t="s">
        <v>984</v>
      </c>
      <c r="G733" s="201" t="s">
        <v>985</v>
      </c>
      <c r="H733" s="201" t="s">
        <v>986</v>
      </c>
      <c r="I733" s="201" t="s">
        <v>987</v>
      </c>
      <c r="J733" s="201" t="s">
        <v>988</v>
      </c>
      <c r="K733" s="201" t="s">
        <v>989</v>
      </c>
      <c r="L733" s="201" t="s">
        <v>990</v>
      </c>
      <c r="M733" s="201" t="s">
        <v>991</v>
      </c>
      <c r="N733" s="201" t="s">
        <v>992</v>
      </c>
      <c r="O733" s="201" t="s">
        <v>993</v>
      </c>
      <c r="P733" s="201" t="s">
        <v>994</v>
      </c>
      <c r="Q733" s="201" t="s">
        <v>995</v>
      </c>
      <c r="R733" s="201" t="s">
        <v>996</v>
      </c>
      <c r="S733" s="201" t="s">
        <v>997</v>
      </c>
      <c r="T733" s="201" t="s">
        <v>998</v>
      </c>
      <c r="U733" s="201" t="s">
        <v>999</v>
      </c>
      <c r="V733" s="201" t="s">
        <v>1000</v>
      </c>
      <c r="W733" s="201" t="s">
        <v>1001</v>
      </c>
      <c r="X733" s="201" t="s">
        <v>1002</v>
      </c>
      <c r="Y733" s="201" t="s">
        <v>1003</v>
      </c>
    </row>
    <row r="734" spans="1:84" s="199" customFormat="1" ht="12.65" customHeight="1" x14ac:dyDescent="0.3">
      <c r="A734" s="200" t="str">
        <f>RIGHT($C$83,3)&amp;"*"&amp;RIGHT($C$82,4)&amp;"*"&amp;C$55&amp;"*"&amp;"A"</f>
        <v>085*2020*6010*A</v>
      </c>
      <c r="B734" s="271">
        <f>ROUND(C59,0)</f>
        <v>682</v>
      </c>
      <c r="C734" s="271">
        <f>ROUND(C60,2)</f>
        <v>9.57</v>
      </c>
      <c r="D734" s="271">
        <f>ROUND(C61,0)</f>
        <v>971999</v>
      </c>
      <c r="E734" s="271">
        <f>ROUND(C62,0)</f>
        <v>219359</v>
      </c>
      <c r="F734" s="271">
        <f>ROUND(C63,0)</f>
        <v>17502</v>
      </c>
      <c r="G734" s="271">
        <f>ROUND(C64,0)</f>
        <v>65686</v>
      </c>
      <c r="H734" s="271">
        <f>ROUND(C65,0)</f>
        <v>0</v>
      </c>
      <c r="I734" s="271">
        <f>ROUND(C66,0)</f>
        <v>4210</v>
      </c>
      <c r="J734" s="271">
        <f>ROUND(C67,0)</f>
        <v>58678</v>
      </c>
      <c r="K734" s="271">
        <f>ROUND(C68,0)</f>
        <v>0</v>
      </c>
      <c r="L734" s="271">
        <f>ROUND(C69,0)</f>
        <v>2327</v>
      </c>
      <c r="M734" s="271">
        <f>ROUND(C70,0)</f>
        <v>0</v>
      </c>
      <c r="N734" s="271">
        <f>ROUND(C75,0)</f>
        <v>2001823</v>
      </c>
      <c r="O734" s="271">
        <f>ROUND(C73,0)</f>
        <v>1988716</v>
      </c>
      <c r="P734" s="271">
        <f>IF(C76&gt;0,ROUND(C76,0),0)</f>
        <v>2605</v>
      </c>
      <c r="Q734" s="271">
        <f>IF(C77&gt;0,ROUND(C77,0),0)</f>
        <v>736</v>
      </c>
      <c r="R734" s="271">
        <f>IF(C78&gt;0,ROUND(C78,0),0)</f>
        <v>1048</v>
      </c>
      <c r="S734" s="271">
        <f>IF(C79&gt;0,ROUND(C79,0),0)</f>
        <v>14257</v>
      </c>
      <c r="T734" s="271">
        <f>IF(C80&gt;0,ROUND(C80,2),0)</f>
        <v>6.94</v>
      </c>
      <c r="U734" s="271"/>
      <c r="V734" s="271"/>
      <c r="W734" s="271"/>
      <c r="X734" s="271"/>
      <c r="Y734" s="271">
        <f>IF(M668&lt;&gt;0,ROUND(M668,0),0)</f>
        <v>512041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5" customHeight="1" x14ac:dyDescent="0.3">
      <c r="A735" s="207" t="str">
        <f>RIGHT($C$83,3)&amp;"*"&amp;RIGHT($C$82,4)&amp;"*"&amp;D$55&amp;"*"&amp;"A"</f>
        <v>085*2020*6030*A</v>
      </c>
      <c r="B735" s="271">
        <f>ROUND(D59,0)</f>
        <v>0</v>
      </c>
      <c r="C735" s="273">
        <f>ROUND(D60,2)</f>
        <v>0</v>
      </c>
      <c r="D735" s="271">
        <f>ROUND(D61,0)</f>
        <v>0</v>
      </c>
      <c r="E735" s="271">
        <f>ROUND(D62,0)</f>
        <v>0</v>
      </c>
      <c r="F735" s="271">
        <f>ROUND(D63,0)</f>
        <v>0</v>
      </c>
      <c r="G735" s="271">
        <f>ROUND(D64,0)</f>
        <v>0</v>
      </c>
      <c r="H735" s="271">
        <f>ROUND(D65,0)</f>
        <v>0</v>
      </c>
      <c r="I735" s="271">
        <f>ROUND(D66,0)</f>
        <v>0</v>
      </c>
      <c r="J735" s="271">
        <f>ROUND(D67,0)</f>
        <v>0</v>
      </c>
      <c r="K735" s="271">
        <f>ROUND(D68,0)</f>
        <v>0</v>
      </c>
      <c r="L735" s="271">
        <f>ROUND(D69,0)</f>
        <v>0</v>
      </c>
      <c r="M735" s="271">
        <f>ROUND(D70,0)</f>
        <v>0</v>
      </c>
      <c r="N735" s="271">
        <f>ROUND(D75,0)</f>
        <v>0</v>
      </c>
      <c r="O735" s="271">
        <f>ROUND(D73,0)</f>
        <v>0</v>
      </c>
      <c r="P735" s="271">
        <f>IF(D76&gt;0,ROUND(D76,0),0)</f>
        <v>0</v>
      </c>
      <c r="Q735" s="271">
        <f>IF(D77&gt;0,ROUND(D77,0),0)</f>
        <v>0</v>
      </c>
      <c r="R735" s="271">
        <f>IF(D78&gt;0,ROUND(D78,0),0)</f>
        <v>0</v>
      </c>
      <c r="S735" s="271">
        <f>IF(D79&gt;0,ROUND(D79,0),0)</f>
        <v>0</v>
      </c>
      <c r="T735" s="273">
        <f>IF(D80&gt;0,ROUND(D80,2),0)</f>
        <v>0</v>
      </c>
      <c r="U735" s="271"/>
      <c r="V735" s="272"/>
      <c r="W735" s="271"/>
      <c r="X735" s="271"/>
      <c r="Y735" s="271">
        <f t="shared" ref="Y735:Y779" si="21">IF(M669&lt;&gt;0,ROUND(M669,0),0)</f>
        <v>0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5" customHeight="1" x14ac:dyDescent="0.3">
      <c r="A736" s="207" t="str">
        <f>RIGHT($C$83,3)&amp;"*"&amp;RIGHT($C$82,4)&amp;"*"&amp;E$55&amp;"*"&amp;"A"</f>
        <v>085*2020*6070*A</v>
      </c>
      <c r="B736" s="271">
        <f>ROUND(E59,0)</f>
        <v>3002</v>
      </c>
      <c r="C736" s="273">
        <f>ROUND(E60,2)</f>
        <v>38.47</v>
      </c>
      <c r="D736" s="271">
        <f>ROUND(E61,0)</f>
        <v>2990380</v>
      </c>
      <c r="E736" s="271">
        <f>ROUND(E62,0)</f>
        <v>674864</v>
      </c>
      <c r="F736" s="271">
        <f>ROUND(E63,0)</f>
        <v>76305</v>
      </c>
      <c r="G736" s="271">
        <f>ROUND(E64,0)</f>
        <v>213749</v>
      </c>
      <c r="H736" s="271">
        <f>ROUND(E65,0)</f>
        <v>0</v>
      </c>
      <c r="I736" s="271">
        <f>ROUND(E66,0)</f>
        <v>8827</v>
      </c>
      <c r="J736" s="271">
        <f>ROUND(E67,0)</f>
        <v>125409</v>
      </c>
      <c r="K736" s="271">
        <f>ROUND(E68,0)</f>
        <v>0</v>
      </c>
      <c r="L736" s="271">
        <f>ROUND(E69,0)</f>
        <v>21310</v>
      </c>
      <c r="M736" s="271">
        <f>ROUND(E70,0)</f>
        <v>0</v>
      </c>
      <c r="N736" s="271">
        <f>ROUND(E75,0)</f>
        <v>8826956</v>
      </c>
      <c r="O736" s="271">
        <f>ROUND(E73,0)</f>
        <v>7015219</v>
      </c>
      <c r="P736" s="271">
        <f>IF(E76&gt;0,ROUND(E76,0),0)</f>
        <v>5567</v>
      </c>
      <c r="Q736" s="271">
        <f>IF(E77&gt;0,ROUND(E77,0),0)</f>
        <v>11556</v>
      </c>
      <c r="R736" s="271">
        <f>IF(E78&gt;0,ROUND(E78,0),0)</f>
        <v>5483</v>
      </c>
      <c r="S736" s="271">
        <f>IF(E79&gt;0,ROUND(E79,0),0)</f>
        <v>64663</v>
      </c>
      <c r="T736" s="273">
        <f>IF(E80&gt;0,ROUND(E80,2),0)</f>
        <v>18.739999999999998</v>
      </c>
      <c r="U736" s="271"/>
      <c r="V736" s="272"/>
      <c r="W736" s="271"/>
      <c r="X736" s="271"/>
      <c r="Y736" s="271">
        <f t="shared" si="21"/>
        <v>2476535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5" customHeight="1" x14ac:dyDescent="0.3">
      <c r="A737" s="207" t="str">
        <f>RIGHT($C$83,3)&amp;"*"&amp;RIGHT($C$82,4)&amp;"*"&amp;F$55&amp;"*"&amp;"A"</f>
        <v>085*2020*6100*A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>
        <f t="shared" si="21"/>
        <v>0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5" customHeight="1" x14ac:dyDescent="0.3">
      <c r="A738" s="207" t="str">
        <f>RIGHT($C$83,3)&amp;"*"&amp;RIGHT($C$82,4)&amp;"*"&amp;G$55&amp;"*"&amp;"A"</f>
        <v>085*2020*6120*A</v>
      </c>
      <c r="B738" s="271">
        <f>ROUND(G59,0)</f>
        <v>0</v>
      </c>
      <c r="C738" s="273">
        <f>ROUND(G60,2)</f>
        <v>0</v>
      </c>
      <c r="D738" s="271">
        <f>ROUND(G61,0)</f>
        <v>0</v>
      </c>
      <c r="E738" s="271">
        <f>ROUND(G62,0)</f>
        <v>0</v>
      </c>
      <c r="F738" s="271">
        <f>ROUND(G63,0)</f>
        <v>0</v>
      </c>
      <c r="G738" s="271">
        <f>ROUND(G64,0)</f>
        <v>0</v>
      </c>
      <c r="H738" s="271">
        <f>ROUND(G65,0)</f>
        <v>0</v>
      </c>
      <c r="I738" s="271">
        <f>ROUND(G66,0)</f>
        <v>0</v>
      </c>
      <c r="J738" s="271">
        <f>ROUND(G67,0)</f>
        <v>0</v>
      </c>
      <c r="K738" s="271">
        <f>ROUND(G68,0)</f>
        <v>0</v>
      </c>
      <c r="L738" s="271">
        <f>ROUND(G69,0)</f>
        <v>0</v>
      </c>
      <c r="M738" s="271">
        <f>ROUND(G70,0)</f>
        <v>0</v>
      </c>
      <c r="N738" s="271">
        <f>ROUND(G75,0)</f>
        <v>0</v>
      </c>
      <c r="O738" s="271">
        <f>ROUND(G73,0)</f>
        <v>0</v>
      </c>
      <c r="P738" s="271">
        <f>IF(G76&gt;0,ROUND(G76,0),0)</f>
        <v>0</v>
      </c>
      <c r="Q738" s="271">
        <f>IF(G77&gt;0,ROUND(G77,0),0)</f>
        <v>0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0</v>
      </c>
      <c r="U738" s="271"/>
      <c r="V738" s="272"/>
      <c r="W738" s="271"/>
      <c r="X738" s="271"/>
      <c r="Y738" s="271">
        <f t="shared" si="21"/>
        <v>0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5" customHeight="1" x14ac:dyDescent="0.3">
      <c r="A739" s="207" t="str">
        <f>RIGHT($C$83,3)&amp;"*"&amp;RIGHT($C$82,4)&amp;"*"&amp;H$55&amp;"*"&amp;"A"</f>
        <v>085*2020*6140*A</v>
      </c>
      <c r="B739" s="271">
        <f>ROUND(H59,0)</f>
        <v>0</v>
      </c>
      <c r="C739" s="273">
        <f>ROUND(H60,2)</f>
        <v>0</v>
      </c>
      <c r="D739" s="271">
        <f>ROUND(H61,0)</f>
        <v>0</v>
      </c>
      <c r="E739" s="271">
        <f>ROUND(H62,0)</f>
        <v>0</v>
      </c>
      <c r="F739" s="271">
        <f>ROUND(H63,0)</f>
        <v>0</v>
      </c>
      <c r="G739" s="271">
        <f>ROUND(H64,0)</f>
        <v>0</v>
      </c>
      <c r="H739" s="271">
        <f>ROUND(H65,0)</f>
        <v>0</v>
      </c>
      <c r="I739" s="271">
        <f>ROUND(H66,0)</f>
        <v>0</v>
      </c>
      <c r="J739" s="271">
        <f>ROUND(H67,0)</f>
        <v>0</v>
      </c>
      <c r="K739" s="271">
        <f>ROUND(H68,0)</f>
        <v>0</v>
      </c>
      <c r="L739" s="271">
        <f>ROUND(H69,0)</f>
        <v>0</v>
      </c>
      <c r="M739" s="271">
        <f>ROUND(H70,0)</f>
        <v>0</v>
      </c>
      <c r="N739" s="271">
        <f>ROUND(H75,0)</f>
        <v>0</v>
      </c>
      <c r="O739" s="271">
        <f>ROUND(H73,0)</f>
        <v>0</v>
      </c>
      <c r="P739" s="271">
        <f>IF(H76&gt;0,ROUND(H76,0),0)</f>
        <v>0</v>
      </c>
      <c r="Q739" s="271">
        <f>IF(H77&gt;0,ROUND(H77,0),0)</f>
        <v>0</v>
      </c>
      <c r="R739" s="271">
        <f>IF(H78&gt;0,ROUND(H78,0),0)</f>
        <v>0</v>
      </c>
      <c r="S739" s="271">
        <f>IF(H79&gt;0,ROUND(H79,0),0)</f>
        <v>0</v>
      </c>
      <c r="T739" s="273">
        <f>IF(H80&gt;0,ROUND(H80,2),0)</f>
        <v>0</v>
      </c>
      <c r="U739" s="271"/>
      <c r="V739" s="272"/>
      <c r="W739" s="271"/>
      <c r="X739" s="271"/>
      <c r="Y739" s="271">
        <f t="shared" si="21"/>
        <v>0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5" customHeight="1" x14ac:dyDescent="0.3">
      <c r="A740" s="207" t="str">
        <f>RIGHT($C$83,3)&amp;"*"&amp;RIGHT($C$82,4)&amp;"*"&amp;I$55&amp;"*"&amp;"A"</f>
        <v>085*2020*6150*A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>
        <f t="shared" si="21"/>
        <v>0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5" customHeight="1" x14ac:dyDescent="0.3">
      <c r="A741" s="207" t="str">
        <f>RIGHT($C$83,3)&amp;"*"&amp;RIGHT($C$82,4)&amp;"*"&amp;J$55&amp;"*"&amp;"A"</f>
        <v>085*2020*6170*A</v>
      </c>
      <c r="B741" s="271">
        <f>ROUND(J59,0)</f>
        <v>149</v>
      </c>
      <c r="C741" s="273">
        <f>ROUND(J60,2)</f>
        <v>0</v>
      </c>
      <c r="D741" s="271">
        <f>ROUND(J61,0)</f>
        <v>0</v>
      </c>
      <c r="E741" s="271">
        <f>ROUND(J62,0)</f>
        <v>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1946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240484</v>
      </c>
      <c r="O741" s="271">
        <f>ROUND(J73,0)</f>
        <v>239815</v>
      </c>
      <c r="P741" s="271">
        <f>IF(J76&gt;0,ROUND(J76,0),0)</f>
        <v>86</v>
      </c>
      <c r="Q741" s="271">
        <f>IF(J77&gt;0,ROUND(J77,0),0)</f>
        <v>0</v>
      </c>
      <c r="R741" s="271">
        <f>IF(J78&gt;0,ROUND(J78,0),0)</f>
        <v>0</v>
      </c>
      <c r="S741" s="271">
        <f>IF(J79&gt;0,ROUND(J79,0),0)</f>
        <v>0</v>
      </c>
      <c r="T741" s="273">
        <f>IF(J80&gt;0,ROUND(J80,2),0)</f>
        <v>0</v>
      </c>
      <c r="U741" s="271"/>
      <c r="V741" s="272"/>
      <c r="W741" s="271"/>
      <c r="X741" s="271"/>
      <c r="Y741" s="271">
        <f t="shared" si="21"/>
        <v>12565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5" customHeight="1" x14ac:dyDescent="0.3">
      <c r="A742" s="207" t="str">
        <f>RIGHT($C$83,3)&amp;"*"&amp;RIGHT($C$82,4)&amp;"*"&amp;K$55&amp;"*"&amp;"A"</f>
        <v>085*2020*6200*A</v>
      </c>
      <c r="B742" s="271">
        <f>ROUND(K59,0)</f>
        <v>0</v>
      </c>
      <c r="C742" s="273">
        <f>ROUND(K60,2)</f>
        <v>0</v>
      </c>
      <c r="D742" s="271">
        <f>ROUND(K61,0)</f>
        <v>0</v>
      </c>
      <c r="E742" s="271">
        <f>ROUND(K62,0)</f>
        <v>0</v>
      </c>
      <c r="F742" s="271">
        <f>ROUND(K63,0)</f>
        <v>0</v>
      </c>
      <c r="G742" s="271">
        <f>ROUND(K64,0)</f>
        <v>0</v>
      </c>
      <c r="H742" s="271">
        <f>ROUND(K65,0)</f>
        <v>0</v>
      </c>
      <c r="I742" s="271">
        <f>ROUND(K66,0)</f>
        <v>0</v>
      </c>
      <c r="J742" s="271">
        <f>ROUND(K67,0)</f>
        <v>0</v>
      </c>
      <c r="K742" s="271">
        <f>ROUND(K68,0)</f>
        <v>0</v>
      </c>
      <c r="L742" s="271">
        <f>ROUND(K69,0)</f>
        <v>0</v>
      </c>
      <c r="M742" s="271">
        <f>ROUND(K70,0)</f>
        <v>0</v>
      </c>
      <c r="N742" s="271">
        <f>ROUND(K75,0)</f>
        <v>0</v>
      </c>
      <c r="O742" s="271">
        <f>ROUND(K73,0)</f>
        <v>0</v>
      </c>
      <c r="P742" s="271">
        <f>IF(K76&gt;0,ROUND(K76,0),0)</f>
        <v>0</v>
      </c>
      <c r="Q742" s="271">
        <f>IF(K77&gt;0,ROUND(K77,0),0)</f>
        <v>0</v>
      </c>
      <c r="R742" s="271">
        <f>IF(K78&gt;0,ROUND(K78,0),0)</f>
        <v>0</v>
      </c>
      <c r="S742" s="271">
        <f>IF(K79&gt;0,ROUND(K79,0),0)</f>
        <v>0</v>
      </c>
      <c r="T742" s="273">
        <f>IF(K80&gt;0,ROUND(K80,2),0)</f>
        <v>0</v>
      </c>
      <c r="U742" s="271"/>
      <c r="V742" s="272"/>
      <c r="W742" s="271"/>
      <c r="X742" s="271"/>
      <c r="Y742" s="271">
        <f t="shared" si="21"/>
        <v>0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5" customHeight="1" x14ac:dyDescent="0.3">
      <c r="A743" s="207" t="str">
        <f>RIGHT($C$83,3)&amp;"*"&amp;RIGHT($C$82,4)&amp;"*"&amp;L$55&amp;"*"&amp;"A"</f>
        <v>085*2020*6210*A</v>
      </c>
      <c r="B743" s="271">
        <f>ROUND(L59,0)</f>
        <v>167</v>
      </c>
      <c r="C743" s="273">
        <f>ROUND(L60,2)</f>
        <v>0</v>
      </c>
      <c r="D743" s="271">
        <f>ROUND(L61,0)</f>
        <v>78</v>
      </c>
      <c r="E743" s="271">
        <f>ROUND(L62,0)</f>
        <v>18</v>
      </c>
      <c r="F743" s="271">
        <f>ROUND(L63,0)</f>
        <v>0</v>
      </c>
      <c r="G743" s="271">
        <f>ROUND(L64,0)</f>
        <v>0</v>
      </c>
      <c r="H743" s="271">
        <f>ROUND(L65,0)</f>
        <v>0</v>
      </c>
      <c r="I743" s="271">
        <f>ROUND(L66,0)</f>
        <v>0</v>
      </c>
      <c r="J743" s="271">
        <f>ROUND(L67,0)</f>
        <v>49333</v>
      </c>
      <c r="K743" s="271">
        <f>ROUND(L68,0)</f>
        <v>0</v>
      </c>
      <c r="L743" s="271">
        <f>ROUND(L69,0)</f>
        <v>0</v>
      </c>
      <c r="M743" s="271">
        <f>ROUND(L70,0)</f>
        <v>0</v>
      </c>
      <c r="N743" s="271">
        <f>ROUND(L75,0)</f>
        <v>264632</v>
      </c>
      <c r="O743" s="271">
        <f>ROUND(L73,0)</f>
        <v>264632</v>
      </c>
      <c r="P743" s="271">
        <f>IF(L76&gt;0,ROUND(L76,0),0)</f>
        <v>2190</v>
      </c>
      <c r="Q743" s="271">
        <f>IF(L77&gt;0,ROUND(L77,0),0)</f>
        <v>527</v>
      </c>
      <c r="R743" s="271">
        <f>IF(L78&gt;0,ROUND(L78,0),0)</f>
        <v>0</v>
      </c>
      <c r="S743" s="271">
        <f>IF(L79&gt;0,ROUND(L79,0),0)</f>
        <v>0</v>
      </c>
      <c r="T743" s="273">
        <f>IF(L80&gt;0,ROUND(L80,2),0)</f>
        <v>0</v>
      </c>
      <c r="U743" s="271"/>
      <c r="V743" s="272"/>
      <c r="W743" s="271"/>
      <c r="X743" s="271"/>
      <c r="Y743" s="271">
        <f t="shared" si="21"/>
        <v>99962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5" customHeight="1" x14ac:dyDescent="0.3">
      <c r="A744" s="207" t="str">
        <f>RIGHT($C$83,3)&amp;"*"&amp;RIGHT($C$82,4)&amp;"*"&amp;M$55&amp;"*"&amp;"A"</f>
        <v>085*2020*6330*A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>
        <f t="shared" si="21"/>
        <v>0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5" customHeight="1" x14ac:dyDescent="0.3">
      <c r="A745" s="207" t="str">
        <f>RIGHT($C$83,3)&amp;"*"&amp;RIGHT($C$82,4)&amp;"*"&amp;N$55&amp;"*"&amp;"A"</f>
        <v>085*2020*6400*A</v>
      </c>
      <c r="B745" s="271">
        <f>ROUND(N59,0)</f>
        <v>0</v>
      </c>
      <c r="C745" s="273">
        <f>ROUND(N60,2)</f>
        <v>0</v>
      </c>
      <c r="D745" s="271">
        <f>ROUND(N61,0)</f>
        <v>2000323</v>
      </c>
      <c r="E745" s="271">
        <f>ROUND(N62,0)</f>
        <v>451429</v>
      </c>
      <c r="F745" s="271">
        <f>ROUND(N63,0)</f>
        <v>0</v>
      </c>
      <c r="G745" s="271">
        <f>ROUND(N64,0)</f>
        <v>7507</v>
      </c>
      <c r="H745" s="271">
        <f>ROUND(N65,0)</f>
        <v>0</v>
      </c>
      <c r="I745" s="271">
        <f>ROUND(N66,0)</f>
        <v>0</v>
      </c>
      <c r="J745" s="271">
        <f>ROUND(N67,0)</f>
        <v>6532</v>
      </c>
      <c r="K745" s="271">
        <f>ROUND(N68,0)</f>
        <v>0</v>
      </c>
      <c r="L745" s="271">
        <f>ROUND(N69,0)</f>
        <v>38379</v>
      </c>
      <c r="M745" s="271">
        <f>ROUND(N70,0)</f>
        <v>0</v>
      </c>
      <c r="N745" s="271">
        <f>ROUND(N75,0)</f>
        <v>2040373</v>
      </c>
      <c r="O745" s="271">
        <f>ROUND(N73,0)</f>
        <v>1651219</v>
      </c>
      <c r="P745" s="271">
        <f>IF(N76&gt;0,ROUND(N76,0),0)</f>
        <v>290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0</v>
      </c>
      <c r="U745" s="271"/>
      <c r="V745" s="272"/>
      <c r="W745" s="271"/>
      <c r="X745" s="271"/>
      <c r="Y745" s="271">
        <f t="shared" si="21"/>
        <v>304030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5" customHeight="1" x14ac:dyDescent="0.3">
      <c r="A746" s="207" t="str">
        <f>RIGHT($C$83,3)&amp;"*"&amp;RIGHT($C$82,4)&amp;"*"&amp;O$55&amp;"*"&amp;"A"</f>
        <v>085*2020*7010*A</v>
      </c>
      <c r="B746" s="271">
        <f>ROUND(O59,0)</f>
        <v>88</v>
      </c>
      <c r="C746" s="273">
        <f>ROUND(O60,2)</f>
        <v>10.58</v>
      </c>
      <c r="D746" s="271">
        <f>ROUND(O61,0)</f>
        <v>1136879</v>
      </c>
      <c r="E746" s="271">
        <f>ROUND(O62,0)</f>
        <v>256569</v>
      </c>
      <c r="F746" s="271">
        <f>ROUND(O63,0)</f>
        <v>0</v>
      </c>
      <c r="G746" s="271">
        <f>ROUND(O64,0)</f>
        <v>44115</v>
      </c>
      <c r="H746" s="271">
        <f>ROUND(O65,0)</f>
        <v>0</v>
      </c>
      <c r="I746" s="271">
        <f>ROUND(O66,0)</f>
        <v>2611</v>
      </c>
      <c r="J746" s="271">
        <f>ROUND(O67,0)</f>
        <v>65673</v>
      </c>
      <c r="K746" s="271">
        <f>ROUND(O68,0)</f>
        <v>4095</v>
      </c>
      <c r="L746" s="271">
        <f>ROUND(O69,0)</f>
        <v>18751</v>
      </c>
      <c r="M746" s="271">
        <f>ROUND(O70,0)</f>
        <v>0</v>
      </c>
      <c r="N746" s="271">
        <f>ROUND(O75,0)</f>
        <v>982596</v>
      </c>
      <c r="O746" s="271">
        <f>ROUND(O73,0)</f>
        <v>775981</v>
      </c>
      <c r="P746" s="271">
        <f>IF(O76&gt;0,ROUND(O76,0),0)</f>
        <v>2916</v>
      </c>
      <c r="Q746" s="271">
        <f>IF(O77&gt;0,ROUND(O77,0),0)</f>
        <v>0</v>
      </c>
      <c r="R746" s="271">
        <f>IF(O78&gt;0,ROUND(O78,0),0)</f>
        <v>1106</v>
      </c>
      <c r="S746" s="271">
        <f>IF(O79&gt;0,ROUND(O79,0),0)</f>
        <v>0</v>
      </c>
      <c r="T746" s="273">
        <f>IF(O80&gt;0,ROUND(O80,2),0)</f>
        <v>9.69</v>
      </c>
      <c r="U746" s="271"/>
      <c r="V746" s="272"/>
      <c r="W746" s="271"/>
      <c r="X746" s="271"/>
      <c r="Y746" s="271">
        <f t="shared" si="21"/>
        <v>465288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5" customHeight="1" x14ac:dyDescent="0.3">
      <c r="A747" s="207" t="str">
        <f>RIGHT($C$83,3)&amp;"*"&amp;RIGHT($C$82,4)&amp;"*"&amp;P$55&amp;"*"&amp;"A"</f>
        <v>085*2020*7020*A</v>
      </c>
      <c r="B747" s="271">
        <f>ROUND(P59,0)</f>
        <v>164548</v>
      </c>
      <c r="C747" s="273">
        <f>ROUND(P60,2)</f>
        <v>18.55</v>
      </c>
      <c r="D747" s="271">
        <f>ROUND(P61,0)</f>
        <v>1763663</v>
      </c>
      <c r="E747" s="271">
        <f>ROUND(P62,0)</f>
        <v>398020</v>
      </c>
      <c r="F747" s="271">
        <f>ROUND(P63,0)</f>
        <v>40517</v>
      </c>
      <c r="G747" s="271">
        <f>ROUND(P64,0)</f>
        <v>1253780</v>
      </c>
      <c r="H747" s="271">
        <f>ROUND(P65,0)</f>
        <v>0</v>
      </c>
      <c r="I747" s="271">
        <f>ROUND(P66,0)</f>
        <v>91524</v>
      </c>
      <c r="J747" s="271">
        <f>ROUND(P67,0)</f>
        <v>220005</v>
      </c>
      <c r="K747" s="271">
        <f>ROUND(P68,0)</f>
        <v>126940</v>
      </c>
      <c r="L747" s="271">
        <f>ROUND(P69,0)</f>
        <v>36339</v>
      </c>
      <c r="M747" s="271">
        <f>ROUND(P70,0)</f>
        <v>0</v>
      </c>
      <c r="N747" s="271">
        <f>ROUND(P75,0)</f>
        <v>23865358</v>
      </c>
      <c r="O747" s="271">
        <f>ROUND(P73,0)</f>
        <v>8722989</v>
      </c>
      <c r="P747" s="271">
        <f>IF(P76&gt;0,ROUND(P76,0),0)</f>
        <v>9767</v>
      </c>
      <c r="Q747" s="271">
        <f>IF(P77&gt;0,ROUND(P77,0),0)</f>
        <v>0</v>
      </c>
      <c r="R747" s="271">
        <f>IF(P78&gt;0,ROUND(P78,0),0)</f>
        <v>5619</v>
      </c>
      <c r="S747" s="271">
        <f>IF(P79&gt;0,ROUND(P79,0),0)</f>
        <v>41607</v>
      </c>
      <c r="T747" s="273">
        <f>IF(P80&gt;0,ROUND(P80,2),0)</f>
        <v>9.4600000000000009</v>
      </c>
      <c r="U747" s="271"/>
      <c r="V747" s="272"/>
      <c r="W747" s="271"/>
      <c r="X747" s="271"/>
      <c r="Y747" s="271">
        <f t="shared" si="21"/>
        <v>2143213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5" customHeight="1" x14ac:dyDescent="0.3">
      <c r="A748" s="207" t="str">
        <f>RIGHT($C$83,3)&amp;"*"&amp;RIGHT($C$82,4)&amp;"*"&amp;Q$55&amp;"*"&amp;"A"</f>
        <v>085*2020*7030*A</v>
      </c>
      <c r="B748" s="271">
        <f>ROUND(Q59,0)</f>
        <v>36379</v>
      </c>
      <c r="C748" s="273">
        <f>ROUND(Q60,2)</f>
        <v>0.02</v>
      </c>
      <c r="D748" s="271">
        <f>ROUND(Q61,0)</f>
        <v>1257</v>
      </c>
      <c r="E748" s="271">
        <f>ROUND(Q62,0)</f>
        <v>284</v>
      </c>
      <c r="F748" s="271">
        <f>ROUND(Q63,0)</f>
        <v>0</v>
      </c>
      <c r="G748" s="271">
        <f>ROUND(Q64,0)</f>
        <v>12085</v>
      </c>
      <c r="H748" s="271">
        <f>ROUND(Q65,0)</f>
        <v>0</v>
      </c>
      <c r="I748" s="271">
        <f>ROUND(Q66,0)</f>
        <v>0</v>
      </c>
      <c r="J748" s="271">
        <f>ROUND(Q67,0)</f>
        <v>13256</v>
      </c>
      <c r="K748" s="271">
        <f>ROUND(Q68,0)</f>
        <v>0</v>
      </c>
      <c r="L748" s="271">
        <f>ROUND(Q69,0)</f>
        <v>0</v>
      </c>
      <c r="M748" s="271">
        <f>ROUND(Q70,0)</f>
        <v>0</v>
      </c>
      <c r="N748" s="271">
        <f>ROUND(Q75,0)</f>
        <v>4554682</v>
      </c>
      <c r="O748" s="271">
        <f>ROUND(Q73,0)</f>
        <v>539374</v>
      </c>
      <c r="P748" s="271">
        <f>IF(Q76&gt;0,ROUND(Q76,0),0)</f>
        <v>589</v>
      </c>
      <c r="Q748" s="271">
        <f>IF(Q77&gt;0,ROUND(Q77,0),0)</f>
        <v>0</v>
      </c>
      <c r="R748" s="271">
        <f>IF(Q78&gt;0,ROUND(Q78,0),0)</f>
        <v>0</v>
      </c>
      <c r="S748" s="271">
        <f>IF(Q79&gt;0,ROUND(Q79,0),0)</f>
        <v>0</v>
      </c>
      <c r="T748" s="273">
        <f>IF(Q80&gt;0,ROUND(Q80,2),0)</f>
        <v>0.02</v>
      </c>
      <c r="U748" s="271"/>
      <c r="V748" s="272"/>
      <c r="W748" s="271"/>
      <c r="X748" s="271"/>
      <c r="Y748" s="271">
        <f t="shared" si="21"/>
        <v>217138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5" customHeight="1" x14ac:dyDescent="0.3">
      <c r="A749" s="207" t="str">
        <f>RIGHT($C$83,3)&amp;"*"&amp;RIGHT($C$82,4)&amp;"*"&amp;R$55&amp;"*"&amp;"A"</f>
        <v>085*2020*7040*A</v>
      </c>
      <c r="B749" s="271">
        <f>ROUND(R59,0)</f>
        <v>166554</v>
      </c>
      <c r="C749" s="273">
        <f>ROUND(R60,2)</f>
        <v>0</v>
      </c>
      <c r="D749" s="271">
        <f>ROUND(R61,0)</f>
        <v>1208319</v>
      </c>
      <c r="E749" s="271">
        <f>ROUND(R62,0)</f>
        <v>272691</v>
      </c>
      <c r="F749" s="271">
        <f>ROUND(R63,0)</f>
        <v>0</v>
      </c>
      <c r="G749" s="271">
        <f>ROUND(R64,0)</f>
        <v>121740</v>
      </c>
      <c r="H749" s="271">
        <f>ROUND(R65,0)</f>
        <v>0</v>
      </c>
      <c r="I749" s="271">
        <f>ROUND(R66,0)</f>
        <v>8014</v>
      </c>
      <c r="J749" s="271">
        <f>ROUND(R67,0)</f>
        <v>3063</v>
      </c>
      <c r="K749" s="271">
        <f>ROUND(R68,0)</f>
        <v>3193</v>
      </c>
      <c r="L749" s="271">
        <f>ROUND(R69,0)</f>
        <v>27025</v>
      </c>
      <c r="M749" s="271">
        <f>ROUND(R70,0)</f>
        <v>0</v>
      </c>
      <c r="N749" s="271">
        <f>ROUND(R75,0)</f>
        <v>9619071</v>
      </c>
      <c r="O749" s="271">
        <f>ROUND(R73,0)</f>
        <v>2638417</v>
      </c>
      <c r="P749" s="271">
        <f>IF(R76&gt;0,ROUND(R76,0),0)</f>
        <v>136</v>
      </c>
      <c r="Q749" s="271">
        <f>IF(R77&gt;0,ROUND(R77,0),0)</f>
        <v>0</v>
      </c>
      <c r="R749" s="271">
        <f>IF(R78&gt;0,ROUND(R78,0),0)</f>
        <v>0</v>
      </c>
      <c r="S749" s="271">
        <f>IF(R79&gt;0,ROUND(R79,0),0)</f>
        <v>0</v>
      </c>
      <c r="T749" s="273">
        <f>IF(R80&gt;0,ROUND(R80,2),0)</f>
        <v>0</v>
      </c>
      <c r="U749" s="271"/>
      <c r="V749" s="272"/>
      <c r="W749" s="271"/>
      <c r="X749" s="271"/>
      <c r="Y749" s="271">
        <f t="shared" si="21"/>
        <v>571215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5" customHeight="1" x14ac:dyDescent="0.3">
      <c r="A750" s="207" t="str">
        <f>RIGHT($C$83,3)&amp;"*"&amp;RIGHT($C$82,4)&amp;"*"&amp;S$55&amp;"*"&amp;"A"</f>
        <v>085*2020*7050*A</v>
      </c>
      <c r="B750" s="271"/>
      <c r="C750" s="273">
        <f>ROUND(S60,2)</f>
        <v>2.74</v>
      </c>
      <c r="D750" s="271">
        <f>ROUND(S61,0)</f>
        <v>140124</v>
      </c>
      <c r="E750" s="271">
        <f>ROUND(S62,0)</f>
        <v>31623</v>
      </c>
      <c r="F750" s="271">
        <f>ROUND(S63,0)</f>
        <v>28110</v>
      </c>
      <c r="G750" s="271">
        <f>ROUND(S64,0)</f>
        <v>1561315</v>
      </c>
      <c r="H750" s="271">
        <f>ROUND(S65,0)</f>
        <v>0</v>
      </c>
      <c r="I750" s="271">
        <f>ROUND(S66,0)</f>
        <v>0</v>
      </c>
      <c r="J750" s="271">
        <f>ROUND(S67,0)</f>
        <v>16806</v>
      </c>
      <c r="K750" s="271">
        <f>ROUND(S68,0)</f>
        <v>0</v>
      </c>
      <c r="L750" s="271">
        <f>ROUND(S69,0)</f>
        <v>4578</v>
      </c>
      <c r="M750" s="271">
        <f>ROUND(S70,0)</f>
        <v>0</v>
      </c>
      <c r="N750" s="271">
        <f>ROUND(S75,0)</f>
        <v>444731</v>
      </c>
      <c r="O750" s="271">
        <f>ROUND(S73,0)</f>
        <v>22617</v>
      </c>
      <c r="P750" s="271">
        <f>IF(S76&gt;0,ROUND(S76,0),0)</f>
        <v>746</v>
      </c>
      <c r="Q750" s="271">
        <f>IF(S77&gt;0,ROUND(S77,0),0)</f>
        <v>0</v>
      </c>
      <c r="R750" s="271">
        <f>IF(S78&gt;0,ROUND(S78,0),0)</f>
        <v>47</v>
      </c>
      <c r="S750" s="271">
        <f>IF(S79&gt;0,ROUND(S79,0),0)</f>
        <v>0</v>
      </c>
      <c r="T750" s="273">
        <f>IF(S80&gt;0,ROUND(S80,2),0)</f>
        <v>0</v>
      </c>
      <c r="U750" s="271"/>
      <c r="V750" s="272"/>
      <c r="W750" s="271"/>
      <c r="X750" s="271"/>
      <c r="Y750" s="271">
        <f t="shared" si="21"/>
        <v>253655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5" customHeight="1" x14ac:dyDescent="0.3">
      <c r="A751" s="207" t="str">
        <f>RIGHT($C$83,3)&amp;"*"&amp;RIGHT($C$82,4)&amp;"*"&amp;T$55&amp;"*"&amp;"A"</f>
        <v>085*2020*7060*A</v>
      </c>
      <c r="B751" s="271"/>
      <c r="C751" s="273">
        <f>ROUND(T60,2)</f>
        <v>0</v>
      </c>
      <c r="D751" s="271">
        <f>ROUND(T61,0)</f>
        <v>0</v>
      </c>
      <c r="E751" s="271">
        <f>ROUND(T62,0)</f>
        <v>0</v>
      </c>
      <c r="F751" s="271">
        <f>ROUND(T63,0)</f>
        <v>0</v>
      </c>
      <c r="G751" s="271">
        <f>ROUND(T64,0)</f>
        <v>0</v>
      </c>
      <c r="H751" s="271">
        <f>ROUND(T65,0)</f>
        <v>0</v>
      </c>
      <c r="I751" s="271">
        <f>ROUND(T66,0)</f>
        <v>0</v>
      </c>
      <c r="J751" s="271">
        <f>ROUND(T67,0)</f>
        <v>0</v>
      </c>
      <c r="K751" s="271">
        <f>ROUND(T68,0)</f>
        <v>0</v>
      </c>
      <c r="L751" s="271">
        <f>ROUND(T69,0)</f>
        <v>0</v>
      </c>
      <c r="M751" s="271">
        <f>ROUND(T70,0)</f>
        <v>0</v>
      </c>
      <c r="N751" s="271">
        <f>ROUND(T75,0)</f>
        <v>0</v>
      </c>
      <c r="O751" s="271">
        <f>ROUND(T73,0)</f>
        <v>0</v>
      </c>
      <c r="P751" s="271">
        <f>IF(T76&gt;0,ROUND(T76,0),0)</f>
        <v>0</v>
      </c>
      <c r="Q751" s="271">
        <f>IF(T77&gt;0,ROUND(T77,0),0)</f>
        <v>0</v>
      </c>
      <c r="R751" s="271">
        <f>IF(T78&gt;0,ROUND(T78,0),0)</f>
        <v>0</v>
      </c>
      <c r="S751" s="271">
        <f>IF(T79&gt;0,ROUND(T79,0),0)</f>
        <v>0</v>
      </c>
      <c r="T751" s="273">
        <f>IF(T80&gt;0,ROUND(T80,2),0)</f>
        <v>0</v>
      </c>
      <c r="U751" s="271"/>
      <c r="V751" s="272"/>
      <c r="W751" s="271"/>
      <c r="X751" s="271"/>
      <c r="Y751" s="271">
        <f t="shared" si="21"/>
        <v>0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5" customHeight="1" x14ac:dyDescent="0.3">
      <c r="A752" s="207" t="str">
        <f>RIGHT($C$83,3)&amp;"*"&amp;RIGHT($C$82,4)&amp;"*"&amp;U$55&amp;"*"&amp;"A"</f>
        <v>085*2020*7070*A</v>
      </c>
      <c r="B752" s="271">
        <f>ROUND(U59,0)</f>
        <v>223520</v>
      </c>
      <c r="C752" s="273">
        <f>ROUND(U60,2)</f>
        <v>25.88</v>
      </c>
      <c r="D752" s="271">
        <f>ROUND(U61,0)</f>
        <v>1709739</v>
      </c>
      <c r="E752" s="271">
        <f>ROUND(U62,0)</f>
        <v>385851</v>
      </c>
      <c r="F752" s="271">
        <f>ROUND(U63,0)</f>
        <v>34825</v>
      </c>
      <c r="G752" s="271">
        <f>ROUND(U64,0)</f>
        <v>1289699</v>
      </c>
      <c r="H752" s="271">
        <f>ROUND(U65,0)</f>
        <v>7966</v>
      </c>
      <c r="I752" s="271">
        <f>ROUND(U66,0)</f>
        <v>2533888</v>
      </c>
      <c r="J752" s="271">
        <f>ROUND(U67,0)</f>
        <v>88318</v>
      </c>
      <c r="K752" s="271">
        <f>ROUND(U68,0)</f>
        <v>214366</v>
      </c>
      <c r="L752" s="271">
        <f>ROUND(U69,0)</f>
        <v>77292</v>
      </c>
      <c r="M752" s="271">
        <f>ROUND(U70,0)</f>
        <v>0</v>
      </c>
      <c r="N752" s="271">
        <f>ROUND(U75,0)</f>
        <v>17973715</v>
      </c>
      <c r="O752" s="271">
        <f>ROUND(U73,0)</f>
        <v>1523448</v>
      </c>
      <c r="P752" s="271">
        <f>IF(U76&gt;0,ROUND(U76,0),0)</f>
        <v>3921</v>
      </c>
      <c r="Q752" s="271">
        <f>IF(U77&gt;0,ROUND(U77,0),0)</f>
        <v>0</v>
      </c>
      <c r="R752" s="271">
        <f>IF(U78&gt;0,ROUND(U78,0),0)</f>
        <v>82</v>
      </c>
      <c r="S752" s="271">
        <f>IF(U79&gt;0,ROUND(U79,0),0)</f>
        <v>7715</v>
      </c>
      <c r="T752" s="273">
        <f>IF(U80&gt;0,ROUND(U80,2),0)</f>
        <v>0</v>
      </c>
      <c r="U752" s="271"/>
      <c r="V752" s="272"/>
      <c r="W752" s="271"/>
      <c r="X752" s="271"/>
      <c r="Y752" s="271">
        <f t="shared" si="21"/>
        <v>1538551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5" customHeight="1" x14ac:dyDescent="0.3">
      <c r="A753" s="207" t="str">
        <f>RIGHT($C$83,3)&amp;"*"&amp;RIGHT($C$82,4)&amp;"*"&amp;V$55&amp;"*"&amp;"A"</f>
        <v>085*2020*7110*A</v>
      </c>
      <c r="B753" s="271">
        <f>ROUND(V59,0)</f>
        <v>983</v>
      </c>
      <c r="C753" s="273">
        <f>ROUND(V60,2)</f>
        <v>0</v>
      </c>
      <c r="D753" s="271">
        <f>ROUND(V61,0)</f>
        <v>0</v>
      </c>
      <c r="E753" s="271">
        <f>ROUND(V62,0)</f>
        <v>0</v>
      </c>
      <c r="F753" s="271">
        <f>ROUND(V63,0)</f>
        <v>0</v>
      </c>
      <c r="G753" s="271">
        <f>ROUND(V64,0)</f>
        <v>0</v>
      </c>
      <c r="H753" s="271">
        <f>ROUND(V65,0)</f>
        <v>0</v>
      </c>
      <c r="I753" s="271">
        <f>ROUND(V66,0)</f>
        <v>0</v>
      </c>
      <c r="J753" s="271">
        <f>ROUND(V67,0)</f>
        <v>0</v>
      </c>
      <c r="K753" s="271">
        <f>ROUND(V68,0)</f>
        <v>0</v>
      </c>
      <c r="L753" s="271">
        <f>ROUND(V69,0)</f>
        <v>0</v>
      </c>
      <c r="M753" s="271">
        <f>ROUND(V70,0)</f>
        <v>0</v>
      </c>
      <c r="N753" s="271">
        <f>ROUND(V75,0)</f>
        <v>138</v>
      </c>
      <c r="O753" s="271">
        <f>ROUND(V73,0)</f>
        <v>0</v>
      </c>
      <c r="P753" s="271">
        <f>IF(V76&gt;0,ROUND(V76,0),0)</f>
        <v>0</v>
      </c>
      <c r="Q753" s="271">
        <f>IF(V77&gt;0,ROUND(V77,0),0)</f>
        <v>0</v>
      </c>
      <c r="R753" s="271">
        <f>IF(V78&gt;0,ROUND(V78,0),0)</f>
        <v>0</v>
      </c>
      <c r="S753" s="271">
        <f>IF(V79&gt;0,ROUND(V79,0),0)</f>
        <v>0</v>
      </c>
      <c r="T753" s="273">
        <f>IF(V80&gt;0,ROUND(V80,2),0)</f>
        <v>0</v>
      </c>
      <c r="U753" s="271"/>
      <c r="V753" s="272"/>
      <c r="W753" s="271"/>
      <c r="X753" s="271"/>
      <c r="Y753" s="271">
        <f t="shared" si="21"/>
        <v>6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5" customHeight="1" x14ac:dyDescent="0.3">
      <c r="A754" s="207" t="str">
        <f>RIGHT($C$83,3)&amp;"*"&amp;RIGHT($C$82,4)&amp;"*"&amp;W$55&amp;"*"&amp;"A"</f>
        <v>085*2020*7120*A</v>
      </c>
      <c r="B754" s="271">
        <f>ROUND(W59,0)</f>
        <v>2147</v>
      </c>
      <c r="C754" s="273">
        <f>ROUND(W60,2)</f>
        <v>2</v>
      </c>
      <c r="D754" s="271">
        <f>ROUND(W61,0)</f>
        <v>200996</v>
      </c>
      <c r="E754" s="271">
        <f>ROUND(W62,0)</f>
        <v>45360</v>
      </c>
      <c r="F754" s="271">
        <f>ROUND(W63,0)</f>
        <v>0</v>
      </c>
      <c r="G754" s="271">
        <f>ROUND(W64,0)</f>
        <v>30225</v>
      </c>
      <c r="H754" s="271">
        <f>ROUND(W65,0)</f>
        <v>0</v>
      </c>
      <c r="I754" s="271">
        <f>ROUND(W66,0)</f>
        <v>0</v>
      </c>
      <c r="J754" s="271">
        <f>ROUND(W67,0)</f>
        <v>24940</v>
      </c>
      <c r="K754" s="271">
        <f>ROUND(W68,0)</f>
        <v>251390</v>
      </c>
      <c r="L754" s="271">
        <f>ROUND(W69,0)</f>
        <v>110567</v>
      </c>
      <c r="M754" s="271">
        <f>ROUND(W70,0)</f>
        <v>0</v>
      </c>
      <c r="N754" s="271">
        <f>ROUND(W75,0)</f>
        <v>5150288</v>
      </c>
      <c r="O754" s="271">
        <f>ROUND(W73,0)</f>
        <v>346692</v>
      </c>
      <c r="P754" s="271">
        <f>IF(W76&gt;0,ROUND(W76,0),0)</f>
        <v>1107</v>
      </c>
      <c r="Q754" s="271">
        <f>IF(W77&gt;0,ROUND(W77,0),0)</f>
        <v>0</v>
      </c>
      <c r="R754" s="271">
        <f>IF(W78&gt;0,ROUND(W78,0),0)</f>
        <v>0</v>
      </c>
      <c r="S754" s="271">
        <f>IF(W79&gt;0,ROUND(W79,0),0)</f>
        <v>33870</v>
      </c>
      <c r="T754" s="273">
        <f>IF(W80&gt;0,ROUND(W80,2),0)</f>
        <v>0</v>
      </c>
      <c r="U754" s="271"/>
      <c r="V754" s="272"/>
      <c r="W754" s="271"/>
      <c r="X754" s="271"/>
      <c r="Y754" s="271">
        <f t="shared" si="21"/>
        <v>346904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5" customHeight="1" x14ac:dyDescent="0.3">
      <c r="A755" s="207" t="str">
        <f>RIGHT($C$83,3)&amp;"*"&amp;RIGHT($C$82,4)&amp;"*"&amp;X$55&amp;"*"&amp;"A"</f>
        <v>085*2020*7130*A</v>
      </c>
      <c r="B755" s="271">
        <f>ROUND(X59,0)</f>
        <v>5555</v>
      </c>
      <c r="C755" s="273">
        <f>ROUND(X60,2)</f>
        <v>1.33</v>
      </c>
      <c r="D755" s="271">
        <f>ROUND(X61,0)</f>
        <v>106080</v>
      </c>
      <c r="E755" s="271">
        <f>ROUND(X62,0)</f>
        <v>23940</v>
      </c>
      <c r="F755" s="271">
        <f>ROUND(X63,0)</f>
        <v>0</v>
      </c>
      <c r="G755" s="271">
        <f>ROUND(X64,0)</f>
        <v>111642</v>
      </c>
      <c r="H755" s="271">
        <f>ROUND(X65,0)</f>
        <v>0</v>
      </c>
      <c r="I755" s="271">
        <f>ROUND(X66,0)</f>
        <v>0</v>
      </c>
      <c r="J755" s="271">
        <f>ROUND(X67,0)</f>
        <v>12024</v>
      </c>
      <c r="K755" s="271">
        <f>ROUND(X68,0)</f>
        <v>9614</v>
      </c>
      <c r="L755" s="271">
        <f>ROUND(X69,0)</f>
        <v>97353</v>
      </c>
      <c r="M755" s="271">
        <f>ROUND(X70,0)</f>
        <v>0</v>
      </c>
      <c r="N755" s="271">
        <f>ROUND(X75,0)</f>
        <v>14142780</v>
      </c>
      <c r="O755" s="271">
        <f>ROUND(X73,0)</f>
        <v>922824</v>
      </c>
      <c r="P755" s="271">
        <f>IF(X76&gt;0,ROUND(X76,0),0)</f>
        <v>534</v>
      </c>
      <c r="Q755" s="271">
        <f>IF(X77&gt;0,ROUND(X77,0),0)</f>
        <v>0</v>
      </c>
      <c r="R755" s="271">
        <f>IF(X78&gt;0,ROUND(X78,0),0)</f>
        <v>0</v>
      </c>
      <c r="S755" s="271">
        <f>IF(X79&gt;0,ROUND(X79,0),0)</f>
        <v>0</v>
      </c>
      <c r="T755" s="273">
        <f>IF(X80&gt;0,ROUND(X80,2),0)</f>
        <v>0</v>
      </c>
      <c r="U755" s="271"/>
      <c r="V755" s="272"/>
      <c r="W755" s="271"/>
      <c r="X755" s="271"/>
      <c r="Y755" s="271">
        <f t="shared" si="21"/>
        <v>677411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5" customHeight="1" x14ac:dyDescent="0.3">
      <c r="A756" s="207" t="str">
        <f>RIGHT($C$83,3)&amp;"*"&amp;RIGHT($C$82,4)&amp;"*"&amp;Y$55&amp;"*"&amp;"A"</f>
        <v>085*2020*7140*A</v>
      </c>
      <c r="B756" s="271">
        <f>ROUND(Y59,0)</f>
        <v>16265</v>
      </c>
      <c r="C756" s="273">
        <f>ROUND(Y60,2)</f>
        <v>20.16</v>
      </c>
      <c r="D756" s="271">
        <f>ROUND(Y61,0)</f>
        <v>1674308</v>
      </c>
      <c r="E756" s="271">
        <f>ROUND(Y62,0)</f>
        <v>377855</v>
      </c>
      <c r="F756" s="271">
        <f>ROUND(Y63,0)</f>
        <v>35200</v>
      </c>
      <c r="G756" s="271">
        <f>ROUND(Y64,0)</f>
        <v>71334</v>
      </c>
      <c r="H756" s="271">
        <f>ROUND(Y65,0)</f>
        <v>0</v>
      </c>
      <c r="I756" s="271">
        <f>ROUND(Y66,0)</f>
        <v>278515</v>
      </c>
      <c r="J756" s="271">
        <f>ROUND(Y67,0)</f>
        <v>103760</v>
      </c>
      <c r="K756" s="271">
        <f>ROUND(Y68,0)</f>
        <v>0</v>
      </c>
      <c r="L756" s="271">
        <f>ROUND(Y69,0)</f>
        <v>215930</v>
      </c>
      <c r="M756" s="271">
        <f>ROUND(Y70,0)</f>
        <v>0</v>
      </c>
      <c r="N756" s="271">
        <f>ROUND(Y75,0)</f>
        <v>12387939</v>
      </c>
      <c r="O756" s="271">
        <f>ROUND(Y73,0)</f>
        <v>997206</v>
      </c>
      <c r="P756" s="271">
        <f>IF(Y76&gt;0,ROUND(Y76,0),0)</f>
        <v>4606</v>
      </c>
      <c r="Q756" s="271">
        <f>IF(Y77&gt;0,ROUND(Y77,0),0)</f>
        <v>0</v>
      </c>
      <c r="R756" s="271">
        <f>IF(Y78&gt;0,ROUND(Y78,0),0)</f>
        <v>3400</v>
      </c>
      <c r="S756" s="271">
        <f>IF(Y79&gt;0,ROUND(Y79,0),0)</f>
        <v>10096</v>
      </c>
      <c r="T756" s="273">
        <f>IF(Y80&gt;0,ROUND(Y80,2),0)</f>
        <v>0.26</v>
      </c>
      <c r="U756" s="271"/>
      <c r="V756" s="272"/>
      <c r="W756" s="271"/>
      <c r="X756" s="271"/>
      <c r="Y756" s="271">
        <f t="shared" si="21"/>
        <v>1108942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5" customHeight="1" x14ac:dyDescent="0.3">
      <c r="A757" s="207" t="str">
        <f>RIGHT($C$83,3)&amp;"*"&amp;RIGHT($C$82,4)&amp;"*"&amp;Z$55&amp;"*"&amp;"A"</f>
        <v>085*2020*7150*A</v>
      </c>
      <c r="B757" s="271">
        <f>ROUND(Z59,0)</f>
        <v>0</v>
      </c>
      <c r="C757" s="273">
        <f>ROUND(Z60,2)</f>
        <v>0</v>
      </c>
      <c r="D757" s="271">
        <f>ROUND(Z61,0)</f>
        <v>0</v>
      </c>
      <c r="E757" s="271">
        <f>ROUND(Z62,0)</f>
        <v>0</v>
      </c>
      <c r="F757" s="271">
        <f>ROUND(Z63,0)</f>
        <v>0</v>
      </c>
      <c r="G757" s="271">
        <f>ROUND(Z64,0)</f>
        <v>0</v>
      </c>
      <c r="H757" s="271">
        <f>ROUND(Z65,0)</f>
        <v>0</v>
      </c>
      <c r="I757" s="271">
        <f>ROUND(Z66,0)</f>
        <v>0</v>
      </c>
      <c r="J757" s="271">
        <f>ROUND(Z67,0)</f>
        <v>0</v>
      </c>
      <c r="K757" s="271">
        <f>ROUND(Z68,0)</f>
        <v>0</v>
      </c>
      <c r="L757" s="271">
        <f>ROUND(Z69,0)</f>
        <v>0</v>
      </c>
      <c r="M757" s="271">
        <f>ROUND(Z70,0)</f>
        <v>0</v>
      </c>
      <c r="N757" s="271">
        <f>ROUND(Z75,0)</f>
        <v>0</v>
      </c>
      <c r="O757" s="271">
        <f>ROUND(Z73,0)</f>
        <v>0</v>
      </c>
      <c r="P757" s="271">
        <f>IF(Z76&gt;0,ROUND(Z76,0),0)</f>
        <v>0</v>
      </c>
      <c r="Q757" s="271">
        <f>IF(Z77&gt;0,ROUND(Z77,0),0)</f>
        <v>0</v>
      </c>
      <c r="R757" s="271">
        <f>IF(Z78&gt;0,ROUND(Z78,0),0)</f>
        <v>0</v>
      </c>
      <c r="S757" s="271">
        <f>IF(Z79&gt;0,ROUND(Z79,0),0)</f>
        <v>0</v>
      </c>
      <c r="T757" s="273">
        <f>IF(Z80&gt;0,ROUND(Z80,2),0)</f>
        <v>0</v>
      </c>
      <c r="U757" s="271"/>
      <c r="V757" s="272"/>
      <c r="W757" s="271"/>
      <c r="X757" s="271"/>
      <c r="Y757" s="271">
        <f t="shared" si="21"/>
        <v>0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5" customHeight="1" x14ac:dyDescent="0.3">
      <c r="A758" s="207" t="str">
        <f>RIGHT($C$83,3)&amp;"*"&amp;RIGHT($C$82,4)&amp;"*"&amp;AA$55&amp;"*"&amp;"A"</f>
        <v>085*2020*7160*A</v>
      </c>
      <c r="B758" s="271">
        <f>ROUND(AA59,0)</f>
        <v>446</v>
      </c>
      <c r="C758" s="273">
        <f>ROUND(AA60,2)</f>
        <v>0.7</v>
      </c>
      <c r="D758" s="271">
        <f>ROUND(AA61,0)</f>
        <v>91358</v>
      </c>
      <c r="E758" s="271">
        <f>ROUND(AA62,0)</f>
        <v>20618</v>
      </c>
      <c r="F758" s="271">
        <f>ROUND(AA63,0)</f>
        <v>0</v>
      </c>
      <c r="G758" s="271">
        <f>ROUND(AA64,0)</f>
        <v>113413</v>
      </c>
      <c r="H758" s="271">
        <f>ROUND(AA65,0)</f>
        <v>0</v>
      </c>
      <c r="I758" s="271">
        <f>ROUND(AA66,0)</f>
        <v>39087</v>
      </c>
      <c r="J758" s="271">
        <f>ROUND(AA67,0)</f>
        <v>8053</v>
      </c>
      <c r="K758" s="271">
        <f>ROUND(AA68,0)</f>
        <v>0</v>
      </c>
      <c r="L758" s="271">
        <f>ROUND(AA69,0)</f>
        <v>247</v>
      </c>
      <c r="M758" s="271">
        <f>ROUND(AA70,0)</f>
        <v>0</v>
      </c>
      <c r="N758" s="271">
        <f>ROUND(AA75,0)</f>
        <v>2887623</v>
      </c>
      <c r="O758" s="271">
        <f>ROUND(AA73,0)</f>
        <v>11820</v>
      </c>
      <c r="P758" s="271">
        <f>IF(AA76&gt;0,ROUND(AA76,0),0)</f>
        <v>358</v>
      </c>
      <c r="Q758" s="271">
        <f>IF(AA77&gt;0,ROUND(AA77,0),0)</f>
        <v>0</v>
      </c>
      <c r="R758" s="271">
        <f>IF(AA78&gt;0,ROUND(AA78,0),0)</f>
        <v>0</v>
      </c>
      <c r="S758" s="271">
        <f>IF(AA79&gt;0,ROUND(AA79,0),0)</f>
        <v>0</v>
      </c>
      <c r="T758" s="273">
        <f>IF(AA80&gt;0,ROUND(AA80,2),0)</f>
        <v>0</v>
      </c>
      <c r="U758" s="271"/>
      <c r="V758" s="272"/>
      <c r="W758" s="271"/>
      <c r="X758" s="271"/>
      <c r="Y758" s="271">
        <f t="shared" si="21"/>
        <v>164528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5" customHeight="1" x14ac:dyDescent="0.3">
      <c r="A759" s="207" t="str">
        <f>RIGHT($C$83,3)&amp;"*"&amp;RIGHT($C$82,4)&amp;"*"&amp;AB$55&amp;"*"&amp;"A"</f>
        <v>085*2020*7170*A</v>
      </c>
      <c r="B759" s="271"/>
      <c r="C759" s="273">
        <f>ROUND(AB60,2)</f>
        <v>13.05</v>
      </c>
      <c r="D759" s="271">
        <f>ROUND(AB61,0)</f>
        <v>1444377</v>
      </c>
      <c r="E759" s="271">
        <f>ROUND(AB62,0)</f>
        <v>325964</v>
      </c>
      <c r="F759" s="271">
        <f>ROUND(AB63,0)</f>
        <v>690669</v>
      </c>
      <c r="G759" s="271">
        <f>ROUND(AB64,0)</f>
        <v>14600179</v>
      </c>
      <c r="H759" s="271">
        <f>ROUND(AB65,0)</f>
        <v>8250</v>
      </c>
      <c r="I759" s="271">
        <f>ROUND(AB66,0)</f>
        <v>192950</v>
      </c>
      <c r="J759" s="271">
        <f>ROUND(AB67,0)</f>
        <v>55884</v>
      </c>
      <c r="K759" s="271">
        <f>ROUND(AB68,0)</f>
        <v>219319</v>
      </c>
      <c r="L759" s="271">
        <f>ROUND(AB69,0)</f>
        <v>153369</v>
      </c>
      <c r="M759" s="271">
        <f>ROUND(AB70,0)</f>
        <v>3694223</v>
      </c>
      <c r="N759" s="271">
        <f>ROUND(AB75,0)</f>
        <v>48210985</v>
      </c>
      <c r="O759" s="271">
        <f>ROUND(AB73,0)</f>
        <v>3526678</v>
      </c>
      <c r="P759" s="271">
        <f>IF(AB76&gt;0,ROUND(AB76,0),0)</f>
        <v>2481</v>
      </c>
      <c r="Q759" s="271">
        <f>IF(AB77&gt;0,ROUND(AB77,0),0)</f>
        <v>0</v>
      </c>
      <c r="R759" s="271">
        <f>IF(AB78&gt;0,ROUND(AB78,0),0)</f>
        <v>0</v>
      </c>
      <c r="S759" s="271">
        <f>IF(AB79&gt;0,ROUND(AB79,0),0)</f>
        <v>0</v>
      </c>
      <c r="T759" s="273">
        <f>IF(AB80&gt;0,ROUND(AB80,2),0)</f>
        <v>0</v>
      </c>
      <c r="U759" s="271"/>
      <c r="V759" s="272"/>
      <c r="W759" s="271"/>
      <c r="X759" s="271"/>
      <c r="Y759" s="271">
        <f t="shared" si="21"/>
        <v>3962640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5" customHeight="1" x14ac:dyDescent="0.3">
      <c r="A760" s="207" t="str">
        <f>RIGHT($C$83,3)&amp;"*"&amp;RIGHT($C$82,4)&amp;"*"&amp;AC$55&amp;"*"&amp;"A"</f>
        <v>085*2020*7180*A</v>
      </c>
      <c r="B760" s="271">
        <f>ROUND(AC59,0)</f>
        <v>28724</v>
      </c>
      <c r="C760" s="273">
        <f>ROUND(AC60,2)</f>
        <v>7.28</v>
      </c>
      <c r="D760" s="271">
        <f>ROUND(AC61,0)</f>
        <v>699014</v>
      </c>
      <c r="E760" s="271">
        <f>ROUND(AC62,0)</f>
        <v>157752</v>
      </c>
      <c r="F760" s="271">
        <f>ROUND(AC63,0)</f>
        <v>64451</v>
      </c>
      <c r="G760" s="271">
        <f>ROUND(AC64,0)</f>
        <v>99259</v>
      </c>
      <c r="H760" s="271">
        <f>ROUND(AC65,0)</f>
        <v>0</v>
      </c>
      <c r="I760" s="271">
        <f>ROUND(AC66,0)</f>
        <v>19077</v>
      </c>
      <c r="J760" s="271">
        <f>ROUND(AC67,0)</f>
        <v>41533</v>
      </c>
      <c r="K760" s="271">
        <f>ROUND(AC68,0)</f>
        <v>28145</v>
      </c>
      <c r="L760" s="271">
        <f>ROUND(AC69,0)</f>
        <v>14468</v>
      </c>
      <c r="M760" s="271">
        <f>ROUND(AC70,0)</f>
        <v>0</v>
      </c>
      <c r="N760" s="271">
        <f>ROUND(AC75,0)</f>
        <v>3285859</v>
      </c>
      <c r="O760" s="271">
        <f>ROUND(AC73,0)</f>
        <v>1612586</v>
      </c>
      <c r="P760" s="271">
        <f>IF(AC76&gt;0,ROUND(AC76,0),0)</f>
        <v>1844</v>
      </c>
      <c r="Q760" s="271">
        <f>IF(AC77&gt;0,ROUND(AC77,0),0)</f>
        <v>0</v>
      </c>
      <c r="R760" s="271">
        <f>IF(AC78&gt;0,ROUND(AC78,0),0)</f>
        <v>0</v>
      </c>
      <c r="S760" s="271">
        <f>IF(AC79&gt;0,ROUND(AC79,0),0)</f>
        <v>0</v>
      </c>
      <c r="T760" s="273">
        <f>IF(AC80&gt;0,ROUND(AC80,2),0)</f>
        <v>0</v>
      </c>
      <c r="U760" s="271"/>
      <c r="V760" s="272"/>
      <c r="W760" s="271"/>
      <c r="X760" s="271"/>
      <c r="Y760" s="271">
        <f t="shared" si="21"/>
        <v>300469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5" customHeight="1" x14ac:dyDescent="0.3">
      <c r="A761" s="207" t="str">
        <f>RIGHT($C$83,3)&amp;"*"&amp;RIGHT($C$82,4)&amp;"*"&amp;AD$55&amp;"*"&amp;"A"</f>
        <v>085*2020*7190*A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0</v>
      </c>
      <c r="G761" s="271">
        <f>ROUND(AD64,0)</f>
        <v>0</v>
      </c>
      <c r="H761" s="271">
        <f>ROUND(AD65,0)</f>
        <v>0</v>
      </c>
      <c r="I761" s="271">
        <f>ROUND(AD66,0)</f>
        <v>0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0</v>
      </c>
      <c r="O761" s="271">
        <f>ROUND(AD73,0)</f>
        <v>0</v>
      </c>
      <c r="P761" s="271">
        <f>IF(AD76&gt;0,ROUND(AD76,0),0)</f>
        <v>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>
        <f t="shared" si="21"/>
        <v>0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5" customHeight="1" x14ac:dyDescent="0.3">
      <c r="A762" s="207" t="str">
        <f>RIGHT($C$83,3)&amp;"*"&amp;RIGHT($C$82,4)&amp;"*"&amp;AE$55&amp;"*"&amp;"A"</f>
        <v>085*2020*7200*A</v>
      </c>
      <c r="B762" s="271">
        <f>ROUND(AE59,0)</f>
        <v>75498</v>
      </c>
      <c r="C762" s="273">
        <f>ROUND(AE60,2)</f>
        <v>33.450000000000003</v>
      </c>
      <c r="D762" s="271">
        <f>ROUND(AE61,0)</f>
        <v>2692681</v>
      </c>
      <c r="E762" s="271">
        <f>ROUND(AE62,0)</f>
        <v>607680</v>
      </c>
      <c r="F762" s="271">
        <f>ROUND(AE63,0)</f>
        <v>91966</v>
      </c>
      <c r="G762" s="271">
        <f>ROUND(AE64,0)</f>
        <v>58130</v>
      </c>
      <c r="H762" s="271">
        <f>ROUND(AE65,0)</f>
        <v>0</v>
      </c>
      <c r="I762" s="271">
        <f>ROUND(AE66,0)</f>
        <v>760</v>
      </c>
      <c r="J762" s="271">
        <f>ROUND(AE67,0)</f>
        <v>146137</v>
      </c>
      <c r="K762" s="271">
        <f>ROUND(AE68,0)</f>
        <v>0</v>
      </c>
      <c r="L762" s="271">
        <f>ROUND(AE69,0)</f>
        <v>28810</v>
      </c>
      <c r="M762" s="271">
        <f>ROUND(AE70,0)</f>
        <v>0</v>
      </c>
      <c r="N762" s="271">
        <f>ROUND(AE75,0)</f>
        <v>7935773</v>
      </c>
      <c r="O762" s="271">
        <f>ROUND(AE73,0)</f>
        <v>522288</v>
      </c>
      <c r="P762" s="271">
        <f>IF(AE76&gt;0,ROUND(AE76,0),0)</f>
        <v>6488</v>
      </c>
      <c r="Q762" s="271">
        <f>IF(AE77&gt;0,ROUND(AE77,0),0)</f>
        <v>0</v>
      </c>
      <c r="R762" s="271">
        <f>IF(AE78&gt;0,ROUND(AE78,0),0)</f>
        <v>2880</v>
      </c>
      <c r="S762" s="271">
        <f>IF(AE79&gt;0,ROUND(AE79,0),0)</f>
        <v>29861</v>
      </c>
      <c r="T762" s="273">
        <f>IF(AE80&gt;0,ROUND(AE80,2),0)</f>
        <v>0</v>
      </c>
      <c r="U762" s="271"/>
      <c r="V762" s="272"/>
      <c r="W762" s="271"/>
      <c r="X762" s="271"/>
      <c r="Y762" s="271">
        <f t="shared" si="21"/>
        <v>1048698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5" customHeight="1" x14ac:dyDescent="0.3">
      <c r="A763" s="207" t="str">
        <f>RIGHT($C$83,3)&amp;"*"&amp;RIGHT($C$82,4)&amp;"*"&amp;AF$55&amp;"*"&amp;"A"</f>
        <v>085*2020*7220*A</v>
      </c>
      <c r="B763" s="271">
        <f>ROUND(AF59,0)</f>
        <v>0</v>
      </c>
      <c r="C763" s="273">
        <f>ROUND(AF60,2)</f>
        <v>0</v>
      </c>
      <c r="D763" s="271">
        <f>ROUND(AF61,0)</f>
        <v>0</v>
      </c>
      <c r="E763" s="271">
        <f>ROUND(AF62,0)</f>
        <v>0</v>
      </c>
      <c r="F763" s="271">
        <f>ROUND(AF63,0)</f>
        <v>0</v>
      </c>
      <c r="G763" s="271">
        <f>ROUND(AF64,0)</f>
        <v>0</v>
      </c>
      <c r="H763" s="271">
        <f>ROUND(AF65,0)</f>
        <v>0</v>
      </c>
      <c r="I763" s="271">
        <f>ROUND(AF66,0)</f>
        <v>0</v>
      </c>
      <c r="J763" s="271">
        <f>ROUND(AF67,0)</f>
        <v>0</v>
      </c>
      <c r="K763" s="271">
        <f>ROUND(AF68,0)</f>
        <v>0</v>
      </c>
      <c r="L763" s="271">
        <f>ROUND(AF69,0)</f>
        <v>0</v>
      </c>
      <c r="M763" s="271">
        <f>ROUND(AF70,0)</f>
        <v>0</v>
      </c>
      <c r="N763" s="271">
        <f>ROUND(AF75,0)</f>
        <v>0</v>
      </c>
      <c r="O763" s="271">
        <f>ROUND(AF73,0)</f>
        <v>0</v>
      </c>
      <c r="P763" s="271">
        <f>IF(AF76&gt;0,ROUND(AF76,0),0)</f>
        <v>0</v>
      </c>
      <c r="Q763" s="271">
        <f>IF(AF77&gt;0,ROUND(AF77,0),0)</f>
        <v>0</v>
      </c>
      <c r="R763" s="271">
        <f>IF(AF78&gt;0,ROUND(AF78,0),0)</f>
        <v>0</v>
      </c>
      <c r="S763" s="271">
        <f>IF(AF79&gt;0,ROUND(AF79,0),0)</f>
        <v>0</v>
      </c>
      <c r="T763" s="273">
        <f>IF(AF80&gt;0,ROUND(AF80,2),0)</f>
        <v>0</v>
      </c>
      <c r="U763" s="271"/>
      <c r="V763" s="272"/>
      <c r="W763" s="271"/>
      <c r="X763" s="271"/>
      <c r="Y763" s="271">
        <f t="shared" si="21"/>
        <v>0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5" customHeight="1" x14ac:dyDescent="0.3">
      <c r="A764" s="207" t="str">
        <f>RIGHT($C$83,3)&amp;"*"&amp;RIGHT($C$82,4)&amp;"*"&amp;AG$55&amp;"*"&amp;"A"</f>
        <v>085*2020*7230*A</v>
      </c>
      <c r="B764" s="271">
        <f>ROUND(AG59,0)</f>
        <v>10664</v>
      </c>
      <c r="C764" s="273">
        <f>ROUND(AG60,2)</f>
        <v>26.75</v>
      </c>
      <c r="D764" s="271">
        <f>ROUND(AG61,0)</f>
        <v>4482130</v>
      </c>
      <c r="E764" s="271">
        <f>ROUND(AG62,0)</f>
        <v>1011519</v>
      </c>
      <c r="F764" s="271">
        <f>ROUND(AG63,0)</f>
        <v>123703</v>
      </c>
      <c r="G764" s="271">
        <f>ROUND(AG64,0)</f>
        <v>276913</v>
      </c>
      <c r="H764" s="271">
        <f>ROUND(AG65,0)</f>
        <v>0</v>
      </c>
      <c r="I764" s="271">
        <f>ROUND(AG66,0)</f>
        <v>104765</v>
      </c>
      <c r="J764" s="271">
        <f>ROUND(AG67,0)</f>
        <v>143031</v>
      </c>
      <c r="K764" s="271">
        <f>ROUND(AG68,0)</f>
        <v>2172</v>
      </c>
      <c r="L764" s="271">
        <f>ROUND(AG69,0)</f>
        <v>40735</v>
      </c>
      <c r="M764" s="271">
        <f>ROUND(AG70,0)</f>
        <v>0</v>
      </c>
      <c r="N764" s="271">
        <f>ROUND(AG75,0)</f>
        <v>30345990</v>
      </c>
      <c r="O764" s="271">
        <f>ROUND(AG73,0)</f>
        <v>1072142</v>
      </c>
      <c r="P764" s="271">
        <f>IF(AG76&gt;0,ROUND(AG76,0),0)</f>
        <v>6350</v>
      </c>
      <c r="Q764" s="271">
        <f>IF(AG77&gt;0,ROUND(AG77,0),0)</f>
        <v>0</v>
      </c>
      <c r="R764" s="271">
        <f>IF(AG78&gt;0,ROUND(AG78,0),0)</f>
        <v>6302</v>
      </c>
      <c r="S764" s="271">
        <f>IF(AG79&gt;0,ROUND(AG79,0),0)</f>
        <v>56819</v>
      </c>
      <c r="T764" s="273">
        <f>IF(AG80&gt;0,ROUND(AG80,2),0)</f>
        <v>13.53</v>
      </c>
      <c r="U764" s="271"/>
      <c r="V764" s="272"/>
      <c r="W764" s="271"/>
      <c r="X764" s="271"/>
      <c r="Y764" s="271">
        <f t="shared" si="21"/>
        <v>2647479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5" customHeight="1" x14ac:dyDescent="0.3">
      <c r="A765" s="207" t="str">
        <f>RIGHT($C$83,3)&amp;"*"&amp;RIGHT($C$82,4)&amp;"*"&amp;AH$55&amp;"*"&amp;"A"</f>
        <v>085*2020*7240*A</v>
      </c>
      <c r="B765" s="271">
        <f>ROUND(AH59,0)</f>
        <v>0</v>
      </c>
      <c r="C765" s="273">
        <f>ROUND(AH60,2)</f>
        <v>0</v>
      </c>
      <c r="D765" s="271">
        <f>ROUND(AH61,0)</f>
        <v>0</v>
      </c>
      <c r="E765" s="271">
        <f>ROUND(AH62,0)</f>
        <v>0</v>
      </c>
      <c r="F765" s="271">
        <f>ROUND(AH63,0)</f>
        <v>0</v>
      </c>
      <c r="G765" s="271">
        <f>ROUND(AH64,0)</f>
        <v>0</v>
      </c>
      <c r="H765" s="271">
        <f>ROUND(AH65,0)</f>
        <v>0</v>
      </c>
      <c r="I765" s="271">
        <f>ROUND(AH66,0)</f>
        <v>0</v>
      </c>
      <c r="J765" s="271">
        <f>ROUND(AH67,0)</f>
        <v>0</v>
      </c>
      <c r="K765" s="271">
        <f>ROUND(AH68,0)</f>
        <v>0</v>
      </c>
      <c r="L765" s="271">
        <f>ROUND(AH69,0)</f>
        <v>0</v>
      </c>
      <c r="M765" s="271">
        <f>ROUND(AH70,0)</f>
        <v>0</v>
      </c>
      <c r="N765" s="271">
        <f>ROUND(AH75,0)</f>
        <v>0</v>
      </c>
      <c r="O765" s="271">
        <f>ROUND(AH73,0)</f>
        <v>0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0</v>
      </c>
      <c r="T765" s="273">
        <f>IF(AH80&gt;0,ROUND(AH80,2),0)</f>
        <v>0</v>
      </c>
      <c r="U765" s="271"/>
      <c r="V765" s="272"/>
      <c r="W765" s="271"/>
      <c r="X765" s="271"/>
      <c r="Y765" s="271">
        <f t="shared" si="21"/>
        <v>0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5" customHeight="1" x14ac:dyDescent="0.3">
      <c r="A766" s="207" t="str">
        <f>RIGHT($C$83,3)&amp;"*"&amp;RIGHT($C$82,4)&amp;"*"&amp;AI$55&amp;"*"&amp;"A"</f>
        <v>085*2020*7250*A</v>
      </c>
      <c r="B766" s="271">
        <f>ROUND(AI59,0)</f>
        <v>17436</v>
      </c>
      <c r="C766" s="273">
        <f>ROUND(AI60,2)</f>
        <v>23.07</v>
      </c>
      <c r="D766" s="271">
        <f>ROUND(AI61,0)</f>
        <v>3407787</v>
      </c>
      <c r="E766" s="271">
        <f>ROUND(AI62,0)</f>
        <v>769063</v>
      </c>
      <c r="F766" s="271">
        <f>ROUND(AI63,0)</f>
        <v>0</v>
      </c>
      <c r="G766" s="271">
        <f>ROUND(AI64,0)</f>
        <v>358310</v>
      </c>
      <c r="H766" s="271">
        <f>ROUND(AI65,0)</f>
        <v>0</v>
      </c>
      <c r="I766" s="271">
        <f>ROUND(AI66,0)</f>
        <v>83036</v>
      </c>
      <c r="J766" s="271">
        <f>ROUND(AI67,0)</f>
        <v>143511</v>
      </c>
      <c r="K766" s="271">
        <f>ROUND(AI68,0)</f>
        <v>0</v>
      </c>
      <c r="L766" s="271">
        <f>ROUND(AI69,0)</f>
        <v>31628</v>
      </c>
      <c r="M766" s="271">
        <f>ROUND(AI70,0)</f>
        <v>4295</v>
      </c>
      <c r="N766" s="271">
        <f>ROUND(AI75,0)</f>
        <v>7848556</v>
      </c>
      <c r="O766" s="271">
        <f>ROUND(AI73,0)</f>
        <v>33936</v>
      </c>
      <c r="P766" s="271">
        <f>IF(AI76&gt;0,ROUND(AI76,0),0)</f>
        <v>6371</v>
      </c>
      <c r="Q766" s="271">
        <f>IF(AI77&gt;0,ROUND(AI77,0),0)</f>
        <v>0</v>
      </c>
      <c r="R766" s="271">
        <f>IF(AI78&gt;0,ROUND(AI78,0),0)</f>
        <v>1814</v>
      </c>
      <c r="S766" s="271">
        <f>IF(AI79&gt;0,ROUND(AI79,0),0)</f>
        <v>32827</v>
      </c>
      <c r="T766" s="273">
        <f>IF(AI80&gt;0,ROUND(AI80,2),0)</f>
        <v>11.04</v>
      </c>
      <c r="U766" s="271"/>
      <c r="V766" s="272"/>
      <c r="W766" s="271"/>
      <c r="X766" s="271"/>
      <c r="Y766" s="271">
        <f t="shared" si="21"/>
        <v>1245481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5" customHeight="1" x14ac:dyDescent="0.3">
      <c r="A767" s="207" t="str">
        <f>RIGHT($C$83,3)&amp;"*"&amp;RIGHT($C$82,4)&amp;"*"&amp;AJ$55&amp;"*"&amp;"A"</f>
        <v>085*2020*7260*A</v>
      </c>
      <c r="B767" s="271">
        <f>ROUND(AJ59,0)</f>
        <v>85414</v>
      </c>
      <c r="C767" s="273">
        <f>ROUND(AJ60,2)</f>
        <v>128.58000000000001</v>
      </c>
      <c r="D767" s="271">
        <f>ROUND(AJ61,0)</f>
        <v>19130395</v>
      </c>
      <c r="E767" s="271">
        <f>ROUND(AJ62,0)</f>
        <v>4317314</v>
      </c>
      <c r="F767" s="271">
        <f>ROUND(AJ63,0)</f>
        <v>1232723</v>
      </c>
      <c r="G767" s="271">
        <f>ROUND(AJ64,0)</f>
        <v>1630887</v>
      </c>
      <c r="H767" s="271">
        <f>ROUND(AJ65,0)</f>
        <v>135607</v>
      </c>
      <c r="I767" s="271">
        <f>ROUND(AJ66,0)</f>
        <v>873016</v>
      </c>
      <c r="J767" s="271">
        <f>ROUND(AJ67,0)</f>
        <v>1009418</v>
      </c>
      <c r="K767" s="271">
        <f>ROUND(AJ68,0)</f>
        <v>364849</v>
      </c>
      <c r="L767" s="271">
        <f>ROUND(AJ69,0)</f>
        <v>165354</v>
      </c>
      <c r="M767" s="271">
        <f>ROUND(AJ70,0)</f>
        <v>408991</v>
      </c>
      <c r="N767" s="271">
        <f>ROUND(AJ75,0)</f>
        <v>37972897</v>
      </c>
      <c r="O767" s="271">
        <f>ROUND(AJ73,0)</f>
        <v>1574402</v>
      </c>
      <c r="P767" s="271">
        <f>IF(AJ76&gt;0,ROUND(AJ76,0),0)</f>
        <v>44812</v>
      </c>
      <c r="Q767" s="271">
        <f>IF(AJ77&gt;0,ROUND(AJ77,0),0)</f>
        <v>0</v>
      </c>
      <c r="R767" s="271">
        <f>IF(AJ78&gt;0,ROUND(AJ78,0),0)</f>
        <v>5159</v>
      </c>
      <c r="S767" s="271">
        <f>IF(AJ79&gt;0,ROUND(AJ79,0),0)</f>
        <v>50036</v>
      </c>
      <c r="T767" s="273">
        <f>IF(AJ80&gt;0,ROUND(AJ80,2),0)</f>
        <v>24.39</v>
      </c>
      <c r="U767" s="271"/>
      <c r="V767" s="272"/>
      <c r="W767" s="271"/>
      <c r="X767" s="271"/>
      <c r="Y767" s="271">
        <f t="shared" si="21"/>
        <v>6046180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5" customHeight="1" x14ac:dyDescent="0.3">
      <c r="A768" s="207" t="str">
        <f>RIGHT($C$83,3)&amp;"*"&amp;RIGHT($C$82,4)&amp;"*"&amp;AK$55&amp;"*"&amp;"A"</f>
        <v>085*2020*7310*A</v>
      </c>
      <c r="B768" s="271">
        <f>ROUND(AK59,0)</f>
        <v>13118</v>
      </c>
      <c r="C768" s="273">
        <f>ROUND(AK60,2)</f>
        <v>0</v>
      </c>
      <c r="D768" s="271">
        <f>ROUND(AK61,0)</f>
        <v>0</v>
      </c>
      <c r="E768" s="271">
        <f>ROUND(AK62,0)</f>
        <v>0</v>
      </c>
      <c r="F768" s="271">
        <f>ROUND(AK63,0)</f>
        <v>0</v>
      </c>
      <c r="G768" s="271">
        <f>ROUND(AK64,0)</f>
        <v>0</v>
      </c>
      <c r="H768" s="271">
        <f>ROUND(AK65,0)</f>
        <v>0</v>
      </c>
      <c r="I768" s="271">
        <f>ROUND(AK66,0)</f>
        <v>0</v>
      </c>
      <c r="J768" s="271">
        <f>ROUND(AK67,0)</f>
        <v>0</v>
      </c>
      <c r="K768" s="271">
        <f>ROUND(AK68,0)</f>
        <v>0</v>
      </c>
      <c r="L768" s="271">
        <f>ROUND(AK69,0)</f>
        <v>0</v>
      </c>
      <c r="M768" s="271">
        <f>ROUND(AK70,0)</f>
        <v>0</v>
      </c>
      <c r="N768" s="271">
        <f>ROUND(AK75,0)</f>
        <v>0</v>
      </c>
      <c r="O768" s="271">
        <f>ROUND(AK73,0)</f>
        <v>0</v>
      </c>
      <c r="P768" s="271">
        <f>IF(AK76&gt;0,ROUND(AK76,0),0)</f>
        <v>0</v>
      </c>
      <c r="Q768" s="271">
        <f>IF(AK77&gt;0,ROUND(AK77,0),0)</f>
        <v>0</v>
      </c>
      <c r="R768" s="271">
        <f>IF(AK78&gt;0,ROUND(AK78,0),0)</f>
        <v>0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>
        <f t="shared" si="21"/>
        <v>0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5" customHeight="1" x14ac:dyDescent="0.3">
      <c r="A769" s="207" t="str">
        <f>RIGHT($C$83,3)&amp;"*"&amp;RIGHT($C$82,4)&amp;"*"&amp;AL$55&amp;"*"&amp;"A"</f>
        <v>085*2020*7320*A</v>
      </c>
      <c r="B769" s="271">
        <f>ROUND(AL59,0)</f>
        <v>2593</v>
      </c>
      <c r="C769" s="273">
        <f>ROUND(AL60,2)</f>
        <v>0</v>
      </c>
      <c r="D769" s="271">
        <f>ROUND(AL61,0)</f>
        <v>0</v>
      </c>
      <c r="E769" s="271">
        <f>ROUND(AL62,0)</f>
        <v>0</v>
      </c>
      <c r="F769" s="271">
        <f>ROUND(AL63,0)</f>
        <v>0</v>
      </c>
      <c r="G769" s="271">
        <f>ROUND(AL64,0)</f>
        <v>0</v>
      </c>
      <c r="H769" s="271">
        <f>ROUND(AL65,0)</f>
        <v>0</v>
      </c>
      <c r="I769" s="271">
        <f>ROUND(AL66,0)</f>
        <v>0</v>
      </c>
      <c r="J769" s="271">
        <f>ROUND(AL67,0)</f>
        <v>0</v>
      </c>
      <c r="K769" s="271">
        <f>ROUND(AL68,0)</f>
        <v>0</v>
      </c>
      <c r="L769" s="271">
        <f>ROUND(AL69,0)</f>
        <v>0</v>
      </c>
      <c r="M769" s="271">
        <f>ROUND(AL70,0)</f>
        <v>0</v>
      </c>
      <c r="N769" s="271">
        <f>ROUND(AL75,0)</f>
        <v>0</v>
      </c>
      <c r="O769" s="271">
        <f>ROUND(AL73,0)</f>
        <v>0</v>
      </c>
      <c r="P769" s="271">
        <f>IF(AL76&gt;0,ROUND(AL76,0),0)</f>
        <v>0</v>
      </c>
      <c r="Q769" s="271">
        <f>IF(AL77&gt;0,ROUND(AL77,0),0)</f>
        <v>0</v>
      </c>
      <c r="R769" s="271">
        <f>IF(AL78&gt;0,ROUND(AL78,0),0)</f>
        <v>0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>
        <f t="shared" si="21"/>
        <v>0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5" customHeight="1" x14ac:dyDescent="0.3">
      <c r="A770" s="207" t="str">
        <f>RIGHT($C$83,3)&amp;"*"&amp;RIGHT($C$82,4)&amp;"*"&amp;AM$55&amp;"*"&amp;"A"</f>
        <v>085*2020*7330*A</v>
      </c>
      <c r="B770" s="271">
        <f>ROUND(AM59,0)</f>
        <v>0</v>
      </c>
      <c r="C770" s="273">
        <f>ROUND(AM60,2)</f>
        <v>0</v>
      </c>
      <c r="D770" s="271">
        <f>ROUND(AM61,0)</f>
        <v>0</v>
      </c>
      <c r="E770" s="271">
        <f>ROUND(AM62,0)</f>
        <v>0</v>
      </c>
      <c r="F770" s="271">
        <f>ROUND(AM63,0)</f>
        <v>0</v>
      </c>
      <c r="G770" s="271">
        <f>ROUND(AM64,0)</f>
        <v>0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0</v>
      </c>
      <c r="M770" s="271">
        <f>ROUND(AM70,0)</f>
        <v>0</v>
      </c>
      <c r="N770" s="271">
        <f>ROUND(AM75,0)</f>
        <v>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0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>
        <f t="shared" si="21"/>
        <v>0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5" customHeight="1" x14ac:dyDescent="0.3">
      <c r="A771" s="207" t="str">
        <f>RIGHT($C$83,3)&amp;"*"&amp;RIGHT($C$82,4)&amp;"*"&amp;AN$55&amp;"*"&amp;"A"</f>
        <v>085*2020*7340*A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>
        <f t="shared" si="21"/>
        <v>0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5" customHeight="1" x14ac:dyDescent="0.3">
      <c r="A772" s="207" t="str">
        <f>RIGHT($C$83,3)&amp;"*"&amp;RIGHT($C$82,4)&amp;"*"&amp;AO$55&amp;"*"&amp;"A"</f>
        <v>085*2020*7350*A</v>
      </c>
      <c r="B772" s="271">
        <f>ROUND(AO59,0)</f>
        <v>0</v>
      </c>
      <c r="C772" s="273">
        <f>ROUND(AO60,2)</f>
        <v>0</v>
      </c>
      <c r="D772" s="271">
        <f>ROUND(AO61,0)</f>
        <v>0</v>
      </c>
      <c r="E772" s="271">
        <f>ROUND(AO62,0)</f>
        <v>0</v>
      </c>
      <c r="F772" s="271">
        <f>ROUND(AO63,0)</f>
        <v>0</v>
      </c>
      <c r="G772" s="271">
        <f>ROUND(AO64,0)</f>
        <v>0</v>
      </c>
      <c r="H772" s="271">
        <f>ROUND(AO65,0)</f>
        <v>0</v>
      </c>
      <c r="I772" s="271">
        <f>ROUND(AO66,0)</f>
        <v>0</v>
      </c>
      <c r="J772" s="271">
        <f>ROUND(AO67,0)</f>
        <v>0</v>
      </c>
      <c r="K772" s="271">
        <f>ROUND(AO68,0)</f>
        <v>0</v>
      </c>
      <c r="L772" s="271">
        <f>ROUND(AO69,0)</f>
        <v>0</v>
      </c>
      <c r="M772" s="271">
        <f>ROUND(AO70,0)</f>
        <v>0</v>
      </c>
      <c r="N772" s="271">
        <f>ROUND(AO75,0)</f>
        <v>0</v>
      </c>
      <c r="O772" s="271">
        <f>ROUND(AO73,0)</f>
        <v>0</v>
      </c>
      <c r="P772" s="271">
        <f>IF(AO76&gt;0,ROUND(AO76,0),0)</f>
        <v>0</v>
      </c>
      <c r="Q772" s="271">
        <f>IF(AO77&gt;0,ROUND(AO77,0),0)</f>
        <v>0</v>
      </c>
      <c r="R772" s="271">
        <f>IF(AO78&gt;0,ROUND(AO78,0),0)</f>
        <v>0</v>
      </c>
      <c r="S772" s="271">
        <f>IF(AO79&gt;0,ROUND(AO79,0),0)</f>
        <v>0</v>
      </c>
      <c r="T772" s="273">
        <f>IF(AO80&gt;0,ROUND(AO80,2),0)</f>
        <v>0</v>
      </c>
      <c r="U772" s="271"/>
      <c r="V772" s="272"/>
      <c r="W772" s="271"/>
      <c r="X772" s="271"/>
      <c r="Y772" s="271">
        <f t="shared" si="21"/>
        <v>0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5" customHeight="1" x14ac:dyDescent="0.3">
      <c r="A773" s="207" t="str">
        <f>RIGHT($C$83,3)&amp;"*"&amp;RIGHT($C$82,4)&amp;"*"&amp;AP$55&amp;"*"&amp;"A"</f>
        <v>085*2020*7380*A</v>
      </c>
      <c r="B773" s="271">
        <f>ROUND(AP59,0)</f>
        <v>0</v>
      </c>
      <c r="C773" s="273">
        <f>ROUND(AP60,2)</f>
        <v>0</v>
      </c>
      <c r="D773" s="271">
        <f>ROUND(AP61,0)</f>
        <v>0</v>
      </c>
      <c r="E773" s="271">
        <f>ROUND(AP62,0)</f>
        <v>0</v>
      </c>
      <c r="F773" s="271">
        <f>ROUND(AP63,0)</f>
        <v>0</v>
      </c>
      <c r="G773" s="271">
        <f>ROUND(AP64,0)</f>
        <v>0</v>
      </c>
      <c r="H773" s="271">
        <f>ROUND(AP65,0)</f>
        <v>0</v>
      </c>
      <c r="I773" s="271">
        <f>ROUND(AP66,0)</f>
        <v>0</v>
      </c>
      <c r="J773" s="271">
        <f>ROUND(AP67,0)</f>
        <v>0</v>
      </c>
      <c r="K773" s="271">
        <f>ROUND(AP68,0)</f>
        <v>0</v>
      </c>
      <c r="L773" s="271">
        <f>ROUND(AP69,0)</f>
        <v>0</v>
      </c>
      <c r="M773" s="271">
        <f>ROUND(AP70,0)</f>
        <v>0</v>
      </c>
      <c r="N773" s="271">
        <f>ROUND(AP75,0)</f>
        <v>0</v>
      </c>
      <c r="O773" s="271">
        <f>ROUND(AP73,0)</f>
        <v>0</v>
      </c>
      <c r="P773" s="271">
        <f>IF(AP76&gt;0,ROUND(AP76,0),0)</f>
        <v>0</v>
      </c>
      <c r="Q773" s="271">
        <f>IF(AP77&gt;0,ROUND(AP77,0),0)</f>
        <v>0</v>
      </c>
      <c r="R773" s="271">
        <f>IF(AP78&gt;0,ROUND(AP78,0),0)</f>
        <v>0</v>
      </c>
      <c r="S773" s="271">
        <f>IF(AP79&gt;0,ROUND(AP79,0),0)</f>
        <v>0</v>
      </c>
      <c r="T773" s="273">
        <f>IF(AP80&gt;0,ROUND(AP80,2),0)</f>
        <v>0</v>
      </c>
      <c r="U773" s="271"/>
      <c r="V773" s="272"/>
      <c r="W773" s="271"/>
      <c r="X773" s="271"/>
      <c r="Y773" s="271">
        <f t="shared" si="21"/>
        <v>0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5" customHeight="1" x14ac:dyDescent="0.3">
      <c r="A774" s="207" t="str">
        <f>RIGHT($C$83,3)&amp;"*"&amp;RIGHT($C$82,4)&amp;"*"&amp;AQ$55&amp;"*"&amp;"A"</f>
        <v>085*2020*7390*A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>
        <f t="shared" si="21"/>
        <v>0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5" customHeight="1" x14ac:dyDescent="0.3">
      <c r="A775" s="207" t="str">
        <f>RIGHT($C$83,3)&amp;"*"&amp;RIGHT($C$82,4)&amp;"*"&amp;AR$55&amp;"*"&amp;"A"</f>
        <v>085*2020*7400*A</v>
      </c>
      <c r="B775" s="271">
        <f>ROUND(AR59,0)</f>
        <v>9751</v>
      </c>
      <c r="C775" s="273">
        <f>ROUND(AR60,2)</f>
        <v>34.97</v>
      </c>
      <c r="D775" s="271">
        <f>ROUND(AR61,0)</f>
        <v>3012236</v>
      </c>
      <c r="E775" s="271">
        <f>ROUND(AR62,0)</f>
        <v>679796</v>
      </c>
      <c r="F775" s="271">
        <f>ROUND(AR63,0)</f>
        <v>-40000</v>
      </c>
      <c r="G775" s="271">
        <f>ROUND(AR64,0)</f>
        <v>135613</v>
      </c>
      <c r="H775" s="271">
        <f>ROUND(AR65,0)</f>
        <v>4650</v>
      </c>
      <c r="I775" s="271">
        <f>ROUND(AR66,0)</f>
        <v>269649</v>
      </c>
      <c r="J775" s="271">
        <f>ROUND(AR67,0)</f>
        <v>84182</v>
      </c>
      <c r="K775" s="271">
        <f>ROUND(AR68,0)</f>
        <v>111607</v>
      </c>
      <c r="L775" s="271">
        <f>ROUND(AR69,0)</f>
        <v>135247</v>
      </c>
      <c r="M775" s="271">
        <f>ROUND(AR70,0)</f>
        <v>0</v>
      </c>
      <c r="N775" s="271">
        <f>ROUND(AR75,0)</f>
        <v>6399431</v>
      </c>
      <c r="O775" s="271">
        <f>ROUND(AR73,0)</f>
        <v>0</v>
      </c>
      <c r="P775" s="271">
        <f>IF(AR76&gt;0,ROUND(AR76,0),0)</f>
        <v>3737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13.74</v>
      </c>
      <c r="U775" s="271"/>
      <c r="V775" s="272"/>
      <c r="W775" s="271"/>
      <c r="X775" s="271"/>
      <c r="Y775" s="271">
        <f t="shared" si="21"/>
        <v>1043556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5" customHeight="1" x14ac:dyDescent="0.3">
      <c r="A776" s="207" t="str">
        <f>RIGHT($C$83,3)&amp;"*"&amp;RIGHT($C$82,4)&amp;"*"&amp;AS$55&amp;"*"&amp;"A"</f>
        <v>085*2020*7410*A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>
        <f t="shared" si="21"/>
        <v>0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5" customHeight="1" x14ac:dyDescent="0.3">
      <c r="A777" s="207" t="str">
        <f>RIGHT($C$83,3)&amp;"*"&amp;RIGHT($C$82,4)&amp;"*"&amp;AT$55&amp;"*"&amp;"A"</f>
        <v>085*2020*7420*A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>
        <f t="shared" si="21"/>
        <v>0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5" customHeight="1" x14ac:dyDescent="0.3">
      <c r="A778" s="207" t="str">
        <f>RIGHT($C$83,3)&amp;"*"&amp;RIGHT($C$82,4)&amp;"*"&amp;AU$55&amp;"*"&amp;"A"</f>
        <v>085*2020*7430*A</v>
      </c>
      <c r="B778" s="271">
        <f>ROUND(AU59,0)</f>
        <v>0</v>
      </c>
      <c r="C778" s="273">
        <f>ROUND(AU60,2)</f>
        <v>0</v>
      </c>
      <c r="D778" s="271">
        <f>ROUND(AU61,0)</f>
        <v>0</v>
      </c>
      <c r="E778" s="271">
        <f>ROUND(AU62,0)</f>
        <v>0</v>
      </c>
      <c r="F778" s="271">
        <f>ROUND(AU63,0)</f>
        <v>0</v>
      </c>
      <c r="G778" s="271">
        <f>ROUND(AU64,0)</f>
        <v>0</v>
      </c>
      <c r="H778" s="271">
        <f>ROUND(AU65,0)</f>
        <v>0</v>
      </c>
      <c r="I778" s="271">
        <f>ROUND(AU66,0)</f>
        <v>0</v>
      </c>
      <c r="J778" s="271">
        <f>ROUND(AU67,0)</f>
        <v>0</v>
      </c>
      <c r="K778" s="271">
        <f>ROUND(AU68,0)</f>
        <v>0</v>
      </c>
      <c r="L778" s="271">
        <f>ROUND(AU69,0)</f>
        <v>0</v>
      </c>
      <c r="M778" s="271">
        <f>ROUND(AU70,0)</f>
        <v>0</v>
      </c>
      <c r="N778" s="271">
        <f>ROUND(AU75,0)</f>
        <v>0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>
        <f t="shared" si="21"/>
        <v>0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5" customHeight="1" x14ac:dyDescent="0.3">
      <c r="A779" s="207" t="str">
        <f>RIGHT($C$83,3)&amp;"*"&amp;RIGHT($C$82,4)&amp;"*"&amp;AV$55&amp;"*"&amp;"A"</f>
        <v>085*2020*7490*A</v>
      </c>
      <c r="B779" s="271"/>
      <c r="C779" s="273">
        <f>ROUND(AV60,2)</f>
        <v>17.63</v>
      </c>
      <c r="D779" s="271">
        <f>ROUND(AV61,0)</f>
        <v>1546456</v>
      </c>
      <c r="E779" s="271">
        <f>ROUND(AV62,0)</f>
        <v>349001</v>
      </c>
      <c r="F779" s="271">
        <f>ROUND(AV63,0)</f>
        <v>337523</v>
      </c>
      <c r="G779" s="271">
        <f>ROUND(AV64,0)</f>
        <v>82235</v>
      </c>
      <c r="H779" s="271">
        <f>ROUND(AV65,0)</f>
        <v>35</v>
      </c>
      <c r="I779" s="271">
        <f>ROUND(AV66,0)</f>
        <v>4456</v>
      </c>
      <c r="J779" s="271">
        <f>ROUND(AV67,0)</f>
        <v>104296</v>
      </c>
      <c r="K779" s="271">
        <f>ROUND(AV68,0)</f>
        <v>0</v>
      </c>
      <c r="L779" s="271">
        <f>ROUND(AV69,0)</f>
        <v>18952</v>
      </c>
      <c r="M779" s="271">
        <f>ROUND(AV70,0)</f>
        <v>24282</v>
      </c>
      <c r="N779" s="271">
        <f>ROUND(AV75,0)</f>
        <v>8783570</v>
      </c>
      <c r="O779" s="271">
        <f>ROUND(AV73,0)</f>
        <v>419573</v>
      </c>
      <c r="P779" s="271">
        <f>IF(AV76&gt;0,ROUND(AV76,0),0)</f>
        <v>4630</v>
      </c>
      <c r="Q779" s="271">
        <f>IF(AV77&gt;0,ROUND(AV77,0),0)</f>
        <v>0</v>
      </c>
      <c r="R779" s="271">
        <f>IF(AV78&gt;0,ROUND(AV78,0),0)</f>
        <v>1690</v>
      </c>
      <c r="S779" s="271">
        <f>IF(AV79&gt;0,ROUND(AV79,0),0)</f>
        <v>32331</v>
      </c>
      <c r="T779" s="273">
        <f>IF(AV80&gt;0,ROUND(AV80,2),0)</f>
        <v>3.89</v>
      </c>
      <c r="U779" s="271"/>
      <c r="V779" s="272"/>
      <c r="W779" s="271"/>
      <c r="X779" s="271"/>
      <c r="Y779" s="271">
        <f t="shared" si="21"/>
        <v>911284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5" customHeight="1" x14ac:dyDescent="0.3">
      <c r="A780" s="207" t="str">
        <f>RIGHT($C$83,3)&amp;"*"&amp;RIGHT($C$82,4)&amp;"*"&amp;AW$55&amp;"*"&amp;"A"</f>
        <v>085*2020*8200*A</v>
      </c>
      <c r="B780" s="271"/>
      <c r="C780" s="273">
        <f>ROUND(AW60,2)</f>
        <v>0</v>
      </c>
      <c r="D780" s="271">
        <f>ROUND(AW61,0)</f>
        <v>0</v>
      </c>
      <c r="E780" s="271">
        <f>ROUND(AW62,0)</f>
        <v>0</v>
      </c>
      <c r="F780" s="271">
        <f>ROUND(AW63,0)</f>
        <v>0</v>
      </c>
      <c r="G780" s="271">
        <f>ROUND(AW64,0)</f>
        <v>0</v>
      </c>
      <c r="H780" s="271">
        <f>ROUND(AW65,0)</f>
        <v>0</v>
      </c>
      <c r="I780" s="271">
        <f>ROUND(AW66,0)</f>
        <v>0</v>
      </c>
      <c r="J780" s="271">
        <f>ROUND(AW67,0)</f>
        <v>0</v>
      </c>
      <c r="K780" s="271">
        <f>ROUND(AW68,0)</f>
        <v>0</v>
      </c>
      <c r="L780" s="271">
        <f>ROUND(AW69,0)</f>
        <v>0</v>
      </c>
      <c r="M780" s="271">
        <f>ROUND(AW70,0)</f>
        <v>0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5" customHeight="1" x14ac:dyDescent="0.3">
      <c r="A781" s="207" t="str">
        <f>RIGHT($C$83,3)&amp;"*"&amp;RIGHT($C$82,4)&amp;"*"&amp;AX$55&amp;"*"&amp;"A"</f>
        <v>085*2020*8310*A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0</v>
      </c>
      <c r="H781" s="271">
        <f>ROUND(AX65,0)</f>
        <v>0</v>
      </c>
      <c r="I781" s="271">
        <f>ROUND(AX66,0)</f>
        <v>0</v>
      </c>
      <c r="J781" s="271">
        <f>ROUND(AX67,0)</f>
        <v>0</v>
      </c>
      <c r="K781" s="271">
        <f>ROUND(AX68,0)</f>
        <v>0</v>
      </c>
      <c r="L781" s="271">
        <f>ROUND(AX69,0)</f>
        <v>0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5" customHeight="1" x14ac:dyDescent="0.3">
      <c r="A782" s="207" t="str">
        <f>RIGHT($C$83,3)&amp;"*"&amp;RIGHT($C$82,4)&amp;"*"&amp;AY$55&amp;"*"&amp;"A"</f>
        <v>085*2020*8320*A</v>
      </c>
      <c r="B782" s="271">
        <f>ROUND(AY59,0)</f>
        <v>12819</v>
      </c>
      <c r="C782" s="273">
        <f>ROUND(AY60,2)</f>
        <v>16.07</v>
      </c>
      <c r="D782" s="271">
        <f>ROUND(AY61,0)</f>
        <v>784265</v>
      </c>
      <c r="E782" s="271">
        <f>ROUND(AY62,0)</f>
        <v>176992</v>
      </c>
      <c r="F782" s="271">
        <f>ROUND(AY63,0)</f>
        <v>0</v>
      </c>
      <c r="G782" s="271">
        <f>ROUND(AY64,0)</f>
        <v>348048</v>
      </c>
      <c r="H782" s="271">
        <f>ROUND(AY65,0)</f>
        <v>309</v>
      </c>
      <c r="I782" s="271">
        <f>ROUND(AY66,0)</f>
        <v>24247</v>
      </c>
      <c r="J782" s="271">
        <f>ROUND(AY67,0)</f>
        <v>87589</v>
      </c>
      <c r="K782" s="271">
        <f>ROUND(AY68,0)</f>
        <v>1652</v>
      </c>
      <c r="L782" s="271">
        <f>ROUND(AY69,0)</f>
        <v>6522</v>
      </c>
      <c r="M782" s="271">
        <f>ROUND(AY70,0)</f>
        <v>600075</v>
      </c>
      <c r="N782" s="271"/>
      <c r="O782" s="271"/>
      <c r="P782" s="271">
        <f>IF(AY76&gt;0,ROUND(AY76,0),0)</f>
        <v>3888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5" customHeight="1" x14ac:dyDescent="0.3">
      <c r="A783" s="207" t="str">
        <f>RIGHT($C$83,3)&amp;"*"&amp;RIGHT($C$82,4)&amp;"*"&amp;AZ$55&amp;"*"&amp;"A"</f>
        <v>085*2020*8330*A</v>
      </c>
      <c r="B783" s="271">
        <f>ROUND(AZ59,0)</f>
        <v>0</v>
      </c>
      <c r="C783" s="273">
        <f>ROUND(AZ60,2)</f>
        <v>0</v>
      </c>
      <c r="D783" s="271">
        <f>ROUND(AZ61,0)</f>
        <v>0</v>
      </c>
      <c r="E783" s="271">
        <f>ROUND(AZ62,0)</f>
        <v>0</v>
      </c>
      <c r="F783" s="271">
        <f>ROUND(AZ63,0)</f>
        <v>0</v>
      </c>
      <c r="G783" s="271">
        <f>ROUND(AZ64,0)</f>
        <v>0</v>
      </c>
      <c r="H783" s="271">
        <f>ROUND(AZ65,0)</f>
        <v>0</v>
      </c>
      <c r="I783" s="271">
        <f>ROUND(AZ66,0)</f>
        <v>0</v>
      </c>
      <c r="J783" s="271">
        <f>ROUND(AZ67,0)</f>
        <v>0</v>
      </c>
      <c r="K783" s="271">
        <f>ROUND(AZ68,0)</f>
        <v>0</v>
      </c>
      <c r="L783" s="271">
        <f>ROUND(AZ69,0)</f>
        <v>0</v>
      </c>
      <c r="M783" s="271">
        <f>ROUND(AZ70,0)</f>
        <v>0</v>
      </c>
      <c r="N783" s="271"/>
      <c r="O783" s="271"/>
      <c r="P783" s="271">
        <f>IF(AZ76&gt;0,ROUND(AZ76,0),0)</f>
        <v>0</v>
      </c>
      <c r="Q783" s="271">
        <f>IF(AZ77&gt;0,ROUND(AZ77,0),0)</f>
        <v>0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5" customHeight="1" x14ac:dyDescent="0.3">
      <c r="A784" s="207" t="str">
        <f>RIGHT($C$83,3)&amp;"*"&amp;RIGHT($C$82,4)&amp;"*"&amp;BA$55&amp;"*"&amp;"A"</f>
        <v>085*2020*8350*A</v>
      </c>
      <c r="B784" s="271">
        <f>ROUND(BA59,0)</f>
        <v>0</v>
      </c>
      <c r="C784" s="273">
        <f>ROUND(BA60,2)</f>
        <v>0</v>
      </c>
      <c r="D784" s="271">
        <f>ROUND(BA61,0)</f>
        <v>0</v>
      </c>
      <c r="E784" s="271">
        <f>ROUND(BA62,0)</f>
        <v>0</v>
      </c>
      <c r="F784" s="271">
        <f>ROUND(BA63,0)</f>
        <v>0</v>
      </c>
      <c r="G784" s="271">
        <f>ROUND(BA64,0)</f>
        <v>34743</v>
      </c>
      <c r="H784" s="271">
        <f>ROUND(BA65,0)</f>
        <v>0</v>
      </c>
      <c r="I784" s="271">
        <f>ROUND(BA66,0)</f>
        <v>281372</v>
      </c>
      <c r="J784" s="271">
        <f>ROUND(BA67,0)</f>
        <v>0</v>
      </c>
      <c r="K784" s="271">
        <f>ROUND(BA68,0)</f>
        <v>0</v>
      </c>
      <c r="L784" s="271">
        <f>ROUND(BA69,0)</f>
        <v>0</v>
      </c>
      <c r="M784" s="271">
        <f>ROUND(BA70,0)</f>
        <v>0</v>
      </c>
      <c r="N784" s="271"/>
      <c r="O784" s="271"/>
      <c r="P784" s="271">
        <f>IF(BA76&gt;0,ROUND(BA76,0),0)</f>
        <v>0</v>
      </c>
      <c r="Q784" s="271">
        <f>IF(BA77&gt;0,ROUND(BA77,0),0)</f>
        <v>0</v>
      </c>
      <c r="R784" s="271">
        <f>IF(BA78&gt;0,ROUND(BA78,0),0)</f>
        <v>2419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5" customHeight="1" x14ac:dyDescent="0.3">
      <c r="A785" s="207" t="str">
        <f>RIGHT($C$83,3)&amp;"*"&amp;RIGHT($C$82,4)&amp;"*"&amp;BB$55&amp;"*"&amp;"A"</f>
        <v>085*2020*8360*A</v>
      </c>
      <c r="B785" s="271"/>
      <c r="C785" s="273">
        <f>ROUND(BB60,2)</f>
        <v>0</v>
      </c>
      <c r="D785" s="271">
        <f>ROUND(BB61,0)</f>
        <v>0</v>
      </c>
      <c r="E785" s="271">
        <f>ROUND(BB62,0)</f>
        <v>0</v>
      </c>
      <c r="F785" s="271">
        <f>ROUND(BB63,0)</f>
        <v>0</v>
      </c>
      <c r="G785" s="271">
        <f>ROUND(BB64,0)</f>
        <v>0</v>
      </c>
      <c r="H785" s="271">
        <f>ROUND(BB65,0)</f>
        <v>0</v>
      </c>
      <c r="I785" s="271">
        <f>ROUND(BB66,0)</f>
        <v>0</v>
      </c>
      <c r="J785" s="271">
        <f>ROUND(BB67,0)</f>
        <v>1743</v>
      </c>
      <c r="K785" s="271">
        <f>ROUND(BB68,0)</f>
        <v>0</v>
      </c>
      <c r="L785" s="271">
        <f>ROUND(BB69,0)</f>
        <v>0</v>
      </c>
      <c r="M785" s="271">
        <f>ROUND(BB70,0)</f>
        <v>0</v>
      </c>
      <c r="N785" s="271"/>
      <c r="O785" s="271"/>
      <c r="P785" s="271">
        <f>IF(BB76&gt;0,ROUND(BB76,0),0)</f>
        <v>77</v>
      </c>
      <c r="Q785" s="271">
        <f>IF(BB77&gt;0,ROUND(BB77,0),0)</f>
        <v>0</v>
      </c>
      <c r="R785" s="271">
        <f>IF(BB78&gt;0,ROUND(BB78,0),0)</f>
        <v>0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5" customHeight="1" x14ac:dyDescent="0.3">
      <c r="A786" s="207" t="str">
        <f>RIGHT($C$83,3)&amp;"*"&amp;RIGHT($C$82,4)&amp;"*"&amp;BC$55&amp;"*"&amp;"A"</f>
        <v>085*2020*8370*A</v>
      </c>
      <c r="B786" s="271"/>
      <c r="C786" s="273">
        <f>ROUND(BC60,2)</f>
        <v>0</v>
      </c>
      <c r="D786" s="271">
        <f>ROUND(BC61,0)</f>
        <v>0</v>
      </c>
      <c r="E786" s="271">
        <f>ROUND(BC62,0)</f>
        <v>0</v>
      </c>
      <c r="F786" s="271">
        <f>ROUND(BC63,0)</f>
        <v>0</v>
      </c>
      <c r="G786" s="271">
        <f>ROUND(BC64,0)</f>
        <v>0</v>
      </c>
      <c r="H786" s="271">
        <f>ROUND(BC65,0)</f>
        <v>0</v>
      </c>
      <c r="I786" s="271">
        <f>ROUND(BC66,0)</f>
        <v>0</v>
      </c>
      <c r="J786" s="271">
        <f>ROUND(BC67,0)</f>
        <v>0</v>
      </c>
      <c r="K786" s="271">
        <f>ROUND(BC68,0)</f>
        <v>0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5" customHeight="1" x14ac:dyDescent="0.3">
      <c r="A787" s="207" t="str">
        <f>RIGHT($C$83,3)&amp;"*"&amp;RIGHT($C$82,4)&amp;"*"&amp;BD$55&amp;"*"&amp;"A"</f>
        <v>085*2020*8420*A</v>
      </c>
      <c r="B787" s="271"/>
      <c r="C787" s="273">
        <f>ROUND(BD60,2)</f>
        <v>7.9</v>
      </c>
      <c r="D787" s="271">
        <f>ROUND(BD61,0)</f>
        <v>490643</v>
      </c>
      <c r="E787" s="271">
        <f>ROUND(BD62,0)</f>
        <v>110727</v>
      </c>
      <c r="F787" s="271">
        <f>ROUND(BD63,0)</f>
        <v>0</v>
      </c>
      <c r="G787" s="271">
        <f>ROUND(BD64,0)</f>
        <v>66954</v>
      </c>
      <c r="H787" s="271">
        <f>ROUND(BD65,0)</f>
        <v>2658</v>
      </c>
      <c r="I787" s="271">
        <f>ROUND(BD66,0)</f>
        <v>453</v>
      </c>
      <c r="J787" s="271">
        <f>ROUND(BD67,0)</f>
        <v>54845</v>
      </c>
      <c r="K787" s="271">
        <f>ROUND(BD68,0)</f>
        <v>38731</v>
      </c>
      <c r="L787" s="271">
        <f>ROUND(BD69,0)</f>
        <v>42311</v>
      </c>
      <c r="M787" s="271">
        <f>ROUND(BD70,0)</f>
        <v>0</v>
      </c>
      <c r="N787" s="271"/>
      <c r="O787" s="271"/>
      <c r="P787" s="271">
        <f>IF(BD76&gt;0,ROUND(BD76,0),0)</f>
        <v>2435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5" customHeight="1" x14ac:dyDescent="0.3">
      <c r="A788" s="207" t="str">
        <f>RIGHT($C$83,3)&amp;"*"&amp;RIGHT($C$82,4)&amp;"*"&amp;BE$55&amp;"*"&amp;"A"</f>
        <v>085*2020*8430*A</v>
      </c>
      <c r="B788" s="271">
        <f>ROUND(BE59,0)</f>
        <v>211271</v>
      </c>
      <c r="C788" s="273">
        <f>ROUND(BE60,2)</f>
        <v>17.260000000000002</v>
      </c>
      <c r="D788" s="271">
        <f>ROUND(BE61,0)</f>
        <v>1186674</v>
      </c>
      <c r="E788" s="271">
        <f>ROUND(BE62,0)</f>
        <v>267807</v>
      </c>
      <c r="F788" s="271">
        <f>ROUND(BE63,0)</f>
        <v>3303</v>
      </c>
      <c r="G788" s="271">
        <f>ROUND(BE64,0)</f>
        <v>193629</v>
      </c>
      <c r="H788" s="271">
        <f>ROUND(BE65,0)</f>
        <v>750653</v>
      </c>
      <c r="I788" s="271">
        <f>ROUND(BE66,0)</f>
        <v>320634</v>
      </c>
      <c r="J788" s="271">
        <f>ROUND(BE67,0)</f>
        <v>269687</v>
      </c>
      <c r="K788" s="271">
        <f>ROUND(BE68,0)</f>
        <v>21269</v>
      </c>
      <c r="L788" s="271">
        <f>ROUND(BE69,0)</f>
        <v>143695</v>
      </c>
      <c r="M788" s="271">
        <f>ROUND(BE70,0)</f>
        <v>0</v>
      </c>
      <c r="N788" s="271"/>
      <c r="O788" s="271"/>
      <c r="P788" s="271">
        <f>IF(BE76&gt;0,ROUND(BE76,0),0)</f>
        <v>11972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5" customHeight="1" x14ac:dyDescent="0.3">
      <c r="A789" s="207" t="str">
        <f>RIGHT($C$83,3)&amp;"*"&amp;RIGHT($C$82,4)&amp;"*"&amp;BF$55&amp;"*"&amp;"A"</f>
        <v>085*2020*8460*A</v>
      </c>
      <c r="B789" s="271"/>
      <c r="C789" s="273">
        <f>ROUND(BF60,2)</f>
        <v>23.28</v>
      </c>
      <c r="D789" s="271">
        <f>ROUND(BF61,0)</f>
        <v>999364</v>
      </c>
      <c r="E789" s="271">
        <f>ROUND(BF62,0)</f>
        <v>225535</v>
      </c>
      <c r="F789" s="271">
        <f>ROUND(BF63,0)</f>
        <v>0</v>
      </c>
      <c r="G789" s="271">
        <f>ROUND(BF64,0)</f>
        <v>191368</v>
      </c>
      <c r="H789" s="271">
        <f>ROUND(BF65,0)</f>
        <v>0</v>
      </c>
      <c r="I789" s="271">
        <f>ROUND(BF66,0)</f>
        <v>32086</v>
      </c>
      <c r="J789" s="271">
        <f>ROUND(BF67,0)</f>
        <v>70259</v>
      </c>
      <c r="K789" s="271">
        <f>ROUND(BF68,0)</f>
        <v>0</v>
      </c>
      <c r="L789" s="271">
        <f>ROUND(BF69,0)</f>
        <v>2478</v>
      </c>
      <c r="M789" s="271">
        <f>ROUND(BF70,0)</f>
        <v>0</v>
      </c>
      <c r="N789" s="271"/>
      <c r="O789" s="271"/>
      <c r="P789" s="271">
        <f>IF(BF76&gt;0,ROUND(BF76,0),0)</f>
        <v>3119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5" customHeight="1" x14ac:dyDescent="0.3">
      <c r="A790" s="207" t="str">
        <f>RIGHT($C$83,3)&amp;"*"&amp;RIGHT($C$82,4)&amp;"*"&amp;BG$55&amp;"*"&amp;"A"</f>
        <v>085*2020*8470*A</v>
      </c>
      <c r="B790" s="271"/>
      <c r="C790" s="273">
        <f>ROUND(BG60,2)</f>
        <v>0</v>
      </c>
      <c r="D790" s="271">
        <f>ROUND(BG61,0)</f>
        <v>0</v>
      </c>
      <c r="E790" s="271">
        <f>ROUND(BG62,0)</f>
        <v>0</v>
      </c>
      <c r="F790" s="271">
        <f>ROUND(BG63,0)</f>
        <v>0</v>
      </c>
      <c r="G790" s="271">
        <f>ROUND(BG64,0)</f>
        <v>42791</v>
      </c>
      <c r="H790" s="271">
        <f>ROUND(BG65,0)</f>
        <v>255798</v>
      </c>
      <c r="I790" s="271">
        <f>ROUND(BG66,0)</f>
        <v>-12067</v>
      </c>
      <c r="J790" s="271">
        <f>ROUND(BG67,0)</f>
        <v>0</v>
      </c>
      <c r="K790" s="271">
        <f>ROUND(BG68,0)</f>
        <v>0</v>
      </c>
      <c r="L790" s="271">
        <f>ROUND(BG69,0)</f>
        <v>23004</v>
      </c>
      <c r="M790" s="271">
        <f>ROUND(BG70,0)</f>
        <v>0</v>
      </c>
      <c r="N790" s="271"/>
      <c r="O790" s="271"/>
      <c r="P790" s="271">
        <f>IF(BG76&gt;0,ROUND(BG76,0),0)</f>
        <v>0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5" customHeight="1" x14ac:dyDescent="0.3">
      <c r="A791" s="207" t="str">
        <f>RIGHT($C$83,3)&amp;"*"&amp;RIGHT($C$82,4)&amp;"*"&amp;BH$55&amp;"*"&amp;"A"</f>
        <v>085*2020*8480*A</v>
      </c>
      <c r="B791" s="271"/>
      <c r="C791" s="273">
        <f>ROUND(BH60,2)</f>
        <v>16.46</v>
      </c>
      <c r="D791" s="271">
        <f>ROUND(BH61,0)</f>
        <v>1453492</v>
      </c>
      <c r="E791" s="271">
        <f>ROUND(BH62,0)</f>
        <v>328022</v>
      </c>
      <c r="F791" s="271">
        <f>ROUND(BH63,0)</f>
        <v>0</v>
      </c>
      <c r="G791" s="271">
        <f>ROUND(BH64,0)</f>
        <v>618718</v>
      </c>
      <c r="H791" s="271">
        <f>ROUND(BH65,0)</f>
        <v>772</v>
      </c>
      <c r="I791" s="271">
        <f>ROUND(BH66,0)</f>
        <v>1681661</v>
      </c>
      <c r="J791" s="271">
        <f>ROUND(BH67,0)</f>
        <v>93774</v>
      </c>
      <c r="K791" s="271">
        <f>ROUND(BH68,0)</f>
        <v>0</v>
      </c>
      <c r="L791" s="271">
        <f>ROUND(BH69,0)</f>
        <v>288736</v>
      </c>
      <c r="M791" s="271">
        <f>ROUND(BH70,0)</f>
        <v>0</v>
      </c>
      <c r="N791" s="271"/>
      <c r="O791" s="271"/>
      <c r="P791" s="271">
        <f>IF(BH76&gt;0,ROUND(BH76,0),0)</f>
        <v>4163</v>
      </c>
      <c r="Q791" s="271">
        <f>IF(BH77&gt;0,ROUND(BH77,0),0)</f>
        <v>0</v>
      </c>
      <c r="R791" s="271">
        <f>IF(BH78&gt;0,ROUND(BH78,0),0)</f>
        <v>0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5" customHeight="1" x14ac:dyDescent="0.3">
      <c r="A792" s="207" t="str">
        <f>RIGHT($C$83,3)&amp;"*"&amp;RIGHT($C$82,4)&amp;"*"&amp;BI$55&amp;"*"&amp;"A"</f>
        <v>085*2020*8490*A</v>
      </c>
      <c r="B792" s="271"/>
      <c r="C792" s="273">
        <f>ROUND(BI60,2)</f>
        <v>0</v>
      </c>
      <c r="D792" s="271">
        <f>ROUND(BI61,0)</f>
        <v>0</v>
      </c>
      <c r="E792" s="271">
        <f>ROUND(BI62,0)</f>
        <v>0</v>
      </c>
      <c r="F792" s="271">
        <f>ROUND(BI63,0)</f>
        <v>0</v>
      </c>
      <c r="G792" s="271">
        <f>ROUND(BI64,0)</f>
        <v>0</v>
      </c>
      <c r="H792" s="271">
        <f>ROUND(BI65,0)</f>
        <v>0</v>
      </c>
      <c r="I792" s="271">
        <f>ROUND(BI66,0)</f>
        <v>0</v>
      </c>
      <c r="J792" s="271">
        <f>ROUND(BI67,0)</f>
        <v>0</v>
      </c>
      <c r="K792" s="271">
        <f>ROUND(BI68,0)</f>
        <v>0</v>
      </c>
      <c r="L792" s="271">
        <f>ROUND(BI69,0)</f>
        <v>0</v>
      </c>
      <c r="M792" s="271">
        <f>ROUND(BI70,0)</f>
        <v>0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82283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5" customHeight="1" x14ac:dyDescent="0.3">
      <c r="A793" s="207" t="str">
        <f>RIGHT($C$83,3)&amp;"*"&amp;RIGHT($C$82,4)&amp;"*"&amp;BJ$55&amp;"*"&amp;"A"</f>
        <v>085*2020*8510*A</v>
      </c>
      <c r="B793" s="271"/>
      <c r="C793" s="273">
        <f>ROUND(BJ60,2)</f>
        <v>6.52</v>
      </c>
      <c r="D793" s="271">
        <f>ROUND(BJ61,0)</f>
        <v>726309</v>
      </c>
      <c r="E793" s="271">
        <f>ROUND(BJ62,0)</f>
        <v>163912</v>
      </c>
      <c r="F793" s="271">
        <f>ROUND(BJ63,0)</f>
        <v>104853</v>
      </c>
      <c r="G793" s="271">
        <f>ROUND(BJ64,0)</f>
        <v>8332</v>
      </c>
      <c r="H793" s="271">
        <f>ROUND(BJ65,0)</f>
        <v>417</v>
      </c>
      <c r="I793" s="271">
        <f>ROUND(BJ66,0)</f>
        <v>70881</v>
      </c>
      <c r="J793" s="271">
        <f>ROUND(BJ67,0)</f>
        <v>24414</v>
      </c>
      <c r="K793" s="271">
        <f>ROUND(BJ68,0)</f>
        <v>2923</v>
      </c>
      <c r="L793" s="271">
        <f>ROUND(BJ69,0)</f>
        <v>120967</v>
      </c>
      <c r="M793" s="271">
        <f>ROUND(BJ70,0)</f>
        <v>0</v>
      </c>
      <c r="N793" s="271"/>
      <c r="O793" s="271"/>
      <c r="P793" s="271">
        <f>IF(BJ76&gt;0,ROUND(BJ76,0),0)</f>
        <v>1084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5" customHeight="1" x14ac:dyDescent="0.3">
      <c r="A794" s="207" t="str">
        <f>RIGHT($C$83,3)&amp;"*"&amp;RIGHT($C$82,4)&amp;"*"&amp;BK$55&amp;"*"&amp;"A"</f>
        <v>085*2020*8530*A</v>
      </c>
      <c r="B794" s="271"/>
      <c r="C794" s="273">
        <f>ROUND(BK60,2)</f>
        <v>14.03</v>
      </c>
      <c r="D794" s="271">
        <f>ROUND(BK61,0)</f>
        <v>921558</v>
      </c>
      <c r="E794" s="271">
        <f>ROUND(BK62,0)</f>
        <v>207976</v>
      </c>
      <c r="F794" s="271">
        <f>ROUND(BK63,0)</f>
        <v>14223</v>
      </c>
      <c r="G794" s="271">
        <f>ROUND(BK64,0)</f>
        <v>12471</v>
      </c>
      <c r="H794" s="271">
        <f>ROUND(BK65,0)</f>
        <v>5158</v>
      </c>
      <c r="I794" s="271">
        <f>ROUND(BK66,0)</f>
        <v>488393</v>
      </c>
      <c r="J794" s="271">
        <f>ROUND(BK67,0)</f>
        <v>85518</v>
      </c>
      <c r="K794" s="271">
        <f>ROUND(BK68,0)</f>
        <v>20929</v>
      </c>
      <c r="L794" s="271">
        <f>ROUND(BK69,0)</f>
        <v>1897</v>
      </c>
      <c r="M794" s="271">
        <f>ROUND(BK70,0)</f>
        <v>0</v>
      </c>
      <c r="N794" s="271"/>
      <c r="O794" s="271"/>
      <c r="P794" s="271">
        <f>IF(BK76&gt;0,ROUND(BK76,0),0)</f>
        <v>3797</v>
      </c>
      <c r="Q794" s="271">
        <f>IF(BK77&gt;0,ROUND(BK77,0),0)</f>
        <v>0</v>
      </c>
      <c r="R794" s="271">
        <f>IF(BK78&gt;0,ROUND(BK78,0),0)</f>
        <v>0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5" customHeight="1" x14ac:dyDescent="0.3">
      <c r="A795" s="207" t="str">
        <f>RIGHT($C$83,3)&amp;"*"&amp;RIGHT($C$82,4)&amp;"*"&amp;BL$55&amp;"*"&amp;"A"</f>
        <v>085*2020*8560*A</v>
      </c>
      <c r="B795" s="271"/>
      <c r="C795" s="273">
        <f>ROUND(BL60,2)</f>
        <v>14.13</v>
      </c>
      <c r="D795" s="271">
        <f>ROUND(BL61,0)</f>
        <v>657098</v>
      </c>
      <c r="E795" s="271">
        <f>ROUND(BL62,0)</f>
        <v>148293</v>
      </c>
      <c r="F795" s="271">
        <f>ROUND(BL63,0)</f>
        <v>0</v>
      </c>
      <c r="G795" s="271">
        <f>ROUND(BL64,0)</f>
        <v>15478</v>
      </c>
      <c r="H795" s="271">
        <f>ROUND(BL65,0)</f>
        <v>0</v>
      </c>
      <c r="I795" s="271">
        <f>ROUND(BL66,0)</f>
        <v>25277</v>
      </c>
      <c r="J795" s="271">
        <f>ROUND(BL67,0)</f>
        <v>44623</v>
      </c>
      <c r="K795" s="271">
        <f>ROUND(BL68,0)</f>
        <v>0</v>
      </c>
      <c r="L795" s="271">
        <f>ROUND(BL69,0)</f>
        <v>506</v>
      </c>
      <c r="M795" s="271">
        <f>ROUND(BL70,0)</f>
        <v>0</v>
      </c>
      <c r="N795" s="271"/>
      <c r="O795" s="271"/>
      <c r="P795" s="271">
        <f>IF(BL76&gt;0,ROUND(BL76,0),0)</f>
        <v>1981</v>
      </c>
      <c r="Q795" s="271">
        <f>IF(BL77&gt;0,ROUND(BL77,0),0)</f>
        <v>0</v>
      </c>
      <c r="R795" s="271">
        <f>IF(BL78&gt;0,ROUND(BL78,0),0)</f>
        <v>0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5" customHeight="1" x14ac:dyDescent="0.3">
      <c r="A796" s="207" t="str">
        <f>RIGHT($C$83,3)&amp;"*"&amp;RIGHT($C$82,4)&amp;"*"&amp;BM$55&amp;"*"&amp;"A"</f>
        <v>085*2020*8590*A</v>
      </c>
      <c r="B796" s="271"/>
      <c r="C796" s="273">
        <f>ROUND(BM60,2)</f>
        <v>4.6500000000000004</v>
      </c>
      <c r="D796" s="271">
        <f>ROUND(BM61,0)</f>
        <v>310547</v>
      </c>
      <c r="E796" s="271">
        <f>ROUND(BM62,0)</f>
        <v>70084</v>
      </c>
      <c r="F796" s="271">
        <f>ROUND(BM63,0)</f>
        <v>0</v>
      </c>
      <c r="G796" s="271">
        <f>ROUND(BM64,0)</f>
        <v>3652</v>
      </c>
      <c r="H796" s="271">
        <f>ROUND(BM65,0)</f>
        <v>0</v>
      </c>
      <c r="I796" s="271">
        <f>ROUND(BM66,0)</f>
        <v>32486</v>
      </c>
      <c r="J796" s="271">
        <f>ROUND(BM67,0)</f>
        <v>8244</v>
      </c>
      <c r="K796" s="271">
        <f>ROUND(BM68,0)</f>
        <v>0</v>
      </c>
      <c r="L796" s="271">
        <f>ROUND(BM69,0)</f>
        <v>5466</v>
      </c>
      <c r="M796" s="271">
        <f>ROUND(BM70,0)</f>
        <v>0</v>
      </c>
      <c r="N796" s="271"/>
      <c r="O796" s="271"/>
      <c r="P796" s="271">
        <f>IF(BM76&gt;0,ROUND(BM76,0),0)</f>
        <v>366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5" customHeight="1" x14ac:dyDescent="0.3">
      <c r="A797" s="207" t="str">
        <f>RIGHT($C$83,3)&amp;"*"&amp;RIGHT($C$82,4)&amp;"*"&amp;BN$55&amp;"*"&amp;"A"</f>
        <v>085*2020*8610*A</v>
      </c>
      <c r="B797" s="271"/>
      <c r="C797" s="273">
        <f>ROUND(BN60,2)</f>
        <v>20.47</v>
      </c>
      <c r="D797" s="271">
        <f>ROUND(BN61,0)</f>
        <v>2086880</v>
      </c>
      <c r="E797" s="271">
        <f>ROUND(BN62,0)</f>
        <v>470963</v>
      </c>
      <c r="F797" s="271">
        <f>ROUND(BN63,0)</f>
        <v>79651</v>
      </c>
      <c r="G797" s="271">
        <f>ROUND(BN64,0)</f>
        <v>943179</v>
      </c>
      <c r="H797" s="271">
        <f>ROUND(BN65,0)</f>
        <v>5622</v>
      </c>
      <c r="I797" s="271">
        <f>ROUND(BN66,0)</f>
        <v>101993</v>
      </c>
      <c r="J797" s="271">
        <f>ROUND(BN67,0)</f>
        <v>253766</v>
      </c>
      <c r="K797" s="271">
        <f>ROUND(BN68,0)</f>
        <v>106037</v>
      </c>
      <c r="L797" s="271">
        <f>ROUND(BN69,0)</f>
        <v>93130</v>
      </c>
      <c r="M797" s="271">
        <f>ROUND(BN70,0)</f>
        <v>0</v>
      </c>
      <c r="N797" s="271"/>
      <c r="O797" s="271"/>
      <c r="P797" s="271">
        <f>IF(BN76&gt;0,ROUND(BN76,0),0)</f>
        <v>11266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5" customHeight="1" x14ac:dyDescent="0.3">
      <c r="A798" s="207" t="str">
        <f>RIGHT($C$83,3)&amp;"*"&amp;RIGHT($C$82,4)&amp;"*"&amp;BO$55&amp;"*"&amp;"A"</f>
        <v>085*2020*8620*A</v>
      </c>
      <c r="B798" s="271"/>
      <c r="C798" s="273">
        <f>ROUND(BO60,2)</f>
        <v>0.41</v>
      </c>
      <c r="D798" s="271">
        <f>ROUND(BO61,0)</f>
        <v>35241</v>
      </c>
      <c r="E798" s="271">
        <f>ROUND(BO62,0)</f>
        <v>7953</v>
      </c>
      <c r="F798" s="271">
        <f>ROUND(BO63,0)</f>
        <v>0</v>
      </c>
      <c r="G798" s="271">
        <f>ROUND(BO64,0)</f>
        <v>36929</v>
      </c>
      <c r="H798" s="271">
        <f>ROUND(BO65,0)</f>
        <v>0</v>
      </c>
      <c r="I798" s="271">
        <f>ROUND(BO66,0)</f>
        <v>4908</v>
      </c>
      <c r="J798" s="271">
        <f>ROUND(BO67,0)</f>
        <v>5474</v>
      </c>
      <c r="K798" s="271">
        <f>ROUND(BO68,0)</f>
        <v>0</v>
      </c>
      <c r="L798" s="271">
        <f>ROUND(BO69,0)</f>
        <v>357</v>
      </c>
      <c r="M798" s="271">
        <f>ROUND(BO70,0)</f>
        <v>0</v>
      </c>
      <c r="N798" s="271"/>
      <c r="O798" s="271"/>
      <c r="P798" s="271">
        <f>IF(BO76&gt;0,ROUND(BO76,0),0)</f>
        <v>243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5" customHeight="1" x14ac:dyDescent="0.3">
      <c r="A799" s="207" t="str">
        <f>RIGHT($C$83,3)&amp;"*"&amp;RIGHT($C$82,4)&amp;"*"&amp;BP$55&amp;"*"&amp;"A"</f>
        <v>085*2020*8630*A</v>
      </c>
      <c r="B799" s="271"/>
      <c r="C799" s="273">
        <f>ROUND(BP60,2)</f>
        <v>1</v>
      </c>
      <c r="D799" s="271">
        <f>ROUND(BP61,0)</f>
        <v>100207</v>
      </c>
      <c r="E799" s="271">
        <f>ROUND(BP62,0)</f>
        <v>22615</v>
      </c>
      <c r="F799" s="271">
        <f>ROUND(BP63,0)</f>
        <v>0</v>
      </c>
      <c r="G799" s="271">
        <f>ROUND(BP64,0)</f>
        <v>4997</v>
      </c>
      <c r="H799" s="271">
        <f>ROUND(BP65,0)</f>
        <v>0</v>
      </c>
      <c r="I799" s="271">
        <f>ROUND(BP66,0)</f>
        <v>87607</v>
      </c>
      <c r="J799" s="271">
        <f>ROUND(BP67,0)</f>
        <v>6508</v>
      </c>
      <c r="K799" s="271">
        <f>ROUND(BP68,0)</f>
        <v>0</v>
      </c>
      <c r="L799" s="271">
        <f>ROUND(BP69,0)</f>
        <v>141201</v>
      </c>
      <c r="M799" s="271">
        <f>ROUND(BP70,0)</f>
        <v>0</v>
      </c>
      <c r="N799" s="271"/>
      <c r="O799" s="271"/>
      <c r="P799" s="271">
        <f>IF(BP76&gt;0,ROUND(BP76,0),0)</f>
        <v>289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5" customHeight="1" x14ac:dyDescent="0.3">
      <c r="A800" s="207" t="str">
        <f>RIGHT($C$83,3)&amp;"*"&amp;RIGHT($C$82,4)&amp;"*"&amp;BQ$55&amp;"*"&amp;"A"</f>
        <v>085*2020*8640*A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5" customHeight="1" x14ac:dyDescent="0.3">
      <c r="A801" s="207" t="str">
        <f>RIGHT($C$83,3)&amp;"*"&amp;RIGHT($C$82,4)&amp;"*"&amp;BR$55&amp;"*"&amp;"A"</f>
        <v>085*2020*8650*A</v>
      </c>
      <c r="B801" s="271"/>
      <c r="C801" s="273">
        <f>ROUND(BR60,2)</f>
        <v>8.52</v>
      </c>
      <c r="D801" s="271">
        <f>ROUND(BR61,0)</f>
        <v>818831</v>
      </c>
      <c r="E801" s="271">
        <f>ROUND(BR62,0)</f>
        <v>184792</v>
      </c>
      <c r="F801" s="271">
        <f>ROUND(BR63,0)</f>
        <v>24175</v>
      </c>
      <c r="G801" s="271">
        <f>ROUND(BR64,0)</f>
        <v>14552</v>
      </c>
      <c r="H801" s="271">
        <f>ROUND(BR65,0)</f>
        <v>4247</v>
      </c>
      <c r="I801" s="271">
        <f>ROUND(BR66,0)</f>
        <v>48099</v>
      </c>
      <c r="J801" s="271">
        <f>ROUND(BR67,0)</f>
        <v>36014</v>
      </c>
      <c r="K801" s="271">
        <f>ROUND(BR68,0)</f>
        <v>0</v>
      </c>
      <c r="L801" s="271">
        <f>ROUND(BR69,0)</f>
        <v>114898</v>
      </c>
      <c r="M801" s="271">
        <f>ROUND(BR70,0)</f>
        <v>0</v>
      </c>
      <c r="N801" s="271"/>
      <c r="O801" s="271"/>
      <c r="P801" s="271">
        <f>IF(BR76&gt;0,ROUND(BR76,0),0)</f>
        <v>1599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5" customHeight="1" x14ac:dyDescent="0.3">
      <c r="A802" s="207" t="str">
        <f>RIGHT($C$83,3)&amp;"*"&amp;RIGHT($C$82,4)&amp;"*"&amp;BS$55&amp;"*"&amp;"A"</f>
        <v>085*2020*8660*A</v>
      </c>
      <c r="B802" s="271"/>
      <c r="C802" s="273">
        <f>ROUND(BS60,2)</f>
        <v>0.75</v>
      </c>
      <c r="D802" s="271">
        <f>ROUND(BS61,0)</f>
        <v>82931</v>
      </c>
      <c r="E802" s="271">
        <f>ROUND(BS62,0)</f>
        <v>18716</v>
      </c>
      <c r="F802" s="271">
        <f>ROUND(BS63,0)</f>
        <v>0</v>
      </c>
      <c r="G802" s="271">
        <f>ROUND(BS64,0)</f>
        <v>1612</v>
      </c>
      <c r="H802" s="271">
        <f>ROUND(BS65,0)</f>
        <v>0</v>
      </c>
      <c r="I802" s="271">
        <f>ROUND(BS66,0)</f>
        <v>44</v>
      </c>
      <c r="J802" s="271">
        <f>ROUND(BS67,0)</f>
        <v>11979</v>
      </c>
      <c r="K802" s="271">
        <f>ROUND(BS68,0)</f>
        <v>0</v>
      </c>
      <c r="L802" s="271">
        <f>ROUND(BS69,0)</f>
        <v>0</v>
      </c>
      <c r="M802" s="271">
        <f>ROUND(BS70,0)</f>
        <v>0</v>
      </c>
      <c r="N802" s="271"/>
      <c r="O802" s="271"/>
      <c r="P802" s="271">
        <f>IF(BS76&gt;0,ROUND(BS76,0),0)</f>
        <v>532</v>
      </c>
      <c r="Q802" s="271">
        <f>IF(BS77&gt;0,ROUND(BS77,0),0)</f>
        <v>0</v>
      </c>
      <c r="R802" s="271">
        <f>IF(BS78&gt;0,ROUND(BS78,0),0)</f>
        <v>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5" customHeight="1" x14ac:dyDescent="0.3">
      <c r="A803" s="207" t="str">
        <f>RIGHT($C$83,3)&amp;"*"&amp;RIGHT($C$82,4)&amp;"*"&amp;BT$55&amp;"*"&amp;"A"</f>
        <v>085*2020*8670*A</v>
      </c>
      <c r="B803" s="271"/>
      <c r="C803" s="273">
        <f>ROUND(BT60,2)</f>
        <v>0</v>
      </c>
      <c r="D803" s="271">
        <f>ROUND(BT61,0)</f>
        <v>0</v>
      </c>
      <c r="E803" s="271">
        <f>ROUND(BT62,0)</f>
        <v>0</v>
      </c>
      <c r="F803" s="271">
        <f>ROUND(BT63,0)</f>
        <v>0</v>
      </c>
      <c r="G803" s="271">
        <f>ROUND(BT64,0)</f>
        <v>0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0</v>
      </c>
      <c r="M803" s="271">
        <f>ROUND(BT70,0)</f>
        <v>0</v>
      </c>
      <c r="N803" s="271"/>
      <c r="O803" s="271"/>
      <c r="P803" s="271">
        <f>IF(BT76&gt;0,ROUND(BT76,0),0)</f>
        <v>0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5" customHeight="1" x14ac:dyDescent="0.3">
      <c r="A804" s="207" t="str">
        <f>RIGHT($C$83,3)&amp;"*"&amp;RIGHT($C$82,4)&amp;"*"&amp;BU$55&amp;"*"&amp;"A"</f>
        <v>085*2020*8680*A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0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0</v>
      </c>
      <c r="Q804" s="271">
        <f>IF(BU77&gt;0,ROUND(BU77,0),0)</f>
        <v>0</v>
      </c>
      <c r="R804" s="271">
        <f>IF(BU78&gt;0,ROUND(BU78,0),0)</f>
        <v>0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5" customHeight="1" x14ac:dyDescent="0.3">
      <c r="A805" s="207" t="str">
        <f>RIGHT($C$83,3)&amp;"*"&amp;RIGHT($C$82,4)&amp;"*"&amp;BV$55&amp;"*"&amp;"A"</f>
        <v>085*2020*8690*A</v>
      </c>
      <c r="B805" s="271"/>
      <c r="C805" s="273">
        <f>ROUND(BV60,2)</f>
        <v>12.63</v>
      </c>
      <c r="D805" s="271">
        <f>ROUND(BV61,0)</f>
        <v>648675</v>
      </c>
      <c r="E805" s="271">
        <f>ROUND(BV62,0)</f>
        <v>146392</v>
      </c>
      <c r="F805" s="271">
        <f>ROUND(BV63,0)</f>
        <v>0</v>
      </c>
      <c r="G805" s="271">
        <f>ROUND(BV64,0)</f>
        <v>10422</v>
      </c>
      <c r="H805" s="271">
        <f>ROUND(BV65,0)</f>
        <v>11300</v>
      </c>
      <c r="I805" s="271">
        <f>ROUND(BV66,0)</f>
        <v>48777</v>
      </c>
      <c r="J805" s="271">
        <f>ROUND(BV67,0)</f>
        <v>19102</v>
      </c>
      <c r="K805" s="271">
        <f>ROUND(BV68,0)</f>
        <v>20928</v>
      </c>
      <c r="L805" s="271">
        <f>ROUND(BV69,0)</f>
        <v>997</v>
      </c>
      <c r="M805" s="271">
        <f>ROUND(BV70,0)</f>
        <v>0</v>
      </c>
      <c r="N805" s="271"/>
      <c r="O805" s="271"/>
      <c r="P805" s="271">
        <f>IF(BV76&gt;0,ROUND(BV76,0),0)</f>
        <v>848</v>
      </c>
      <c r="Q805" s="271">
        <f>IF(BV77&gt;0,ROUND(BV77,0),0)</f>
        <v>0</v>
      </c>
      <c r="R805" s="271">
        <f>IF(BV78&gt;0,ROUND(BV78,0),0)</f>
        <v>0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5" customHeight="1" x14ac:dyDescent="0.3">
      <c r="A806" s="207" t="str">
        <f>RIGHT($C$83,3)&amp;"*"&amp;RIGHT($C$82,4)&amp;"*"&amp;BW$55&amp;"*"&amp;"A"</f>
        <v>085*2020*8700*A</v>
      </c>
      <c r="B806" s="271"/>
      <c r="C806" s="273">
        <f>ROUND(BW60,2)</f>
        <v>1.64</v>
      </c>
      <c r="D806" s="271">
        <f>ROUND(BW61,0)</f>
        <v>548179</v>
      </c>
      <c r="E806" s="271">
        <f>ROUND(BW62,0)</f>
        <v>123712</v>
      </c>
      <c r="F806" s="271">
        <f>ROUND(BW63,0)</f>
        <v>3865</v>
      </c>
      <c r="G806" s="271">
        <f>ROUND(BW64,0)</f>
        <v>10425</v>
      </c>
      <c r="H806" s="271">
        <f>ROUND(BW65,0)</f>
        <v>33</v>
      </c>
      <c r="I806" s="271">
        <f>ROUND(BW66,0)</f>
        <v>58313</v>
      </c>
      <c r="J806" s="271">
        <f>ROUND(BW67,0)</f>
        <v>8808</v>
      </c>
      <c r="K806" s="271">
        <f>ROUND(BW68,0)</f>
        <v>0</v>
      </c>
      <c r="L806" s="271">
        <f>ROUND(BW69,0)</f>
        <v>15237</v>
      </c>
      <c r="M806" s="271">
        <f>ROUND(BW70,0)</f>
        <v>0</v>
      </c>
      <c r="N806" s="271"/>
      <c r="O806" s="271"/>
      <c r="P806" s="271">
        <f>IF(BW76&gt;0,ROUND(BW76,0),0)</f>
        <v>391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5" customHeight="1" x14ac:dyDescent="0.3">
      <c r="A807" s="207" t="str">
        <f>RIGHT($C$83,3)&amp;"*"&amp;RIGHT($C$82,4)&amp;"*"&amp;BX$55&amp;"*"&amp;"A"</f>
        <v>085*2020*8710*A</v>
      </c>
      <c r="B807" s="271"/>
      <c r="C807" s="273">
        <f>ROUND(BX60,2)</f>
        <v>6.02</v>
      </c>
      <c r="D807" s="271">
        <f>ROUND(BX61,0)</f>
        <v>528564</v>
      </c>
      <c r="E807" s="271">
        <f>ROUND(BX62,0)</f>
        <v>119285</v>
      </c>
      <c r="F807" s="271">
        <f>ROUND(BX63,0)</f>
        <v>0</v>
      </c>
      <c r="G807" s="271">
        <f>ROUND(BX64,0)</f>
        <v>3707</v>
      </c>
      <c r="H807" s="271">
        <f>ROUND(BX65,0)</f>
        <v>0</v>
      </c>
      <c r="I807" s="271">
        <f>ROUND(BX66,0)</f>
        <v>3548</v>
      </c>
      <c r="J807" s="271">
        <f>ROUND(BX67,0)</f>
        <v>8114</v>
      </c>
      <c r="K807" s="271">
        <f>ROUND(BX68,0)</f>
        <v>0</v>
      </c>
      <c r="L807" s="271">
        <f>ROUND(BX69,0)</f>
        <v>874</v>
      </c>
      <c r="M807" s="271">
        <f>ROUND(BX70,0)</f>
        <v>0</v>
      </c>
      <c r="N807" s="271"/>
      <c r="O807" s="271"/>
      <c r="P807" s="271">
        <f>IF(BX76&gt;0,ROUND(BX76,0),0)</f>
        <v>360</v>
      </c>
      <c r="Q807" s="271">
        <f>IF(BX77&gt;0,ROUND(BX77,0),0)</f>
        <v>0</v>
      </c>
      <c r="R807" s="271">
        <f>IF(BX78&gt;0,ROUND(BX78,0),0)</f>
        <v>0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5" customHeight="1" x14ac:dyDescent="0.3">
      <c r="A808" s="207" t="str">
        <f>RIGHT($C$83,3)&amp;"*"&amp;RIGHT($C$82,4)&amp;"*"&amp;BY$55&amp;"*"&amp;"A"</f>
        <v>085*2020*8720*A</v>
      </c>
      <c r="B808" s="271"/>
      <c r="C808" s="273">
        <f>ROUND(BY60,2)</f>
        <v>8.5</v>
      </c>
      <c r="D808" s="271">
        <f>ROUND(BY61,0)</f>
        <v>1116417</v>
      </c>
      <c r="E808" s="271">
        <f>ROUND(BY62,0)</f>
        <v>251951</v>
      </c>
      <c r="F808" s="271">
        <f>ROUND(BY63,0)</f>
        <v>65</v>
      </c>
      <c r="G808" s="271">
        <f>ROUND(BY64,0)</f>
        <v>20940</v>
      </c>
      <c r="H808" s="271">
        <f>ROUND(BY65,0)</f>
        <v>2239</v>
      </c>
      <c r="I808" s="271">
        <f>ROUND(BY66,0)</f>
        <v>147023</v>
      </c>
      <c r="J808" s="271">
        <f>ROUND(BY67,0)</f>
        <v>20391</v>
      </c>
      <c r="K808" s="271">
        <f>ROUND(BY68,0)</f>
        <v>0</v>
      </c>
      <c r="L808" s="271">
        <f>ROUND(BY69,0)</f>
        <v>18755</v>
      </c>
      <c r="M808" s="271">
        <f>ROUND(BY70,0)</f>
        <v>0</v>
      </c>
      <c r="N808" s="271"/>
      <c r="O808" s="271"/>
      <c r="P808" s="271">
        <f>IF(BY76&gt;0,ROUND(BY76,0),0)</f>
        <v>905</v>
      </c>
      <c r="Q808" s="271">
        <f>IF(BY77&gt;0,ROUND(BY77,0),0)</f>
        <v>0</v>
      </c>
      <c r="R808" s="271">
        <f>IF(BY78&gt;0,ROUND(BY78,0),0)</f>
        <v>0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5" customHeight="1" x14ac:dyDescent="0.3">
      <c r="A809" s="207" t="str">
        <f>RIGHT($C$83,3)&amp;"*"&amp;RIGHT($C$82,4)&amp;"*"&amp;BZ$55&amp;"*"&amp;"A"</f>
        <v>085*2020*8730*A</v>
      </c>
      <c r="B809" s="271"/>
      <c r="C809" s="273">
        <f>ROUND(BZ60,2)</f>
        <v>0</v>
      </c>
      <c r="D809" s="271">
        <f>ROUND(BZ61,0)</f>
        <v>0</v>
      </c>
      <c r="E809" s="271">
        <f>ROUND(BZ62,0)</f>
        <v>0</v>
      </c>
      <c r="F809" s="271">
        <f>ROUND(BZ63,0)</f>
        <v>0</v>
      </c>
      <c r="G809" s="271">
        <f>ROUND(BZ64,0)</f>
        <v>0</v>
      </c>
      <c r="H809" s="271">
        <f>ROUND(BZ65,0)</f>
        <v>0</v>
      </c>
      <c r="I809" s="271">
        <f>ROUND(BZ66,0)</f>
        <v>0</v>
      </c>
      <c r="J809" s="271">
        <f>ROUND(BZ67,0)</f>
        <v>0</v>
      </c>
      <c r="K809" s="271">
        <f>ROUND(BZ68,0)</f>
        <v>0</v>
      </c>
      <c r="L809" s="271">
        <f>ROUND(BZ69,0)</f>
        <v>0</v>
      </c>
      <c r="M809" s="271">
        <f>ROUND(BZ70,0)</f>
        <v>0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5" customHeight="1" x14ac:dyDescent="0.3">
      <c r="A810" s="207" t="str">
        <f>RIGHT($C$83,3)&amp;"*"&amp;RIGHT($C$82,4)&amp;"*"&amp;CA$55&amp;"*"&amp;"A"</f>
        <v>085*2020*8740*A</v>
      </c>
      <c r="B810" s="271"/>
      <c r="C810" s="273">
        <f>ROUND(CA60,2)</f>
        <v>0</v>
      </c>
      <c r="D810" s="271">
        <f>ROUND(CA61,0)</f>
        <v>0</v>
      </c>
      <c r="E810" s="271">
        <f>ROUND(CA62,0)</f>
        <v>0</v>
      </c>
      <c r="F810" s="271">
        <f>ROUND(CA63,0)</f>
        <v>0</v>
      </c>
      <c r="G810" s="271">
        <f>ROUND(CA64,0)</f>
        <v>0</v>
      </c>
      <c r="H810" s="271">
        <f>ROUND(CA65,0)</f>
        <v>0</v>
      </c>
      <c r="I810" s="271">
        <f>ROUND(CA66,0)</f>
        <v>0</v>
      </c>
      <c r="J810" s="271">
        <f>ROUND(CA67,0)</f>
        <v>0</v>
      </c>
      <c r="K810" s="271">
        <f>ROUND(CA68,0)</f>
        <v>0</v>
      </c>
      <c r="L810" s="271">
        <f>ROUND(CA69,0)</f>
        <v>0</v>
      </c>
      <c r="M810" s="271">
        <f>ROUND(CA70,0)</f>
        <v>0</v>
      </c>
      <c r="N810" s="271"/>
      <c r="O810" s="271"/>
      <c r="P810" s="271">
        <f>IF(CA76&gt;0,ROUND(CA76,0),0)</f>
        <v>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5" customHeight="1" x14ac:dyDescent="0.3">
      <c r="A811" s="207" t="str">
        <f>RIGHT($C$83,3)&amp;"*"&amp;RIGHT($C$82,4)&amp;"*"&amp;CB$55&amp;"*"&amp;"A"</f>
        <v>085*2020*8770*A</v>
      </c>
      <c r="B811" s="271"/>
      <c r="C811" s="273">
        <f>ROUND(CB60,2)</f>
        <v>0</v>
      </c>
      <c r="D811" s="271">
        <f>ROUND(CB61,0)</f>
        <v>18532</v>
      </c>
      <c r="E811" s="271">
        <f>ROUND(CB62,0)</f>
        <v>4182</v>
      </c>
      <c r="F811" s="271">
        <f>ROUND(CB63,0)</f>
        <v>0</v>
      </c>
      <c r="G811" s="271">
        <f>ROUND(CB64,0)</f>
        <v>564</v>
      </c>
      <c r="H811" s="271">
        <f>ROUND(CB65,0)</f>
        <v>3317</v>
      </c>
      <c r="I811" s="271">
        <f>ROUND(CB66,0)</f>
        <v>3203</v>
      </c>
      <c r="J811" s="271">
        <f>ROUND(CB67,0)</f>
        <v>36109</v>
      </c>
      <c r="K811" s="271">
        <f>ROUND(CB68,0)</f>
        <v>32927</v>
      </c>
      <c r="L811" s="271">
        <f>ROUND(CB69,0)</f>
        <v>0</v>
      </c>
      <c r="M811" s="271">
        <f>ROUND(CB70,0)</f>
        <v>6138</v>
      </c>
      <c r="N811" s="271"/>
      <c r="O811" s="271"/>
      <c r="P811" s="271">
        <f>IF(CB76&gt;0,ROUND(CB76,0),0)</f>
        <v>1603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5" customHeight="1" x14ac:dyDescent="0.3">
      <c r="A812" s="207" t="str">
        <f>RIGHT($C$83,3)&amp;"*"&amp;RIGHT($C$82,4)&amp;"*"&amp;CC$55&amp;"*"&amp;"A"</f>
        <v>085*2020*8790*A</v>
      </c>
      <c r="B812" s="271"/>
      <c r="C812" s="273">
        <f>ROUND(CC60,2)</f>
        <v>11.49</v>
      </c>
      <c r="D812" s="271">
        <f>ROUND(CC61,0)</f>
        <v>1438406</v>
      </c>
      <c r="E812" s="271">
        <f>ROUND(CC62,0)</f>
        <v>324617</v>
      </c>
      <c r="F812" s="271">
        <f>ROUND(CC63,0)</f>
        <v>70674</v>
      </c>
      <c r="G812" s="271">
        <f>ROUND(CC64,0)</f>
        <v>96724</v>
      </c>
      <c r="H812" s="271">
        <f>ROUND(CC65,0)</f>
        <v>2655</v>
      </c>
      <c r="I812" s="271">
        <f>ROUND(CC66,0)</f>
        <v>367450</v>
      </c>
      <c r="J812" s="271">
        <f>ROUND(CC67,0)</f>
        <v>77822</v>
      </c>
      <c r="K812" s="271">
        <f>ROUND(CC68,0)</f>
        <v>35135</v>
      </c>
      <c r="L812" s="271">
        <f>ROUND(CC69,0)</f>
        <v>344462</v>
      </c>
      <c r="M812" s="271">
        <f>ROUND(CC70,0)</f>
        <v>7839</v>
      </c>
      <c r="N812" s="271"/>
      <c r="O812" s="271"/>
      <c r="P812" s="271">
        <f>IF(CC76&gt;0,ROUND(CC76,0),0)</f>
        <v>3455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5" customHeight="1" x14ac:dyDescent="0.3">
      <c r="A813" s="207" t="str">
        <f>RIGHT($C$83,3)&amp;"*"&amp;RIGHT($C$82,4)&amp;"*"&amp;"9000"&amp;"*"&amp;"A"</f>
        <v>085*2020*9000*A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0</v>
      </c>
      <c r="V813" s="272">
        <f>ROUND(CD70,0)</f>
        <v>328936</v>
      </c>
      <c r="W813" s="271">
        <f>ROUND(CE72,0)</f>
        <v>484235</v>
      </c>
      <c r="X813" s="271">
        <f>ROUND(C131,0)</f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5" customHeight="1" x14ac:dyDescent="0.3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5" customHeight="1" x14ac:dyDescent="0.3">
      <c r="B815" s="275" t="s">
        <v>1004</v>
      </c>
      <c r="C815" s="276">
        <f t="shared" ref="C815:K815" si="22">SUM(C734:C813)</f>
        <v>606.50999999999988</v>
      </c>
      <c r="D815" s="272">
        <f t="shared" si="22"/>
        <v>65363392</v>
      </c>
      <c r="E815" s="272">
        <f t="shared" si="22"/>
        <v>14751096</v>
      </c>
      <c r="F815" s="272">
        <f t="shared" si="22"/>
        <v>3034303</v>
      </c>
      <c r="G815" s="272">
        <f t="shared" si="22"/>
        <v>24818051</v>
      </c>
      <c r="H815" s="272">
        <f t="shared" si="22"/>
        <v>1201686</v>
      </c>
      <c r="I815" s="272">
        <f t="shared" si="22"/>
        <v>8330773</v>
      </c>
      <c r="J815" s="272">
        <f t="shared" si="22"/>
        <v>3750571</v>
      </c>
      <c r="K815" s="272">
        <f t="shared" si="22"/>
        <v>1616221</v>
      </c>
      <c r="L815" s="272">
        <f>SUM(L734:L813)+SUM(U734:U813)</f>
        <v>2604154</v>
      </c>
      <c r="M815" s="272">
        <f>SUM(M734:M813)+SUM(V734:V813)</f>
        <v>5074779</v>
      </c>
      <c r="N815" s="272">
        <f t="shared" ref="N815:Y815" si="23">SUM(N734:N813)</f>
        <v>256166250</v>
      </c>
      <c r="O815" s="272">
        <f t="shared" si="23"/>
        <v>36422574</v>
      </c>
      <c r="P815" s="272">
        <f t="shared" si="23"/>
        <v>166504</v>
      </c>
      <c r="Q815" s="272">
        <f t="shared" si="23"/>
        <v>12819</v>
      </c>
      <c r="R815" s="272">
        <f t="shared" si="23"/>
        <v>37049</v>
      </c>
      <c r="S815" s="272">
        <f t="shared" si="23"/>
        <v>456365</v>
      </c>
      <c r="T815" s="276">
        <f t="shared" si="23"/>
        <v>111.7</v>
      </c>
      <c r="U815" s="272">
        <f t="shared" si="23"/>
        <v>0</v>
      </c>
      <c r="V815" s="272">
        <f t="shared" si="23"/>
        <v>328936</v>
      </c>
      <c r="W815" s="272">
        <f t="shared" si="23"/>
        <v>484235</v>
      </c>
      <c r="X815" s="272">
        <f t="shared" si="23"/>
        <v>0</v>
      </c>
      <c r="Y815" s="272">
        <f t="shared" si="23"/>
        <v>28097771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5" customHeight="1" x14ac:dyDescent="0.3">
      <c r="B816" s="272" t="s">
        <v>1005</v>
      </c>
      <c r="C816" s="276">
        <f>CE60</f>
        <v>606.51175641025645</v>
      </c>
      <c r="D816" s="272">
        <f>CE61</f>
        <v>65363392</v>
      </c>
      <c r="E816" s="272">
        <f>CE62</f>
        <v>14751096</v>
      </c>
      <c r="F816" s="272">
        <f>CE63</f>
        <v>3034303</v>
      </c>
      <c r="G816" s="272">
        <f>CE64</f>
        <v>24818051</v>
      </c>
      <c r="H816" s="275">
        <f>CE65</f>
        <v>1201686</v>
      </c>
      <c r="I816" s="275">
        <f>CE66</f>
        <v>8330773</v>
      </c>
      <c r="J816" s="275">
        <f>CE67</f>
        <v>3750571</v>
      </c>
      <c r="K816" s="275">
        <f>CE68</f>
        <v>1616221</v>
      </c>
      <c r="L816" s="275">
        <f>CE69</f>
        <v>2604154</v>
      </c>
      <c r="M816" s="275">
        <f>CE70</f>
        <v>5074779</v>
      </c>
      <c r="N816" s="272">
        <f>CE75</f>
        <v>256166250</v>
      </c>
      <c r="O816" s="272">
        <f>CE73</f>
        <v>36422574</v>
      </c>
      <c r="P816" s="272">
        <f>CE76</f>
        <v>166502.63999999998</v>
      </c>
      <c r="Q816" s="272">
        <f>CE77</f>
        <v>12819</v>
      </c>
      <c r="R816" s="272">
        <f>CE78</f>
        <v>37049.957447161352</v>
      </c>
      <c r="S816" s="272">
        <f>CE79</f>
        <v>456365</v>
      </c>
      <c r="T816" s="276">
        <f>CE80</f>
        <v>111.70421634615381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28097768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5" customHeight="1" x14ac:dyDescent="0.3">
      <c r="B817" s="179" t="s">
        <v>471</v>
      </c>
      <c r="C817" s="197" t="s">
        <v>1007</v>
      </c>
      <c r="D817" s="179">
        <f>C378</f>
        <v>65363392</v>
      </c>
      <c r="E817" s="179">
        <f>C379</f>
        <v>14751096</v>
      </c>
      <c r="F817" s="179">
        <f>C380</f>
        <v>3034303</v>
      </c>
      <c r="G817" s="235">
        <f>C381</f>
        <v>24818051</v>
      </c>
      <c r="H817" s="235">
        <f>C382</f>
        <v>1201686</v>
      </c>
      <c r="I817" s="235">
        <f>C383</f>
        <v>8330773</v>
      </c>
      <c r="J817" s="235">
        <f>C384</f>
        <v>4814047.3</v>
      </c>
      <c r="K817" s="235">
        <f>C385</f>
        <v>1616221</v>
      </c>
      <c r="L817" s="235">
        <f>C386+C387+C388+C389</f>
        <v>5846616.04</v>
      </c>
      <c r="M817" s="235">
        <f>C370</f>
        <v>15262648.530000001</v>
      </c>
      <c r="N817" s="179">
        <f>D361</f>
        <v>256135793</v>
      </c>
      <c r="O817" s="179">
        <f>C359</f>
        <v>36422817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94" transitionEvaluation="1" transitionEntry="1" codeName="Sheet10">
    <pageSetUpPr autoPageBreaks="0" fitToPage="1"/>
  </sheetPr>
  <dimension ref="A1:CG816"/>
  <sheetViews>
    <sheetView showGridLines="0" topLeftCell="A194" zoomScale="75" workbookViewId="0">
      <selection activeCell="C231" sqref="C231"/>
    </sheetView>
  </sheetViews>
  <sheetFormatPr defaultColWidth="11.75" defaultRowHeight="12.65" customHeight="1" x14ac:dyDescent="0.3"/>
  <cols>
    <col min="1" max="1" width="29.58203125" style="179" customWidth="1"/>
    <col min="2" max="2" width="15.58203125" style="179" customWidth="1"/>
    <col min="3" max="3" width="14.75" style="179" customWidth="1"/>
    <col min="4" max="4" width="11.33203125" style="179" customWidth="1"/>
    <col min="5" max="16384" width="11.75" style="179"/>
  </cols>
  <sheetData>
    <row r="1" spans="1:6" ht="12.75" customHeight="1" x14ac:dyDescent="0.3">
      <c r="A1" s="227" t="s">
        <v>1231</v>
      </c>
      <c r="B1" s="228"/>
      <c r="C1" s="228"/>
      <c r="D1" s="228"/>
      <c r="E1" s="228"/>
      <c r="F1" s="228"/>
    </row>
    <row r="2" spans="1:6" ht="12.75" customHeight="1" x14ac:dyDescent="0.3">
      <c r="A2" s="228" t="s">
        <v>1232</v>
      </c>
      <c r="B2" s="228"/>
      <c r="C2" s="229"/>
      <c r="D2" s="228"/>
      <c r="E2" s="228"/>
      <c r="F2" s="228"/>
    </row>
    <row r="3" spans="1:6" ht="12.75" customHeight="1" x14ac:dyDescent="0.3">
      <c r="A3" s="197"/>
      <c r="C3" s="230"/>
    </row>
    <row r="4" spans="1:6" ht="12.75" customHeight="1" x14ac:dyDescent="0.3">
      <c r="C4" s="230"/>
    </row>
    <row r="5" spans="1:6" ht="12.75" customHeight="1" x14ac:dyDescent="0.3">
      <c r="A5" s="197" t="s">
        <v>1258</v>
      </c>
      <c r="C5" s="230"/>
    </row>
    <row r="6" spans="1:6" ht="12.75" customHeight="1" x14ac:dyDescent="0.3">
      <c r="A6" s="197" t="s">
        <v>0</v>
      </c>
      <c r="C6" s="230"/>
    </row>
    <row r="7" spans="1:6" ht="12.75" customHeight="1" x14ac:dyDescent="0.3">
      <c r="A7" s="197" t="s">
        <v>1</v>
      </c>
      <c r="C7" s="230"/>
    </row>
    <row r="8" spans="1:6" ht="12.75" customHeight="1" x14ac:dyDescent="0.3">
      <c r="C8" s="230"/>
    </row>
    <row r="9" spans="1:6" ht="12.75" customHeight="1" x14ac:dyDescent="0.3">
      <c r="C9" s="230"/>
    </row>
    <row r="10" spans="1:6" ht="12.75" customHeight="1" x14ac:dyDescent="0.3">
      <c r="A10" s="196" t="s">
        <v>1228</v>
      </c>
      <c r="C10" s="230"/>
    </row>
    <row r="11" spans="1:6" ht="12.75" customHeight="1" x14ac:dyDescent="0.3">
      <c r="A11" s="196" t="s">
        <v>1230</v>
      </c>
      <c r="C11" s="230"/>
    </row>
    <row r="12" spans="1:6" ht="12.75" customHeight="1" x14ac:dyDescent="0.3">
      <c r="C12" s="230"/>
    </row>
    <row r="13" spans="1:6" ht="12.75" customHeight="1" x14ac:dyDescent="0.3">
      <c r="C13" s="230"/>
    </row>
    <row r="14" spans="1:6" ht="12.75" customHeight="1" x14ac:dyDescent="0.3">
      <c r="A14" s="197" t="s">
        <v>2</v>
      </c>
      <c r="C14" s="230"/>
    </row>
    <row r="15" spans="1:6" ht="12.75" customHeight="1" x14ac:dyDescent="0.3">
      <c r="A15" s="197"/>
      <c r="C15" s="230"/>
    </row>
    <row r="16" spans="1:6" ht="12.75" customHeight="1" x14ac:dyDescent="0.3">
      <c r="A16" s="287" t="s">
        <v>1265</v>
      </c>
      <c r="C16" s="230"/>
    </row>
    <row r="17" spans="1:7" ht="12.75" customHeight="1" x14ac:dyDescent="0.3">
      <c r="A17" s="287" t="s">
        <v>1264</v>
      </c>
      <c r="C17" s="282"/>
      <c r="F17" s="231"/>
    </row>
    <row r="18" spans="1:7" ht="12.75" customHeight="1" x14ac:dyDescent="0.3">
      <c r="A18" s="285"/>
      <c r="C18" s="230"/>
    </row>
    <row r="19" spans="1:7" ht="12.75" customHeight="1" x14ac:dyDescent="0.3">
      <c r="C19" s="230"/>
    </row>
    <row r="20" spans="1:7" ht="12.75" customHeight="1" x14ac:dyDescent="0.3">
      <c r="A20" s="268" t="s">
        <v>1233</v>
      </c>
      <c r="B20" s="268"/>
      <c r="C20" s="283"/>
      <c r="D20" s="268"/>
      <c r="E20" s="268"/>
      <c r="F20" s="268"/>
      <c r="G20" s="268"/>
    </row>
    <row r="21" spans="1:7" ht="22.5" customHeight="1" x14ac:dyDescent="0.3">
      <c r="A21" s="197"/>
      <c r="C21" s="230"/>
    </row>
    <row r="22" spans="1:7" ht="12.65" customHeight="1" x14ac:dyDescent="0.3">
      <c r="A22" s="268" t="s">
        <v>1253</v>
      </c>
      <c r="B22" s="286"/>
      <c r="C22" s="283"/>
      <c r="D22" s="268"/>
      <c r="E22" s="268"/>
      <c r="F22" s="268"/>
    </row>
    <row r="23" spans="1:7" ht="12.65" customHeight="1" x14ac:dyDescent="0.3">
      <c r="B23" s="197"/>
      <c r="C23" s="230"/>
    </row>
    <row r="24" spans="1:7" ht="12.65" customHeight="1" x14ac:dyDescent="0.3">
      <c r="A24" s="235" t="s">
        <v>3</v>
      </c>
      <c r="C24" s="230"/>
    </row>
    <row r="25" spans="1:7" ht="12.65" customHeight="1" x14ac:dyDescent="0.3">
      <c r="A25" s="196" t="s">
        <v>1234</v>
      </c>
      <c r="C25" s="230"/>
    </row>
    <row r="26" spans="1:7" ht="12.65" customHeight="1" x14ac:dyDescent="0.3">
      <c r="A26" s="197" t="s">
        <v>4</v>
      </c>
      <c r="C26" s="230"/>
    </row>
    <row r="27" spans="1:7" ht="12.65" customHeight="1" x14ac:dyDescent="0.3">
      <c r="A27" s="196" t="s">
        <v>1235</v>
      </c>
      <c r="C27" s="230"/>
    </row>
    <row r="28" spans="1:7" ht="12.65" customHeight="1" x14ac:dyDescent="0.3">
      <c r="A28" s="197" t="s">
        <v>5</v>
      </c>
      <c r="C28" s="230"/>
    </row>
    <row r="29" spans="1:7" ht="12.65" customHeight="1" x14ac:dyDescent="0.3">
      <c r="A29" s="196"/>
      <c r="C29" s="230"/>
    </row>
    <row r="30" spans="1:7" ht="12.65" customHeight="1" x14ac:dyDescent="0.3">
      <c r="A30" s="179" t="s">
        <v>6</v>
      </c>
      <c r="C30" s="230"/>
    </row>
    <row r="31" spans="1:7" ht="12.65" customHeight="1" x14ac:dyDescent="0.3">
      <c r="A31" s="197" t="s">
        <v>7</v>
      </c>
      <c r="C31" s="230"/>
    </row>
    <row r="32" spans="1:7" ht="12.65" customHeight="1" x14ac:dyDescent="0.3">
      <c r="A32" s="197" t="s">
        <v>8</v>
      </c>
      <c r="C32" s="230"/>
    </row>
    <row r="33" spans="1:85" ht="12.65" customHeight="1" x14ac:dyDescent="0.3">
      <c r="A33" s="196" t="s">
        <v>1236</v>
      </c>
      <c r="C33" s="230"/>
    </row>
    <row r="34" spans="1:85" ht="12.65" customHeight="1" x14ac:dyDescent="0.3">
      <c r="A34" s="197" t="s">
        <v>9</v>
      </c>
      <c r="C34" s="230"/>
    </row>
    <row r="35" spans="1:85" ht="12.65" customHeight="1" x14ac:dyDescent="0.3">
      <c r="A35" s="197"/>
      <c r="C35" s="230"/>
    </row>
    <row r="36" spans="1:85" ht="12.65" customHeight="1" x14ac:dyDescent="0.3">
      <c r="A36" s="196" t="s">
        <v>1237</v>
      </c>
      <c r="C36" s="230"/>
    </row>
    <row r="37" spans="1:85" ht="12.65" customHeight="1" x14ac:dyDescent="0.3">
      <c r="A37" s="197" t="s">
        <v>1229</v>
      </c>
      <c r="C37" s="230"/>
    </row>
    <row r="38" spans="1:85" ht="12" customHeight="1" x14ac:dyDescent="0.3">
      <c r="A38" s="196"/>
      <c r="C38" s="230"/>
    </row>
    <row r="39" spans="1:85" ht="12.65" customHeight="1" x14ac:dyDescent="0.3">
      <c r="A39" s="197"/>
      <c r="C39" s="230"/>
    </row>
    <row r="40" spans="1:85" ht="12" customHeight="1" x14ac:dyDescent="0.3">
      <c r="A40" s="197"/>
      <c r="C40" s="230"/>
    </row>
    <row r="41" spans="1:85" ht="12" customHeight="1" x14ac:dyDescent="0.3">
      <c r="A41" s="197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5" ht="12" customHeight="1" x14ac:dyDescent="0.3">
      <c r="A42" s="197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5" ht="12" customHeight="1" x14ac:dyDescent="0.3">
      <c r="A43" s="197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230"/>
      <c r="BQ43" s="230"/>
      <c r="BR43" s="230"/>
      <c r="BS43" s="230"/>
      <c r="BT43" s="230"/>
      <c r="BU43" s="230"/>
      <c r="BV43" s="230"/>
      <c r="BW43" s="230"/>
      <c r="BX43" s="230"/>
      <c r="BY43" s="230"/>
      <c r="BZ43" s="230"/>
      <c r="CA43" s="230"/>
      <c r="CB43" s="230"/>
      <c r="CC43" s="230"/>
      <c r="CD43" s="230"/>
    </row>
    <row r="44" spans="1:85" ht="12" customHeight="1" x14ac:dyDescent="0.3">
      <c r="A44" s="290"/>
      <c r="B44" s="290"/>
      <c r="C44" s="339">
        <v>6010</v>
      </c>
      <c r="D44" s="339">
        <v>6030</v>
      </c>
      <c r="E44" s="339">
        <v>6070</v>
      </c>
      <c r="F44" s="339">
        <v>6100</v>
      </c>
      <c r="G44" s="339">
        <v>6120</v>
      </c>
      <c r="H44" s="339">
        <v>6140</v>
      </c>
      <c r="I44" s="339">
        <v>6150</v>
      </c>
      <c r="J44" s="339">
        <v>6170</v>
      </c>
      <c r="K44" s="339">
        <v>6200</v>
      </c>
      <c r="L44" s="339">
        <v>6210</v>
      </c>
      <c r="M44" s="339">
        <v>6330</v>
      </c>
      <c r="N44" s="339">
        <v>6400</v>
      </c>
      <c r="O44" s="339">
        <v>7010</v>
      </c>
      <c r="P44" s="339">
        <v>7020</v>
      </c>
      <c r="Q44" s="339">
        <v>7030</v>
      </c>
      <c r="R44" s="339">
        <v>7040</v>
      </c>
      <c r="S44" s="339">
        <v>7050</v>
      </c>
      <c r="T44" s="339">
        <v>7060</v>
      </c>
      <c r="U44" s="339">
        <v>7070</v>
      </c>
      <c r="V44" s="339">
        <v>7110</v>
      </c>
      <c r="W44" s="339">
        <v>7120</v>
      </c>
      <c r="X44" s="339">
        <v>7130</v>
      </c>
      <c r="Y44" s="339">
        <v>7140</v>
      </c>
      <c r="Z44" s="339">
        <v>7150</v>
      </c>
      <c r="AA44" s="339">
        <v>7160</v>
      </c>
      <c r="AB44" s="339">
        <v>7170</v>
      </c>
      <c r="AC44" s="339">
        <v>7180</v>
      </c>
      <c r="AD44" s="339">
        <v>7190</v>
      </c>
      <c r="AE44" s="339">
        <v>7200</v>
      </c>
      <c r="AF44" s="339">
        <v>7220</v>
      </c>
      <c r="AG44" s="339">
        <v>7230</v>
      </c>
      <c r="AH44" s="339">
        <v>7240</v>
      </c>
      <c r="AI44" s="339">
        <v>7250</v>
      </c>
      <c r="AJ44" s="339">
        <v>7260</v>
      </c>
      <c r="AK44" s="339">
        <v>7310</v>
      </c>
      <c r="AL44" s="339">
        <v>7320</v>
      </c>
      <c r="AM44" s="339">
        <v>7330</v>
      </c>
      <c r="AN44" s="339">
        <v>7340</v>
      </c>
      <c r="AO44" s="339">
        <v>7350</v>
      </c>
      <c r="AP44" s="339">
        <v>7380</v>
      </c>
      <c r="AQ44" s="339">
        <v>7390</v>
      </c>
      <c r="AR44" s="339">
        <v>7400</v>
      </c>
      <c r="AS44" s="339">
        <v>7410</v>
      </c>
      <c r="AT44" s="339">
        <v>7420</v>
      </c>
      <c r="AU44" s="339">
        <v>7430</v>
      </c>
      <c r="AV44" s="339">
        <v>7490</v>
      </c>
      <c r="AW44" s="339">
        <v>8200</v>
      </c>
      <c r="AX44" s="339">
        <v>8310</v>
      </c>
      <c r="AY44" s="339">
        <v>8320</v>
      </c>
      <c r="AZ44" s="339">
        <v>8330</v>
      </c>
      <c r="BA44" s="339">
        <v>8350</v>
      </c>
      <c r="BB44" s="339">
        <v>8360</v>
      </c>
      <c r="BC44" s="339">
        <v>8370</v>
      </c>
      <c r="BD44" s="339">
        <v>8420</v>
      </c>
      <c r="BE44" s="339">
        <v>8430</v>
      </c>
      <c r="BF44" s="339">
        <v>8460</v>
      </c>
      <c r="BG44" s="339">
        <v>8470</v>
      </c>
      <c r="BH44" s="339">
        <v>8480</v>
      </c>
      <c r="BI44" s="339">
        <v>8490</v>
      </c>
      <c r="BJ44" s="339">
        <v>8510</v>
      </c>
      <c r="BK44" s="339">
        <v>8530</v>
      </c>
      <c r="BL44" s="339">
        <v>8560</v>
      </c>
      <c r="BM44" s="339">
        <v>8590</v>
      </c>
      <c r="BN44" s="339">
        <v>8610</v>
      </c>
      <c r="BO44" s="339">
        <v>8620</v>
      </c>
      <c r="BP44" s="339">
        <v>8630</v>
      </c>
      <c r="BQ44" s="339">
        <v>8640</v>
      </c>
      <c r="BR44" s="339">
        <v>8650</v>
      </c>
      <c r="BS44" s="339">
        <v>8660</v>
      </c>
      <c r="BT44" s="339">
        <v>8670</v>
      </c>
      <c r="BU44" s="339">
        <v>8680</v>
      </c>
      <c r="BV44" s="339">
        <v>8690</v>
      </c>
      <c r="BW44" s="339">
        <v>8700</v>
      </c>
      <c r="BX44" s="339">
        <v>8710</v>
      </c>
      <c r="BY44" s="339">
        <v>8720</v>
      </c>
      <c r="BZ44" s="339">
        <v>8730</v>
      </c>
      <c r="CA44" s="339">
        <v>8740</v>
      </c>
      <c r="CB44" s="339">
        <v>8770</v>
      </c>
      <c r="CC44" s="339">
        <v>8790</v>
      </c>
      <c r="CD44" s="292" t="s">
        <v>89</v>
      </c>
      <c r="CE44" s="339">
        <v>9999</v>
      </c>
      <c r="CF44" s="2"/>
      <c r="CG44" s="2"/>
    </row>
    <row r="45" spans="1:85" ht="12" customHeight="1" x14ac:dyDescent="0.3">
      <c r="A45" s="290"/>
      <c r="B45" s="293" t="s">
        <v>91</v>
      </c>
      <c r="C45" s="291" t="s">
        <v>92</v>
      </c>
      <c r="D45" s="292" t="s">
        <v>93</v>
      </c>
      <c r="E45" s="292" t="s">
        <v>94</v>
      </c>
      <c r="F45" s="292" t="s">
        <v>95</v>
      </c>
      <c r="G45" s="292" t="s">
        <v>96</v>
      </c>
      <c r="H45" s="292" t="s">
        <v>97</v>
      </c>
      <c r="I45" s="292" t="s">
        <v>98</v>
      </c>
      <c r="J45" s="292" t="s">
        <v>99</v>
      </c>
      <c r="K45" s="292" t="s">
        <v>100</v>
      </c>
      <c r="L45" s="292" t="s">
        <v>101</v>
      </c>
      <c r="M45" s="292" t="s">
        <v>102</v>
      </c>
      <c r="N45" s="292" t="s">
        <v>103</v>
      </c>
      <c r="O45" s="292" t="s">
        <v>104</v>
      </c>
      <c r="P45" s="292" t="s">
        <v>105</v>
      </c>
      <c r="Q45" s="292" t="s">
        <v>106</v>
      </c>
      <c r="R45" s="292" t="s">
        <v>107</v>
      </c>
      <c r="S45" s="292" t="s">
        <v>108</v>
      </c>
      <c r="T45" s="292" t="s">
        <v>1194</v>
      </c>
      <c r="U45" s="292" t="s">
        <v>109</v>
      </c>
      <c r="V45" s="292" t="s">
        <v>110</v>
      </c>
      <c r="W45" s="292" t="s">
        <v>111</v>
      </c>
      <c r="X45" s="292" t="s">
        <v>112</v>
      </c>
      <c r="Y45" s="292" t="s">
        <v>113</v>
      </c>
      <c r="Z45" s="292" t="s">
        <v>113</v>
      </c>
      <c r="AA45" s="292" t="s">
        <v>114</v>
      </c>
      <c r="AB45" s="292" t="s">
        <v>115</v>
      </c>
      <c r="AC45" s="292" t="s">
        <v>116</v>
      </c>
      <c r="AD45" s="292" t="s">
        <v>117</v>
      </c>
      <c r="AE45" s="292" t="s">
        <v>96</v>
      </c>
      <c r="AF45" s="292" t="s">
        <v>97</v>
      </c>
      <c r="AG45" s="292" t="s">
        <v>118</v>
      </c>
      <c r="AH45" s="292" t="s">
        <v>119</v>
      </c>
      <c r="AI45" s="292" t="s">
        <v>120</v>
      </c>
      <c r="AJ45" s="292" t="s">
        <v>121</v>
      </c>
      <c r="AK45" s="292" t="s">
        <v>122</v>
      </c>
      <c r="AL45" s="292" t="s">
        <v>123</v>
      </c>
      <c r="AM45" s="292" t="s">
        <v>124</v>
      </c>
      <c r="AN45" s="292" t="s">
        <v>110</v>
      </c>
      <c r="AO45" s="292" t="s">
        <v>125</v>
      </c>
      <c r="AP45" s="292" t="s">
        <v>126</v>
      </c>
      <c r="AQ45" s="292" t="s">
        <v>127</v>
      </c>
      <c r="AR45" s="292" t="s">
        <v>128</v>
      </c>
      <c r="AS45" s="292" t="s">
        <v>129</v>
      </c>
      <c r="AT45" s="292" t="s">
        <v>130</v>
      </c>
      <c r="AU45" s="292" t="s">
        <v>131</v>
      </c>
      <c r="AV45" s="292" t="s">
        <v>132</v>
      </c>
      <c r="AW45" s="292" t="s">
        <v>133</v>
      </c>
      <c r="AX45" s="292" t="s">
        <v>134</v>
      </c>
      <c r="AY45" s="292" t="s">
        <v>135</v>
      </c>
      <c r="AZ45" s="292" t="s">
        <v>136</v>
      </c>
      <c r="BA45" s="292" t="s">
        <v>137</v>
      </c>
      <c r="BB45" s="292" t="s">
        <v>138</v>
      </c>
      <c r="BC45" s="292" t="s">
        <v>108</v>
      </c>
      <c r="BD45" s="292" t="s">
        <v>139</v>
      </c>
      <c r="BE45" s="292" t="s">
        <v>140</v>
      </c>
      <c r="BF45" s="292" t="s">
        <v>141</v>
      </c>
      <c r="BG45" s="292" t="s">
        <v>142</v>
      </c>
      <c r="BH45" s="292" t="s">
        <v>143</v>
      </c>
      <c r="BI45" s="292" t="s">
        <v>144</v>
      </c>
      <c r="BJ45" s="292" t="s">
        <v>145</v>
      </c>
      <c r="BK45" s="292" t="s">
        <v>146</v>
      </c>
      <c r="BL45" s="292" t="s">
        <v>147</v>
      </c>
      <c r="BM45" s="292" t="s">
        <v>132</v>
      </c>
      <c r="BN45" s="292" t="s">
        <v>148</v>
      </c>
      <c r="BO45" s="292" t="s">
        <v>149</v>
      </c>
      <c r="BP45" s="292" t="s">
        <v>150</v>
      </c>
      <c r="BQ45" s="292" t="s">
        <v>151</v>
      </c>
      <c r="BR45" s="292" t="s">
        <v>152</v>
      </c>
      <c r="BS45" s="292" t="s">
        <v>153</v>
      </c>
      <c r="BT45" s="292" t="s">
        <v>154</v>
      </c>
      <c r="BU45" s="292" t="s">
        <v>155</v>
      </c>
      <c r="BV45" s="292" t="s">
        <v>155</v>
      </c>
      <c r="BW45" s="292" t="s">
        <v>155</v>
      </c>
      <c r="BX45" s="292" t="s">
        <v>156</v>
      </c>
      <c r="BY45" s="292" t="s">
        <v>157</v>
      </c>
      <c r="BZ45" s="292" t="s">
        <v>158</v>
      </c>
      <c r="CA45" s="292" t="s">
        <v>159</v>
      </c>
      <c r="CB45" s="292" t="s">
        <v>160</v>
      </c>
      <c r="CC45" s="292" t="s">
        <v>132</v>
      </c>
      <c r="CD45" s="292"/>
      <c r="CE45" s="292" t="s">
        <v>161</v>
      </c>
      <c r="CF45" s="2"/>
      <c r="CG45" s="2"/>
    </row>
    <row r="46" spans="1:85" ht="12.65" customHeight="1" x14ac:dyDescent="0.3">
      <c r="A46" s="290" t="s">
        <v>3</v>
      </c>
      <c r="B46" s="292" t="s">
        <v>162</v>
      </c>
      <c r="C46" s="291" t="s">
        <v>163</v>
      </c>
      <c r="D46" s="292" t="s">
        <v>163</v>
      </c>
      <c r="E46" s="292" t="s">
        <v>163</v>
      </c>
      <c r="F46" s="292" t="s">
        <v>164</v>
      </c>
      <c r="G46" s="292" t="s">
        <v>165</v>
      </c>
      <c r="H46" s="292" t="s">
        <v>163</v>
      </c>
      <c r="I46" s="292" t="s">
        <v>166</v>
      </c>
      <c r="J46" s="292"/>
      <c r="K46" s="292" t="s">
        <v>157</v>
      </c>
      <c r="L46" s="292" t="s">
        <v>167</v>
      </c>
      <c r="M46" s="292" t="s">
        <v>168</v>
      </c>
      <c r="N46" s="292" t="s">
        <v>169</v>
      </c>
      <c r="O46" s="292" t="s">
        <v>170</v>
      </c>
      <c r="P46" s="292" t="s">
        <v>169</v>
      </c>
      <c r="Q46" s="292" t="s">
        <v>171</v>
      </c>
      <c r="R46" s="292"/>
      <c r="S46" s="292" t="s">
        <v>169</v>
      </c>
      <c r="T46" s="292" t="s">
        <v>172</v>
      </c>
      <c r="U46" s="292"/>
      <c r="V46" s="292" t="s">
        <v>173</v>
      </c>
      <c r="W46" s="292" t="s">
        <v>174</v>
      </c>
      <c r="X46" s="292" t="s">
        <v>175</v>
      </c>
      <c r="Y46" s="292" t="s">
        <v>176</v>
      </c>
      <c r="Z46" s="292" t="s">
        <v>177</v>
      </c>
      <c r="AA46" s="292" t="s">
        <v>178</v>
      </c>
      <c r="AB46" s="292"/>
      <c r="AC46" s="292" t="s">
        <v>172</v>
      </c>
      <c r="AD46" s="292"/>
      <c r="AE46" s="292" t="s">
        <v>172</v>
      </c>
      <c r="AF46" s="292" t="s">
        <v>179</v>
      </c>
      <c r="AG46" s="292" t="s">
        <v>171</v>
      </c>
      <c r="AH46" s="292"/>
      <c r="AI46" s="292" t="s">
        <v>180</v>
      </c>
      <c r="AJ46" s="292"/>
      <c r="AK46" s="292" t="s">
        <v>172</v>
      </c>
      <c r="AL46" s="292" t="s">
        <v>172</v>
      </c>
      <c r="AM46" s="292" t="s">
        <v>172</v>
      </c>
      <c r="AN46" s="292" t="s">
        <v>181</v>
      </c>
      <c r="AO46" s="292" t="s">
        <v>182</v>
      </c>
      <c r="AP46" s="292" t="s">
        <v>121</v>
      </c>
      <c r="AQ46" s="292" t="s">
        <v>183</v>
      </c>
      <c r="AR46" s="292" t="s">
        <v>169</v>
      </c>
      <c r="AS46" s="292"/>
      <c r="AT46" s="292" t="s">
        <v>184</v>
      </c>
      <c r="AU46" s="292" t="s">
        <v>185</v>
      </c>
      <c r="AV46" s="292" t="s">
        <v>186</v>
      </c>
      <c r="AW46" s="292" t="s">
        <v>187</v>
      </c>
      <c r="AX46" s="292" t="s">
        <v>188</v>
      </c>
      <c r="AY46" s="292"/>
      <c r="AZ46" s="292"/>
      <c r="BA46" s="292" t="s">
        <v>189</v>
      </c>
      <c r="BB46" s="292" t="s">
        <v>169</v>
      </c>
      <c r="BC46" s="292" t="s">
        <v>183</v>
      </c>
      <c r="BD46" s="292"/>
      <c r="BE46" s="292"/>
      <c r="BF46" s="292"/>
      <c r="BG46" s="292"/>
      <c r="BH46" s="292" t="s">
        <v>190</v>
      </c>
      <c r="BI46" s="292" t="s">
        <v>169</v>
      </c>
      <c r="BJ46" s="292"/>
      <c r="BK46" s="292" t="s">
        <v>191</v>
      </c>
      <c r="BL46" s="292"/>
      <c r="BM46" s="292" t="s">
        <v>192</v>
      </c>
      <c r="BN46" s="292" t="s">
        <v>193</v>
      </c>
      <c r="BO46" s="292" t="s">
        <v>194</v>
      </c>
      <c r="BP46" s="292" t="s">
        <v>195</v>
      </c>
      <c r="BQ46" s="292" t="s">
        <v>196</v>
      </c>
      <c r="BR46" s="292"/>
      <c r="BS46" s="292" t="s">
        <v>197</v>
      </c>
      <c r="BT46" s="292" t="s">
        <v>169</v>
      </c>
      <c r="BU46" s="292" t="s">
        <v>198</v>
      </c>
      <c r="BV46" s="292" t="s">
        <v>199</v>
      </c>
      <c r="BW46" s="292" t="s">
        <v>200</v>
      </c>
      <c r="BX46" s="292" t="s">
        <v>151</v>
      </c>
      <c r="BY46" s="292" t="s">
        <v>193</v>
      </c>
      <c r="BZ46" s="292" t="s">
        <v>152</v>
      </c>
      <c r="CA46" s="292" t="s">
        <v>201</v>
      </c>
      <c r="CB46" s="292" t="s">
        <v>201</v>
      </c>
      <c r="CC46" s="292" t="s">
        <v>202</v>
      </c>
      <c r="CD46" s="292"/>
      <c r="CE46" s="292" t="s">
        <v>203</v>
      </c>
      <c r="CF46" s="2"/>
      <c r="CG46" s="2"/>
    </row>
    <row r="47" spans="1:85" ht="12.65" customHeight="1" x14ac:dyDescent="0.3">
      <c r="A47" s="290" t="s">
        <v>204</v>
      </c>
      <c r="B47" s="294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5"/>
      <c r="CC47" s="295"/>
      <c r="CD47" s="290"/>
      <c r="CE47" s="290">
        <f>SUM(C47:CC47)</f>
        <v>0</v>
      </c>
      <c r="CF47" s="2"/>
      <c r="CG47" s="2"/>
    </row>
    <row r="48" spans="1:85" ht="12.65" customHeight="1" x14ac:dyDescent="0.3">
      <c r="A48" s="290" t="s">
        <v>205</v>
      </c>
      <c r="B48" s="294">
        <v>13754925</v>
      </c>
      <c r="C48" s="296">
        <f>ROUND(((B48/CE61)*C61),0)</f>
        <v>264067</v>
      </c>
      <c r="D48" s="296">
        <f>ROUND(((B48/CE61)*D61),0)</f>
        <v>0</v>
      </c>
      <c r="E48" s="290">
        <f>ROUND(((B48/CE61)*E61),0)</f>
        <v>697708</v>
      </c>
      <c r="F48" s="290">
        <f>ROUND(((B48/CE61)*F61),0)</f>
        <v>0</v>
      </c>
      <c r="G48" s="290">
        <f>ROUND(((B48/CE61)*G61),0)</f>
        <v>0</v>
      </c>
      <c r="H48" s="290">
        <f>ROUND(((B48/CE61)*H61),0)</f>
        <v>0</v>
      </c>
      <c r="I48" s="290">
        <f>ROUND(((B48/CE61)*I61),0)</f>
        <v>0</v>
      </c>
      <c r="J48" s="290">
        <f>ROUND(((B48/CE61)*J61),0)</f>
        <v>0</v>
      </c>
      <c r="K48" s="290">
        <f>ROUND(((B48/CE61)*K61),0)</f>
        <v>0</v>
      </c>
      <c r="L48" s="290">
        <f>ROUND(((B48/CE61)*L61),0)</f>
        <v>63</v>
      </c>
      <c r="M48" s="290">
        <f>ROUND(((B48/CE61)*M61),0)</f>
        <v>0</v>
      </c>
      <c r="N48" s="290">
        <f>ROUND(((B48/CE61)*N61),0)</f>
        <v>386524</v>
      </c>
      <c r="O48" s="290">
        <f>ROUND(((B48/CE61)*O61),0)</f>
        <v>259436</v>
      </c>
      <c r="P48" s="290">
        <f>ROUND(((B48/CE61)*P61),0)</f>
        <v>341223</v>
      </c>
      <c r="Q48" s="290">
        <f>ROUND(((B48/CE61)*Q61),0)</f>
        <v>8988</v>
      </c>
      <c r="R48" s="290">
        <f>ROUND(((B48/CE61)*R61),0)</f>
        <v>261878</v>
      </c>
      <c r="S48" s="290">
        <f>ROUND(((B48/CE61)*S61),0)</f>
        <v>30870</v>
      </c>
      <c r="T48" s="290">
        <f>ROUND(((B48/CE61)*T61),0)</f>
        <v>0</v>
      </c>
      <c r="U48" s="290">
        <f>ROUND(((B48/CE61)*U61),0)</f>
        <v>404073</v>
      </c>
      <c r="V48" s="290">
        <f>ROUND(((B48/CE61)*V61),0)</f>
        <v>0</v>
      </c>
      <c r="W48" s="290">
        <f>ROUND(((B48/CE61)*W61),0)</f>
        <v>36037</v>
      </c>
      <c r="X48" s="290">
        <f>ROUND(((B48/CE61)*X61),0)</f>
        <v>28814</v>
      </c>
      <c r="Y48" s="290">
        <f>ROUND(((B48/CE61)*Y61),0)</f>
        <v>362898</v>
      </c>
      <c r="Z48" s="290">
        <f>ROUND(((B48/CE61)*Z61),0)</f>
        <v>0</v>
      </c>
      <c r="AA48" s="290">
        <f>ROUND(((B48/CE61)*AA61),0)</f>
        <v>25654</v>
      </c>
      <c r="AB48" s="290">
        <f>ROUND(((B48/CE61)*AB61),0)</f>
        <v>277919</v>
      </c>
      <c r="AC48" s="290">
        <f>ROUND(((B48/CE61)*AC61),0)</f>
        <v>167364</v>
      </c>
      <c r="AD48" s="290">
        <f>ROUND(((B48/CE61)*AD61),0)</f>
        <v>0</v>
      </c>
      <c r="AE48" s="290">
        <f>ROUND(((B48/CE61)*AE61),0)</f>
        <v>614457</v>
      </c>
      <c r="AF48" s="290">
        <f>ROUND(((B48/CE61)*AF61),0)</f>
        <v>0</v>
      </c>
      <c r="AG48" s="290">
        <f>ROUND(((B48/CE61)*AG61),0)</f>
        <v>551378</v>
      </c>
      <c r="AH48" s="290">
        <f>ROUND(((B48/CE61)*AH61),0)</f>
        <v>0</v>
      </c>
      <c r="AI48" s="290">
        <f>ROUND(((B48/CE61)*AI61),0)</f>
        <v>652428</v>
      </c>
      <c r="AJ48" s="290">
        <f>ROUND(((B48/CE61)*AJ61),0)</f>
        <v>4134601</v>
      </c>
      <c r="AK48" s="290">
        <f>ROUND(((B48/CE61)*AK61),0)</f>
        <v>0</v>
      </c>
      <c r="AL48" s="290">
        <f>ROUND(((B48/CE61)*AL61),0)</f>
        <v>0</v>
      </c>
      <c r="AM48" s="290">
        <f>ROUND(((B48/CE61)*AM61),0)</f>
        <v>0</v>
      </c>
      <c r="AN48" s="290">
        <f>ROUND(((B48/CE61)*AN61),0)</f>
        <v>0</v>
      </c>
      <c r="AO48" s="290">
        <f>ROUND(((B48/CE61)*AO61),0)</f>
        <v>0</v>
      </c>
      <c r="AP48" s="290">
        <f>ROUND(((B48/CE61)*AP61),0)</f>
        <v>0</v>
      </c>
      <c r="AQ48" s="290">
        <f>ROUND(((B48/CE61)*AQ61),0)</f>
        <v>0</v>
      </c>
      <c r="AR48" s="290">
        <f>ROUND(((B48/CE61)*AR61),0)</f>
        <v>761165</v>
      </c>
      <c r="AS48" s="290">
        <f>ROUND(((B48/CE61)*AS61),0)</f>
        <v>0</v>
      </c>
      <c r="AT48" s="290">
        <f>ROUND(((B48/CE61)*AT61),0)</f>
        <v>0</v>
      </c>
      <c r="AU48" s="290">
        <f>ROUND(((B48/CE61)*AU61),0)</f>
        <v>0</v>
      </c>
      <c r="AV48" s="290">
        <f>ROUND(((B48/CE61)*AV61),0)</f>
        <v>325382</v>
      </c>
      <c r="AW48" s="290">
        <f>ROUND(((B48/CE61)*AW61),0)</f>
        <v>0</v>
      </c>
      <c r="AX48" s="290">
        <f>ROUND(((B48/CE61)*AX61),0)</f>
        <v>0</v>
      </c>
      <c r="AY48" s="290">
        <f>ROUND(((B48/CE61)*AY61),0)</f>
        <v>176431</v>
      </c>
      <c r="AZ48" s="290">
        <f>ROUND(((B48/CE61)*AZ61),0)</f>
        <v>0</v>
      </c>
      <c r="BA48" s="290">
        <f>ROUND(((B48/CE61)*BA61),0)</f>
        <v>0</v>
      </c>
      <c r="BB48" s="290">
        <f>ROUND(((B48/CE61)*BB61),0)</f>
        <v>0</v>
      </c>
      <c r="BC48" s="290">
        <f>ROUND(((B48/CE61)*BC61),0)</f>
        <v>0</v>
      </c>
      <c r="BD48" s="290">
        <f>ROUND(((B48/CE61)*BD61),0)</f>
        <v>109165</v>
      </c>
      <c r="BE48" s="290">
        <f>ROUND(((B48/CE61)*BE61),0)</f>
        <v>258505</v>
      </c>
      <c r="BF48" s="290">
        <f>ROUND(((B48/CE61)*BF61),0)</f>
        <v>249725</v>
      </c>
      <c r="BG48" s="290">
        <f>ROUND(((B48/CE61)*BG61),0)</f>
        <v>0</v>
      </c>
      <c r="BH48" s="290">
        <f>ROUND(((B48/CE61)*BH61),0)</f>
        <v>311294</v>
      </c>
      <c r="BI48" s="290">
        <f>ROUND(((B48/CE61)*BI61),0)</f>
        <v>0</v>
      </c>
      <c r="BJ48" s="290">
        <f>ROUND(((B48/CE61)*BJ61),0)</f>
        <v>172552</v>
      </c>
      <c r="BK48" s="290">
        <f>ROUND(((B48/CE61)*BK61),0)</f>
        <v>194984</v>
      </c>
      <c r="BL48" s="290">
        <f>ROUND(((B48/CE61)*BL61),0)</f>
        <v>158859</v>
      </c>
      <c r="BM48" s="290">
        <f>ROUND(((B48/CE61)*BM61),0)</f>
        <v>90328</v>
      </c>
      <c r="BN48" s="290">
        <f>ROUND(((B48/CE61)*BN61),0)</f>
        <v>277308</v>
      </c>
      <c r="BO48" s="290">
        <f>ROUND(((B48/CE61)*BO61),0)</f>
        <v>4908</v>
      </c>
      <c r="BP48" s="290">
        <f>ROUND(((B48/CE61)*BP61),0)</f>
        <v>21926</v>
      </c>
      <c r="BQ48" s="290">
        <f>ROUND(((B48/CE61)*BQ61),0)</f>
        <v>0</v>
      </c>
      <c r="BR48" s="290">
        <f>ROUND(((B48/CE61)*BR61),0)</f>
        <v>185189</v>
      </c>
      <c r="BS48" s="290">
        <f>ROUND(((B48/CE61)*BS61),0)</f>
        <v>18502</v>
      </c>
      <c r="BT48" s="290">
        <f>ROUND(((B48/CE61)*BT61),0)</f>
        <v>0</v>
      </c>
      <c r="BU48" s="290">
        <f>ROUND(((B48/CE61)*BU61),0)</f>
        <v>0</v>
      </c>
      <c r="BV48" s="290">
        <f>ROUND(((B48/CE61)*BV61),0)</f>
        <v>138631</v>
      </c>
      <c r="BW48" s="290">
        <f>ROUND(((B48/CE61)*BW61),0)</f>
        <v>143840</v>
      </c>
      <c r="BX48" s="290">
        <f>ROUND(((B48/CE61)*BX61),0)</f>
        <v>98208</v>
      </c>
      <c r="BY48" s="290">
        <f>ROUND(((B48/CE61)*BY61),0)</f>
        <v>244130</v>
      </c>
      <c r="BZ48" s="290">
        <f>ROUND(((B48/CE61)*BZ61),0)</f>
        <v>0</v>
      </c>
      <c r="CA48" s="290">
        <f>ROUND(((B48/CE61)*CA61),0)</f>
        <v>0</v>
      </c>
      <c r="CB48" s="290">
        <f>ROUND(((B48/CE61)*CB61),0)</f>
        <v>13932</v>
      </c>
      <c r="CC48" s="290">
        <f>ROUND(((B48/CE61)*CC61),0)</f>
        <v>293583</v>
      </c>
      <c r="CD48" s="290"/>
      <c r="CE48" s="290">
        <f>SUM(C48:CD48)</f>
        <v>13754927</v>
      </c>
      <c r="CF48" s="2"/>
      <c r="CG48" s="2"/>
    </row>
    <row r="49" spans="1:85" ht="12.65" customHeight="1" x14ac:dyDescent="0.3">
      <c r="A49" s="290" t="s">
        <v>206</v>
      </c>
      <c r="B49" s="290">
        <f>B47+B48</f>
        <v>13754925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290"/>
      <c r="BK49" s="290"/>
      <c r="BL49" s="290"/>
      <c r="BM49" s="290"/>
      <c r="BN49" s="290"/>
      <c r="BO49" s="290"/>
      <c r="BP49" s="290"/>
      <c r="BQ49" s="290"/>
      <c r="BR49" s="290"/>
      <c r="BS49" s="290"/>
      <c r="BT49" s="290"/>
      <c r="BU49" s="290"/>
      <c r="BV49" s="290"/>
      <c r="BW49" s="290"/>
      <c r="BX49" s="290"/>
      <c r="BY49" s="290"/>
      <c r="BZ49" s="290"/>
      <c r="CA49" s="290"/>
      <c r="CB49" s="290"/>
      <c r="CC49" s="290"/>
      <c r="CD49" s="290"/>
      <c r="CE49" s="290"/>
      <c r="CF49" s="2"/>
      <c r="CG49" s="2"/>
    </row>
    <row r="50" spans="1:85" ht="12.65" customHeight="1" x14ac:dyDescent="0.3">
      <c r="A50" s="290" t="s">
        <v>6</v>
      </c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0"/>
      <c r="BK50" s="290"/>
      <c r="BL50" s="290"/>
      <c r="BM50" s="290"/>
      <c r="BN50" s="290"/>
      <c r="BO50" s="290"/>
      <c r="BP50" s="290"/>
      <c r="BQ50" s="290"/>
      <c r="BR50" s="290"/>
      <c r="BS50" s="290"/>
      <c r="BT50" s="290"/>
      <c r="BU50" s="290"/>
      <c r="BV50" s="290"/>
      <c r="BW50" s="290"/>
      <c r="BX50" s="290"/>
      <c r="BY50" s="290"/>
      <c r="BZ50" s="290"/>
      <c r="CA50" s="290"/>
      <c r="CB50" s="290"/>
      <c r="CC50" s="290"/>
      <c r="CD50" s="290"/>
      <c r="CE50" s="290"/>
      <c r="CF50" s="2"/>
      <c r="CG50" s="2"/>
    </row>
    <row r="51" spans="1:85" ht="12.65" customHeight="1" x14ac:dyDescent="0.3">
      <c r="A51" s="297" t="s">
        <v>207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5"/>
      <c r="CC51" s="295"/>
      <c r="CD51" s="290"/>
      <c r="CE51" s="290">
        <f>SUM(C51:CD51)</f>
        <v>0</v>
      </c>
      <c r="CF51" s="2"/>
      <c r="CG51" s="2"/>
    </row>
    <row r="52" spans="1:85" ht="12.65" customHeight="1" x14ac:dyDescent="0.3">
      <c r="A52" s="297" t="s">
        <v>208</v>
      </c>
      <c r="B52" s="295">
        <v>4743342</v>
      </c>
      <c r="C52" s="290">
        <f>ROUND((B52/(CE76+CF76)*C76),0)</f>
        <v>53156</v>
      </c>
      <c r="D52" s="290">
        <f>ROUND((B52/(CE76+CF76)*D76),0)</f>
        <v>0</v>
      </c>
      <c r="E52" s="290">
        <f>ROUND((B52/(CE76+CF76)*E76),0)</f>
        <v>120050</v>
      </c>
      <c r="F52" s="290">
        <f>ROUND((B52/(CE76+CF76)*F76),0)</f>
        <v>0</v>
      </c>
      <c r="G52" s="290">
        <f>ROUND((B52/(CE76+CF76)*G76),0)</f>
        <v>0</v>
      </c>
      <c r="H52" s="290">
        <f>ROUND((B52/(CE76+CF76)*H76),0)</f>
        <v>0</v>
      </c>
      <c r="I52" s="290">
        <f>ROUND((B52/(CE76+CF76)*I76),0)</f>
        <v>0</v>
      </c>
      <c r="J52" s="290">
        <f>ROUND((B52/(CE76+CF76)*J76),0)</f>
        <v>1797</v>
      </c>
      <c r="K52" s="290">
        <f>ROUND((B52/(CE76+CF76)*K76),0)</f>
        <v>0</v>
      </c>
      <c r="L52" s="290">
        <f>ROUND((B52/(CE76+CF76)*L76),0)</f>
        <v>45543</v>
      </c>
      <c r="M52" s="290">
        <f>ROUND((B52/(CE76+CF76)*M76),0)</f>
        <v>0</v>
      </c>
      <c r="N52" s="290">
        <f>ROUND((B52/(CE76+CF76)*N76),0)</f>
        <v>6031</v>
      </c>
      <c r="O52" s="290">
        <f>ROUND((B52/(CE76+CF76)*O76),0)</f>
        <v>57055</v>
      </c>
      <c r="P52" s="290">
        <f>ROUND((B52/(CE76+CF76)*P76),0)</f>
        <v>203102</v>
      </c>
      <c r="Q52" s="290">
        <f>ROUND((B52/(CE76+CF76)*Q76),0)</f>
        <v>12238</v>
      </c>
      <c r="R52" s="290">
        <f>ROUND((B52/(CE76+CF76)*R76),0)</f>
        <v>2828</v>
      </c>
      <c r="S52" s="290">
        <f>ROUND((B52/(CE76+CF76)*S76),0)</f>
        <v>15515</v>
      </c>
      <c r="T52" s="290">
        <f>ROUND((B52/(CE76+CF76)*T76),0)</f>
        <v>0</v>
      </c>
      <c r="U52" s="290">
        <f>ROUND((B52/(CE76+CF76)*U76),0)</f>
        <v>81401</v>
      </c>
      <c r="V52" s="290">
        <f>ROUND((B52/(CE76+CF76)*V76),0)</f>
        <v>0</v>
      </c>
      <c r="W52" s="290">
        <f>ROUND((B52/(CE76+CF76)*W76),0)</f>
        <v>23024</v>
      </c>
      <c r="X52" s="290">
        <f>ROUND((B52/(CE76+CF76)*X76),0)</f>
        <v>11100</v>
      </c>
      <c r="Y52" s="290">
        <f>ROUND((B52/(CE76+CF76)*Y76),0)</f>
        <v>114763</v>
      </c>
      <c r="Z52" s="290">
        <f>ROUND((B52/(CE76+CF76)*Z76),0)</f>
        <v>0</v>
      </c>
      <c r="AA52" s="290">
        <f>ROUND((B52/(CE76+CF76)*AA76),0)</f>
        <v>7434</v>
      </c>
      <c r="AB52" s="290">
        <f>ROUND((B52/(CE76+CF76)*AB76),0)</f>
        <v>51590</v>
      </c>
      <c r="AC52" s="290">
        <f>ROUND((B52/(CE76+CF76)*AC76),0)</f>
        <v>35430</v>
      </c>
      <c r="AD52" s="290">
        <f>ROUND((B52/(CE76+CF76)*AD76),0)</f>
        <v>0</v>
      </c>
      <c r="AE52" s="290">
        <f>ROUND((B52/(CE76+CF76)*AE76),0)</f>
        <v>134909</v>
      </c>
      <c r="AF52" s="290">
        <f>ROUND((B52/(CE76+CF76)*AF76),0)</f>
        <v>0</v>
      </c>
      <c r="AG52" s="290">
        <f>ROUND((B52/(CE76+CF76)*AG76),0)</f>
        <v>139736</v>
      </c>
      <c r="AH52" s="290">
        <f>ROUND((B52/(CE76+CF76)*AH76),0)</f>
        <v>0</v>
      </c>
      <c r="AI52" s="290">
        <f>ROUND((B52/(CE76+CF76)*AI76),0)</f>
        <v>132484</v>
      </c>
      <c r="AJ52" s="290">
        <f>ROUND((B52/(CE76+CF76)*AJ76),0)</f>
        <v>1293222</v>
      </c>
      <c r="AK52" s="290">
        <f>ROUND((B52/(CE76+CF76)*AK76),0)</f>
        <v>0</v>
      </c>
      <c r="AL52" s="290">
        <f>ROUND((B52/(CE76+CF76)*AL76),0)</f>
        <v>0</v>
      </c>
      <c r="AM52" s="290">
        <f>ROUND((B52/(CE76+CF76)*AM76),0)</f>
        <v>0</v>
      </c>
      <c r="AN52" s="290">
        <f>ROUND((B52/(CE76+CF76)*AN76),0)</f>
        <v>0</v>
      </c>
      <c r="AO52" s="290">
        <f>ROUND((B52/(CE76+CF76)*AO76),0)</f>
        <v>0</v>
      </c>
      <c r="AP52" s="290">
        <f>ROUND((B52/(CE76+CF76)*AP76),0)</f>
        <v>0</v>
      </c>
      <c r="AQ52" s="290">
        <f>ROUND((B52/(CE76+CF76)*AQ76),0)</f>
        <v>0</v>
      </c>
      <c r="AR52" s="290">
        <f>ROUND((B52/(CE76+CF76)*AR76),0)</f>
        <v>92184</v>
      </c>
      <c r="AS52" s="290">
        <f>ROUND((B52/(CE76+CF76)*AS76),0)</f>
        <v>0</v>
      </c>
      <c r="AT52" s="290">
        <f>ROUND((B52/(CE76+CF76)*AT76),0)</f>
        <v>0</v>
      </c>
      <c r="AU52" s="290">
        <f>ROUND((B52/(CE76+CF76)*AU76),0)</f>
        <v>0</v>
      </c>
      <c r="AV52" s="290">
        <f>ROUND((B52/(CE76+CF76)*AV76),0)</f>
        <v>18338</v>
      </c>
      <c r="AW52" s="290">
        <f>ROUND((B52/(CE76+CF76)*AW76),0)</f>
        <v>0</v>
      </c>
      <c r="AX52" s="290">
        <f>ROUND((B52/(CE76+CF76)*AX76),0)</f>
        <v>0</v>
      </c>
      <c r="AY52" s="290">
        <f>ROUND((B52/(CE76+CF76)*AY76),0)</f>
        <v>120450</v>
      </c>
      <c r="AZ52" s="290">
        <f>ROUND((B52/(CE76+CF76)*AZ76),0)</f>
        <v>0</v>
      </c>
      <c r="BA52" s="290">
        <f>ROUND((B52/(CE76+CF76)*BA76),0)</f>
        <v>0</v>
      </c>
      <c r="BB52" s="290">
        <f>ROUND((B52/(CE76+CF76)*BB76),0)</f>
        <v>1610</v>
      </c>
      <c r="BC52" s="290">
        <f>ROUND((B52/(CE76+CF76)*BC76),0)</f>
        <v>0</v>
      </c>
      <c r="BD52" s="290">
        <f>ROUND((B52/(CE76+CF76)*BD76),0)</f>
        <v>48947</v>
      </c>
      <c r="BE52" s="290">
        <f>ROUND((B52/(CE76+CF76)*BE76),0)</f>
        <v>1237753</v>
      </c>
      <c r="BF52" s="290">
        <f>ROUND((B52/(CE76+CF76)*BF76),0)</f>
        <v>57434</v>
      </c>
      <c r="BG52" s="290">
        <f>ROUND((B52/(CE76+CF76)*BG76),0)</f>
        <v>0</v>
      </c>
      <c r="BH52" s="290">
        <f>ROUND((B52/(CE76+CF76)*BH76),0)</f>
        <v>78402</v>
      </c>
      <c r="BI52" s="290">
        <f>ROUND((B52/(CE76+CF76)*BI76),0)</f>
        <v>0</v>
      </c>
      <c r="BJ52" s="290">
        <f>ROUND((B52/(CE76+CF76)*BJ76),0)</f>
        <v>22844</v>
      </c>
      <c r="BK52" s="290">
        <f>ROUND((B52/(CE76+CF76)*BK76),0)</f>
        <v>83578</v>
      </c>
      <c r="BL52" s="290">
        <f>ROUND((B52/(CE76+CF76)*BL76),0)</f>
        <v>37656</v>
      </c>
      <c r="BM52" s="290">
        <f>ROUND((B52/(CE76+CF76)*BM76),0)</f>
        <v>833</v>
      </c>
      <c r="BN52" s="290">
        <f>ROUND((B52/(CE76+CF76)*BN76),0)</f>
        <v>183433</v>
      </c>
      <c r="BO52" s="290">
        <f>ROUND((B52/(CE76+CF76)*BO76),0)</f>
        <v>5053</v>
      </c>
      <c r="BP52" s="290">
        <f>ROUND((B52/(CE76+CF76)*BP76),0)</f>
        <v>6008</v>
      </c>
      <c r="BQ52" s="290">
        <f>ROUND((B52/(CE76+CF76)*BQ76),0)</f>
        <v>0</v>
      </c>
      <c r="BR52" s="290">
        <f>ROUND((B52/(CE76+CF76)*BR76),0)</f>
        <v>53805</v>
      </c>
      <c r="BS52" s="290">
        <f>ROUND((B52/(CE76+CF76)*BS76),0)</f>
        <v>11962</v>
      </c>
      <c r="BT52" s="290">
        <f>ROUND((B52/(CE76+CF76)*BT76),0)</f>
        <v>0</v>
      </c>
      <c r="BU52" s="290">
        <f>ROUND((B52/(CE76+CF76)*BU76),0)</f>
        <v>0</v>
      </c>
      <c r="BV52" s="290">
        <f>ROUND((B52/(CE76+CF76)*BV76),0)</f>
        <v>22958</v>
      </c>
      <c r="BW52" s="290">
        <f>ROUND((B52/(CE76+CF76)*BW76),0)</f>
        <v>8008</v>
      </c>
      <c r="BX52" s="290">
        <f>ROUND((B52/(CE76+CF76)*BX76),0)</f>
        <v>2324</v>
      </c>
      <c r="BY52" s="290">
        <f>ROUND((B52/(CE76+CF76)*BY76),0)</f>
        <v>16158</v>
      </c>
      <c r="BZ52" s="290">
        <f>ROUND((B52/(CE76+CF76)*BZ76),0)</f>
        <v>0</v>
      </c>
      <c r="CA52" s="290">
        <f>ROUND((B52/(CE76+CF76)*CA76),0)</f>
        <v>0</v>
      </c>
      <c r="CB52" s="290">
        <f>ROUND((B52/(CE76+CF76)*CB76),0)</f>
        <v>33334</v>
      </c>
      <c r="CC52" s="290">
        <f>ROUND((B52/(CE76+CF76)*CC76),0)</f>
        <v>57867</v>
      </c>
      <c r="CD52" s="290"/>
      <c r="CE52" s="290">
        <f>SUM(C52:CD52)</f>
        <v>4743347</v>
      </c>
      <c r="CF52" s="2"/>
      <c r="CG52" s="2"/>
    </row>
    <row r="53" spans="1:85" ht="12.65" customHeight="1" x14ac:dyDescent="0.3">
      <c r="A53" s="290" t="s">
        <v>206</v>
      </c>
      <c r="B53" s="290">
        <f>B51+B52</f>
        <v>4743342</v>
      </c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F53" s="290"/>
      <c r="BG53" s="290"/>
      <c r="BH53" s="290"/>
      <c r="BI53" s="290"/>
      <c r="BJ53" s="290"/>
      <c r="BK53" s="290"/>
      <c r="BL53" s="290"/>
      <c r="BM53" s="290"/>
      <c r="BN53" s="290"/>
      <c r="BO53" s="290"/>
      <c r="BP53" s="290"/>
      <c r="BQ53" s="290"/>
      <c r="BR53" s="290"/>
      <c r="BS53" s="290"/>
      <c r="BT53" s="290"/>
      <c r="BU53" s="290"/>
      <c r="BV53" s="290"/>
      <c r="BW53" s="290"/>
      <c r="BX53" s="290"/>
      <c r="BY53" s="290"/>
      <c r="BZ53" s="290"/>
      <c r="CA53" s="290"/>
      <c r="CB53" s="290"/>
      <c r="CC53" s="290"/>
      <c r="CD53" s="290"/>
      <c r="CE53" s="290"/>
      <c r="CF53" s="2"/>
      <c r="CG53" s="2"/>
    </row>
    <row r="54" spans="1:85" ht="15.75" customHeight="1" x14ac:dyDescent="0.3">
      <c r="A54" s="290"/>
      <c r="B54" s="290"/>
      <c r="C54" s="298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290"/>
      <c r="AS54" s="290"/>
      <c r="AT54" s="290"/>
      <c r="AU54" s="290"/>
      <c r="AV54" s="290"/>
      <c r="AW54" s="290"/>
      <c r="AX54" s="290"/>
      <c r="AY54" s="290"/>
      <c r="AZ54" s="290"/>
      <c r="BA54" s="290"/>
      <c r="BB54" s="290"/>
      <c r="BC54" s="290"/>
      <c r="BD54" s="290"/>
      <c r="BE54" s="290"/>
      <c r="BF54" s="290"/>
      <c r="BG54" s="290"/>
      <c r="BH54" s="290"/>
      <c r="BI54" s="290"/>
      <c r="BJ54" s="290"/>
      <c r="BK54" s="290"/>
      <c r="BL54" s="290"/>
      <c r="BM54" s="290"/>
      <c r="BN54" s="290"/>
      <c r="BO54" s="290"/>
      <c r="BP54" s="290"/>
      <c r="BQ54" s="290"/>
      <c r="BR54" s="290"/>
      <c r="BS54" s="290"/>
      <c r="BT54" s="290"/>
      <c r="BU54" s="290"/>
      <c r="BV54" s="290"/>
      <c r="BW54" s="290"/>
      <c r="BX54" s="290"/>
      <c r="BY54" s="290"/>
      <c r="BZ54" s="290"/>
      <c r="CA54" s="290"/>
      <c r="CB54" s="290"/>
      <c r="CC54" s="290"/>
      <c r="CD54" s="290"/>
      <c r="CE54" s="290"/>
      <c r="CF54" s="2"/>
      <c r="CG54" s="2"/>
    </row>
    <row r="55" spans="1:85" ht="12.65" customHeight="1" x14ac:dyDescent="0.3">
      <c r="A55" s="297" t="s">
        <v>209</v>
      </c>
      <c r="B55" s="290"/>
      <c r="C55" s="291" t="s">
        <v>10</v>
      </c>
      <c r="D55" s="292" t="s">
        <v>11</v>
      </c>
      <c r="E55" s="292" t="s">
        <v>12</v>
      </c>
      <c r="F55" s="292" t="s">
        <v>13</v>
      </c>
      <c r="G55" s="292" t="s">
        <v>14</v>
      </c>
      <c r="H55" s="292" t="s">
        <v>15</v>
      </c>
      <c r="I55" s="292" t="s">
        <v>16</v>
      </c>
      <c r="J55" s="292" t="s">
        <v>17</v>
      </c>
      <c r="K55" s="292" t="s">
        <v>18</v>
      </c>
      <c r="L55" s="292" t="s">
        <v>19</v>
      </c>
      <c r="M55" s="292" t="s">
        <v>20</v>
      </c>
      <c r="N55" s="292" t="s">
        <v>21</v>
      </c>
      <c r="O55" s="292" t="s">
        <v>22</v>
      </c>
      <c r="P55" s="292" t="s">
        <v>23</v>
      </c>
      <c r="Q55" s="292" t="s">
        <v>24</v>
      </c>
      <c r="R55" s="292" t="s">
        <v>25</v>
      </c>
      <c r="S55" s="292" t="s">
        <v>26</v>
      </c>
      <c r="T55" s="299" t="s">
        <v>27</v>
      </c>
      <c r="U55" s="292" t="s">
        <v>28</v>
      </c>
      <c r="V55" s="292" t="s">
        <v>29</v>
      </c>
      <c r="W55" s="292" t="s">
        <v>30</v>
      </c>
      <c r="X55" s="292" t="s">
        <v>31</v>
      </c>
      <c r="Y55" s="292" t="s">
        <v>32</v>
      </c>
      <c r="Z55" s="292" t="s">
        <v>33</v>
      </c>
      <c r="AA55" s="292" t="s">
        <v>34</v>
      </c>
      <c r="AB55" s="292" t="s">
        <v>35</v>
      </c>
      <c r="AC55" s="292" t="s">
        <v>36</v>
      </c>
      <c r="AD55" s="292" t="s">
        <v>37</v>
      </c>
      <c r="AE55" s="292" t="s">
        <v>38</v>
      </c>
      <c r="AF55" s="292" t="s">
        <v>39</v>
      </c>
      <c r="AG55" s="292" t="s">
        <v>40</v>
      </c>
      <c r="AH55" s="292" t="s">
        <v>41</v>
      </c>
      <c r="AI55" s="292" t="s">
        <v>42</v>
      </c>
      <c r="AJ55" s="292" t="s">
        <v>43</v>
      </c>
      <c r="AK55" s="292" t="s">
        <v>44</v>
      </c>
      <c r="AL55" s="292" t="s">
        <v>45</v>
      </c>
      <c r="AM55" s="292" t="s">
        <v>46</v>
      </c>
      <c r="AN55" s="292" t="s">
        <v>47</v>
      </c>
      <c r="AO55" s="292" t="s">
        <v>48</v>
      </c>
      <c r="AP55" s="292" t="s">
        <v>49</v>
      </c>
      <c r="AQ55" s="292" t="s">
        <v>50</v>
      </c>
      <c r="AR55" s="292" t="s">
        <v>51</v>
      </c>
      <c r="AS55" s="292" t="s">
        <v>52</v>
      </c>
      <c r="AT55" s="292" t="s">
        <v>53</v>
      </c>
      <c r="AU55" s="292" t="s">
        <v>54</v>
      </c>
      <c r="AV55" s="292" t="s">
        <v>55</v>
      </c>
      <c r="AW55" s="292" t="s">
        <v>56</v>
      </c>
      <c r="AX55" s="292" t="s">
        <v>57</v>
      </c>
      <c r="AY55" s="292" t="s">
        <v>58</v>
      </c>
      <c r="AZ55" s="292" t="s">
        <v>59</v>
      </c>
      <c r="BA55" s="292" t="s">
        <v>60</v>
      </c>
      <c r="BB55" s="292" t="s">
        <v>61</v>
      </c>
      <c r="BC55" s="292" t="s">
        <v>62</v>
      </c>
      <c r="BD55" s="292" t="s">
        <v>63</v>
      </c>
      <c r="BE55" s="292" t="s">
        <v>64</v>
      </c>
      <c r="BF55" s="292" t="s">
        <v>65</v>
      </c>
      <c r="BG55" s="292" t="s">
        <v>66</v>
      </c>
      <c r="BH55" s="292" t="s">
        <v>67</v>
      </c>
      <c r="BI55" s="292" t="s">
        <v>68</v>
      </c>
      <c r="BJ55" s="292" t="s">
        <v>69</v>
      </c>
      <c r="BK55" s="292" t="s">
        <v>70</v>
      </c>
      <c r="BL55" s="292" t="s">
        <v>71</v>
      </c>
      <c r="BM55" s="292" t="s">
        <v>72</v>
      </c>
      <c r="BN55" s="292" t="s">
        <v>73</v>
      </c>
      <c r="BO55" s="292" t="s">
        <v>74</v>
      </c>
      <c r="BP55" s="292" t="s">
        <v>75</v>
      </c>
      <c r="BQ55" s="292" t="s">
        <v>76</v>
      </c>
      <c r="BR55" s="292" t="s">
        <v>77</v>
      </c>
      <c r="BS55" s="292" t="s">
        <v>78</v>
      </c>
      <c r="BT55" s="292" t="s">
        <v>79</v>
      </c>
      <c r="BU55" s="292" t="s">
        <v>80</v>
      </c>
      <c r="BV55" s="292" t="s">
        <v>81</v>
      </c>
      <c r="BW55" s="292" t="s">
        <v>82</v>
      </c>
      <c r="BX55" s="292" t="s">
        <v>83</v>
      </c>
      <c r="BY55" s="292" t="s">
        <v>84</v>
      </c>
      <c r="BZ55" s="292" t="s">
        <v>85</v>
      </c>
      <c r="CA55" s="292" t="s">
        <v>86</v>
      </c>
      <c r="CB55" s="292" t="s">
        <v>87</v>
      </c>
      <c r="CC55" s="292" t="s">
        <v>88</v>
      </c>
      <c r="CD55" s="292" t="s">
        <v>89</v>
      </c>
      <c r="CE55" s="292" t="s">
        <v>90</v>
      </c>
      <c r="CF55" s="2"/>
      <c r="CG55" s="2"/>
    </row>
    <row r="56" spans="1:85" ht="12.65" customHeight="1" x14ac:dyDescent="0.3">
      <c r="A56" s="297" t="s">
        <v>210</v>
      </c>
      <c r="B56" s="290"/>
      <c r="C56" s="291" t="s">
        <v>92</v>
      </c>
      <c r="D56" s="292" t="s">
        <v>93</v>
      </c>
      <c r="E56" s="292" t="s">
        <v>94</v>
      </c>
      <c r="F56" s="292" t="s">
        <v>95</v>
      </c>
      <c r="G56" s="292" t="s">
        <v>96</v>
      </c>
      <c r="H56" s="292" t="s">
        <v>97</v>
      </c>
      <c r="I56" s="292" t="s">
        <v>98</v>
      </c>
      <c r="J56" s="292" t="s">
        <v>99</v>
      </c>
      <c r="K56" s="292" t="s">
        <v>100</v>
      </c>
      <c r="L56" s="292" t="s">
        <v>101</v>
      </c>
      <c r="M56" s="292" t="s">
        <v>102</v>
      </c>
      <c r="N56" s="292" t="s">
        <v>103</v>
      </c>
      <c r="O56" s="292" t="s">
        <v>104</v>
      </c>
      <c r="P56" s="292" t="s">
        <v>105</v>
      </c>
      <c r="Q56" s="292" t="s">
        <v>106</v>
      </c>
      <c r="R56" s="292" t="s">
        <v>107</v>
      </c>
      <c r="S56" s="292" t="s">
        <v>108</v>
      </c>
      <c r="T56" s="292" t="s">
        <v>1194</v>
      </c>
      <c r="U56" s="292" t="s">
        <v>109</v>
      </c>
      <c r="V56" s="292" t="s">
        <v>110</v>
      </c>
      <c r="W56" s="292" t="s">
        <v>111</v>
      </c>
      <c r="X56" s="292" t="s">
        <v>112</v>
      </c>
      <c r="Y56" s="292" t="s">
        <v>113</v>
      </c>
      <c r="Z56" s="292" t="s">
        <v>113</v>
      </c>
      <c r="AA56" s="292" t="s">
        <v>114</v>
      </c>
      <c r="AB56" s="292" t="s">
        <v>115</v>
      </c>
      <c r="AC56" s="292" t="s">
        <v>116</v>
      </c>
      <c r="AD56" s="292" t="s">
        <v>117</v>
      </c>
      <c r="AE56" s="292" t="s">
        <v>96</v>
      </c>
      <c r="AF56" s="292" t="s">
        <v>97</v>
      </c>
      <c r="AG56" s="292" t="s">
        <v>118</v>
      </c>
      <c r="AH56" s="292" t="s">
        <v>119</v>
      </c>
      <c r="AI56" s="292" t="s">
        <v>120</v>
      </c>
      <c r="AJ56" s="292" t="s">
        <v>121</v>
      </c>
      <c r="AK56" s="292" t="s">
        <v>122</v>
      </c>
      <c r="AL56" s="292" t="s">
        <v>123</v>
      </c>
      <c r="AM56" s="292" t="s">
        <v>124</v>
      </c>
      <c r="AN56" s="292" t="s">
        <v>110</v>
      </c>
      <c r="AO56" s="292" t="s">
        <v>125</v>
      </c>
      <c r="AP56" s="292" t="s">
        <v>126</v>
      </c>
      <c r="AQ56" s="292" t="s">
        <v>127</v>
      </c>
      <c r="AR56" s="292" t="s">
        <v>128</v>
      </c>
      <c r="AS56" s="292" t="s">
        <v>129</v>
      </c>
      <c r="AT56" s="292" t="s">
        <v>130</v>
      </c>
      <c r="AU56" s="292" t="s">
        <v>131</v>
      </c>
      <c r="AV56" s="292" t="s">
        <v>132</v>
      </c>
      <c r="AW56" s="292" t="s">
        <v>133</v>
      </c>
      <c r="AX56" s="292" t="s">
        <v>134</v>
      </c>
      <c r="AY56" s="292" t="s">
        <v>135</v>
      </c>
      <c r="AZ56" s="292" t="s">
        <v>136</v>
      </c>
      <c r="BA56" s="292" t="s">
        <v>137</v>
      </c>
      <c r="BB56" s="292" t="s">
        <v>138</v>
      </c>
      <c r="BC56" s="292" t="s">
        <v>108</v>
      </c>
      <c r="BD56" s="292" t="s">
        <v>139</v>
      </c>
      <c r="BE56" s="292" t="s">
        <v>140</v>
      </c>
      <c r="BF56" s="292" t="s">
        <v>141</v>
      </c>
      <c r="BG56" s="292" t="s">
        <v>142</v>
      </c>
      <c r="BH56" s="292" t="s">
        <v>143</v>
      </c>
      <c r="BI56" s="292" t="s">
        <v>144</v>
      </c>
      <c r="BJ56" s="292" t="s">
        <v>145</v>
      </c>
      <c r="BK56" s="292" t="s">
        <v>146</v>
      </c>
      <c r="BL56" s="292" t="s">
        <v>147</v>
      </c>
      <c r="BM56" s="292" t="s">
        <v>132</v>
      </c>
      <c r="BN56" s="292" t="s">
        <v>148</v>
      </c>
      <c r="BO56" s="292" t="s">
        <v>149</v>
      </c>
      <c r="BP56" s="292" t="s">
        <v>150</v>
      </c>
      <c r="BQ56" s="292" t="s">
        <v>151</v>
      </c>
      <c r="BR56" s="292" t="s">
        <v>152</v>
      </c>
      <c r="BS56" s="292" t="s">
        <v>153</v>
      </c>
      <c r="BT56" s="292" t="s">
        <v>154</v>
      </c>
      <c r="BU56" s="292" t="s">
        <v>155</v>
      </c>
      <c r="BV56" s="292" t="s">
        <v>155</v>
      </c>
      <c r="BW56" s="292" t="s">
        <v>155</v>
      </c>
      <c r="BX56" s="292" t="s">
        <v>156</v>
      </c>
      <c r="BY56" s="292" t="s">
        <v>157</v>
      </c>
      <c r="BZ56" s="292" t="s">
        <v>158</v>
      </c>
      <c r="CA56" s="292" t="s">
        <v>159</v>
      </c>
      <c r="CB56" s="292" t="s">
        <v>160</v>
      </c>
      <c r="CC56" s="292" t="s">
        <v>132</v>
      </c>
      <c r="CD56" s="292" t="s">
        <v>211</v>
      </c>
      <c r="CE56" s="292" t="s">
        <v>161</v>
      </c>
      <c r="CF56" s="2"/>
      <c r="CG56" s="2"/>
    </row>
    <row r="57" spans="1:85" ht="12.65" customHeight="1" x14ac:dyDescent="0.3">
      <c r="A57" s="297" t="s">
        <v>212</v>
      </c>
      <c r="B57" s="290"/>
      <c r="C57" s="291" t="s">
        <v>163</v>
      </c>
      <c r="D57" s="292" t="s">
        <v>163</v>
      </c>
      <c r="E57" s="292" t="s">
        <v>163</v>
      </c>
      <c r="F57" s="292" t="s">
        <v>164</v>
      </c>
      <c r="G57" s="292" t="s">
        <v>165</v>
      </c>
      <c r="H57" s="292" t="s">
        <v>163</v>
      </c>
      <c r="I57" s="292" t="s">
        <v>166</v>
      </c>
      <c r="J57" s="292"/>
      <c r="K57" s="292" t="s">
        <v>157</v>
      </c>
      <c r="L57" s="292" t="s">
        <v>167</v>
      </c>
      <c r="M57" s="292" t="s">
        <v>168</v>
      </c>
      <c r="N57" s="292" t="s">
        <v>169</v>
      </c>
      <c r="O57" s="292" t="s">
        <v>170</v>
      </c>
      <c r="P57" s="292" t="s">
        <v>169</v>
      </c>
      <c r="Q57" s="292" t="s">
        <v>171</v>
      </c>
      <c r="R57" s="292"/>
      <c r="S57" s="292" t="s">
        <v>169</v>
      </c>
      <c r="T57" s="292" t="s">
        <v>172</v>
      </c>
      <c r="U57" s="292"/>
      <c r="V57" s="292" t="s">
        <v>173</v>
      </c>
      <c r="W57" s="292" t="s">
        <v>174</v>
      </c>
      <c r="X57" s="292" t="s">
        <v>175</v>
      </c>
      <c r="Y57" s="292" t="s">
        <v>176</v>
      </c>
      <c r="Z57" s="292" t="s">
        <v>177</v>
      </c>
      <c r="AA57" s="292" t="s">
        <v>178</v>
      </c>
      <c r="AB57" s="292"/>
      <c r="AC57" s="292" t="s">
        <v>172</v>
      </c>
      <c r="AD57" s="292"/>
      <c r="AE57" s="292" t="s">
        <v>172</v>
      </c>
      <c r="AF57" s="292" t="s">
        <v>179</v>
      </c>
      <c r="AG57" s="292" t="s">
        <v>171</v>
      </c>
      <c r="AH57" s="292"/>
      <c r="AI57" s="292" t="s">
        <v>180</v>
      </c>
      <c r="AJ57" s="292"/>
      <c r="AK57" s="292" t="s">
        <v>172</v>
      </c>
      <c r="AL57" s="292" t="s">
        <v>172</v>
      </c>
      <c r="AM57" s="292" t="s">
        <v>172</v>
      </c>
      <c r="AN57" s="292" t="s">
        <v>181</v>
      </c>
      <c r="AO57" s="292" t="s">
        <v>182</v>
      </c>
      <c r="AP57" s="292" t="s">
        <v>121</v>
      </c>
      <c r="AQ57" s="292" t="s">
        <v>183</v>
      </c>
      <c r="AR57" s="292" t="s">
        <v>169</v>
      </c>
      <c r="AS57" s="292"/>
      <c r="AT57" s="292" t="s">
        <v>184</v>
      </c>
      <c r="AU57" s="292" t="s">
        <v>185</v>
      </c>
      <c r="AV57" s="292" t="s">
        <v>186</v>
      </c>
      <c r="AW57" s="292" t="s">
        <v>187</v>
      </c>
      <c r="AX57" s="292" t="s">
        <v>188</v>
      </c>
      <c r="AY57" s="292"/>
      <c r="AZ57" s="292"/>
      <c r="BA57" s="292" t="s">
        <v>189</v>
      </c>
      <c r="BB57" s="292" t="s">
        <v>169</v>
      </c>
      <c r="BC57" s="292" t="s">
        <v>183</v>
      </c>
      <c r="BD57" s="292"/>
      <c r="BE57" s="292"/>
      <c r="BF57" s="292"/>
      <c r="BG57" s="292"/>
      <c r="BH57" s="292" t="s">
        <v>190</v>
      </c>
      <c r="BI57" s="292" t="s">
        <v>169</v>
      </c>
      <c r="BJ57" s="292"/>
      <c r="BK57" s="292" t="s">
        <v>191</v>
      </c>
      <c r="BL57" s="292"/>
      <c r="BM57" s="292" t="s">
        <v>192</v>
      </c>
      <c r="BN57" s="292" t="s">
        <v>193</v>
      </c>
      <c r="BO57" s="292" t="s">
        <v>194</v>
      </c>
      <c r="BP57" s="292" t="s">
        <v>195</v>
      </c>
      <c r="BQ57" s="292" t="s">
        <v>196</v>
      </c>
      <c r="BR57" s="292"/>
      <c r="BS57" s="292" t="s">
        <v>197</v>
      </c>
      <c r="BT57" s="292" t="s">
        <v>169</v>
      </c>
      <c r="BU57" s="292" t="s">
        <v>198</v>
      </c>
      <c r="BV57" s="292" t="s">
        <v>199</v>
      </c>
      <c r="BW57" s="292" t="s">
        <v>200</v>
      </c>
      <c r="BX57" s="292" t="s">
        <v>151</v>
      </c>
      <c r="BY57" s="292" t="s">
        <v>193</v>
      </c>
      <c r="BZ57" s="292" t="s">
        <v>152</v>
      </c>
      <c r="CA57" s="292" t="s">
        <v>201</v>
      </c>
      <c r="CB57" s="292" t="s">
        <v>201</v>
      </c>
      <c r="CC57" s="292" t="s">
        <v>202</v>
      </c>
      <c r="CD57" s="292" t="s">
        <v>213</v>
      </c>
      <c r="CE57" s="292" t="s">
        <v>203</v>
      </c>
      <c r="CF57" s="2"/>
      <c r="CG57" s="2"/>
    </row>
    <row r="58" spans="1:85" ht="12.65" customHeight="1" x14ac:dyDescent="0.3">
      <c r="A58" s="297" t="s">
        <v>214</v>
      </c>
      <c r="B58" s="290"/>
      <c r="C58" s="291" t="s">
        <v>215</v>
      </c>
      <c r="D58" s="292" t="s">
        <v>215</v>
      </c>
      <c r="E58" s="292" t="s">
        <v>215</v>
      </c>
      <c r="F58" s="292" t="s">
        <v>215</v>
      </c>
      <c r="G58" s="292" t="s">
        <v>215</v>
      </c>
      <c r="H58" s="292" t="s">
        <v>215</v>
      </c>
      <c r="I58" s="292" t="s">
        <v>215</v>
      </c>
      <c r="J58" s="292" t="s">
        <v>216</v>
      </c>
      <c r="K58" s="292" t="s">
        <v>215</v>
      </c>
      <c r="L58" s="292" t="s">
        <v>215</v>
      </c>
      <c r="M58" s="292" t="s">
        <v>215</v>
      </c>
      <c r="N58" s="292" t="s">
        <v>215</v>
      </c>
      <c r="O58" s="292" t="s">
        <v>217</v>
      </c>
      <c r="P58" s="292" t="s">
        <v>218</v>
      </c>
      <c r="Q58" s="292" t="s">
        <v>219</v>
      </c>
      <c r="R58" s="293" t="s">
        <v>220</v>
      </c>
      <c r="S58" s="300" t="s">
        <v>221</v>
      </c>
      <c r="T58" s="300" t="s">
        <v>221</v>
      </c>
      <c r="U58" s="292" t="s">
        <v>222</v>
      </c>
      <c r="V58" s="292" t="s">
        <v>222</v>
      </c>
      <c r="W58" s="292" t="s">
        <v>223</v>
      </c>
      <c r="X58" s="292" t="s">
        <v>224</v>
      </c>
      <c r="Y58" s="292" t="s">
        <v>225</v>
      </c>
      <c r="Z58" s="292" t="s">
        <v>225</v>
      </c>
      <c r="AA58" s="292" t="s">
        <v>225</v>
      </c>
      <c r="AB58" s="300" t="s">
        <v>221</v>
      </c>
      <c r="AC58" s="292" t="s">
        <v>226</v>
      </c>
      <c r="AD58" s="292" t="s">
        <v>227</v>
      </c>
      <c r="AE58" s="292" t="s">
        <v>226</v>
      </c>
      <c r="AF58" s="292" t="s">
        <v>228</v>
      </c>
      <c r="AG58" s="292" t="s">
        <v>228</v>
      </c>
      <c r="AH58" s="292" t="s">
        <v>229</v>
      </c>
      <c r="AI58" s="292" t="s">
        <v>230</v>
      </c>
      <c r="AJ58" s="292" t="s">
        <v>228</v>
      </c>
      <c r="AK58" s="292" t="s">
        <v>226</v>
      </c>
      <c r="AL58" s="292" t="s">
        <v>226</v>
      </c>
      <c r="AM58" s="292" t="s">
        <v>226</v>
      </c>
      <c r="AN58" s="292" t="s">
        <v>217</v>
      </c>
      <c r="AO58" s="292" t="s">
        <v>227</v>
      </c>
      <c r="AP58" s="292" t="s">
        <v>228</v>
      </c>
      <c r="AQ58" s="292" t="s">
        <v>229</v>
      </c>
      <c r="AR58" s="292" t="s">
        <v>228</v>
      </c>
      <c r="AS58" s="292" t="s">
        <v>226</v>
      </c>
      <c r="AT58" s="292" t="s">
        <v>1212</v>
      </c>
      <c r="AU58" s="292" t="s">
        <v>228</v>
      </c>
      <c r="AV58" s="300" t="s">
        <v>221</v>
      </c>
      <c r="AW58" s="300" t="s">
        <v>221</v>
      </c>
      <c r="AX58" s="300" t="s">
        <v>221</v>
      </c>
      <c r="AY58" s="292" t="s">
        <v>231</v>
      </c>
      <c r="AZ58" s="292" t="s">
        <v>231</v>
      </c>
      <c r="BA58" s="300" t="s">
        <v>221</v>
      </c>
      <c r="BB58" s="300" t="s">
        <v>221</v>
      </c>
      <c r="BC58" s="300" t="s">
        <v>221</v>
      </c>
      <c r="BD58" s="300" t="s">
        <v>221</v>
      </c>
      <c r="BE58" s="292" t="s">
        <v>232</v>
      </c>
      <c r="BF58" s="300" t="s">
        <v>221</v>
      </c>
      <c r="BG58" s="300" t="s">
        <v>221</v>
      </c>
      <c r="BH58" s="300" t="s">
        <v>221</v>
      </c>
      <c r="BI58" s="300" t="s">
        <v>221</v>
      </c>
      <c r="BJ58" s="300" t="s">
        <v>221</v>
      </c>
      <c r="BK58" s="300" t="s">
        <v>221</v>
      </c>
      <c r="BL58" s="300" t="s">
        <v>221</v>
      </c>
      <c r="BM58" s="300" t="s">
        <v>221</v>
      </c>
      <c r="BN58" s="300" t="s">
        <v>221</v>
      </c>
      <c r="BO58" s="300" t="s">
        <v>221</v>
      </c>
      <c r="BP58" s="300" t="s">
        <v>221</v>
      </c>
      <c r="BQ58" s="300" t="s">
        <v>221</v>
      </c>
      <c r="BR58" s="300" t="s">
        <v>221</v>
      </c>
      <c r="BS58" s="300" t="s">
        <v>221</v>
      </c>
      <c r="BT58" s="300" t="s">
        <v>221</v>
      </c>
      <c r="BU58" s="300" t="s">
        <v>221</v>
      </c>
      <c r="BV58" s="300" t="s">
        <v>221</v>
      </c>
      <c r="BW58" s="300" t="s">
        <v>221</v>
      </c>
      <c r="BX58" s="300" t="s">
        <v>221</v>
      </c>
      <c r="BY58" s="300" t="s">
        <v>221</v>
      </c>
      <c r="BZ58" s="300" t="s">
        <v>221</v>
      </c>
      <c r="CA58" s="300" t="s">
        <v>221</v>
      </c>
      <c r="CB58" s="300" t="s">
        <v>221</v>
      </c>
      <c r="CC58" s="300" t="s">
        <v>221</v>
      </c>
      <c r="CD58" s="300" t="s">
        <v>221</v>
      </c>
      <c r="CE58" s="300" t="s">
        <v>221</v>
      </c>
      <c r="CF58" s="2"/>
      <c r="CG58" s="2"/>
    </row>
    <row r="59" spans="1:85" ht="12.65" customHeight="1" x14ac:dyDescent="0.3">
      <c r="A59" s="297" t="s">
        <v>233</v>
      </c>
      <c r="B59" s="290"/>
      <c r="C59" s="295">
        <v>263</v>
      </c>
      <c r="D59" s="295"/>
      <c r="E59" s="295">
        <f>4127-263</f>
        <v>3864</v>
      </c>
      <c r="F59" s="295"/>
      <c r="G59" s="295"/>
      <c r="H59" s="295"/>
      <c r="I59" s="295"/>
      <c r="J59" s="295">
        <v>238</v>
      </c>
      <c r="K59" s="295"/>
      <c r="L59" s="295">
        <v>188</v>
      </c>
      <c r="M59" s="295"/>
      <c r="N59" s="295"/>
      <c r="O59" s="295">
        <v>112</v>
      </c>
      <c r="P59" s="295">
        <v>174972</v>
      </c>
      <c r="Q59" s="295">
        <v>37402</v>
      </c>
      <c r="R59" s="295">
        <v>173729</v>
      </c>
      <c r="S59" s="295"/>
      <c r="T59" s="295"/>
      <c r="U59" s="295">
        <v>221752</v>
      </c>
      <c r="V59" s="295">
        <v>1223</v>
      </c>
      <c r="W59" s="295">
        <v>2246</v>
      </c>
      <c r="X59" s="295">
        <v>5720</v>
      </c>
      <c r="Y59" s="295">
        <v>17752</v>
      </c>
      <c r="Z59" s="295"/>
      <c r="AA59" s="295">
        <v>436</v>
      </c>
      <c r="AB59" s="295"/>
      <c r="AC59" s="295">
        <v>42603</v>
      </c>
      <c r="AD59" s="295"/>
      <c r="AE59" s="295">
        <v>98895</v>
      </c>
      <c r="AF59" s="295"/>
      <c r="AG59" s="295">
        <v>12684</v>
      </c>
      <c r="AH59" s="295"/>
      <c r="AI59" s="295">
        <v>17642</v>
      </c>
      <c r="AJ59" s="295">
        <v>102544</v>
      </c>
      <c r="AK59" s="295"/>
      <c r="AL59" s="295"/>
      <c r="AM59" s="295"/>
      <c r="AN59" s="295"/>
      <c r="AO59" s="295"/>
      <c r="AP59" s="295"/>
      <c r="AQ59" s="295"/>
      <c r="AR59" s="295">
        <f>12779+5189</f>
        <v>17968</v>
      </c>
      <c r="AS59" s="295"/>
      <c r="AT59" s="295"/>
      <c r="AU59" s="295"/>
      <c r="AV59" s="295"/>
      <c r="AW59" s="295"/>
      <c r="AX59" s="295"/>
      <c r="AY59" s="295">
        <v>15632</v>
      </c>
      <c r="AZ59" s="295"/>
      <c r="BA59" s="295"/>
      <c r="BB59" s="295"/>
      <c r="BC59" s="295"/>
      <c r="BD59" s="295"/>
      <c r="BE59" s="295">
        <v>228101</v>
      </c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5"/>
      <c r="CC59" s="295"/>
      <c r="CD59" s="300"/>
      <c r="CE59" s="290"/>
      <c r="CF59" s="2"/>
      <c r="CG59" s="2"/>
    </row>
    <row r="60" spans="1:85" ht="12.65" customHeight="1" x14ac:dyDescent="0.3">
      <c r="A60" s="301" t="s">
        <v>234</v>
      </c>
      <c r="B60" s="290"/>
      <c r="C60" s="185">
        <v>12.555413461538464</v>
      </c>
      <c r="D60" s="185"/>
      <c r="E60" s="185">
        <v>39.69358173076931</v>
      </c>
      <c r="F60" s="185"/>
      <c r="G60" s="185"/>
      <c r="H60" s="185"/>
      <c r="I60" s="185"/>
      <c r="J60" s="185"/>
      <c r="K60" s="185"/>
      <c r="L60" s="185"/>
      <c r="M60" s="185"/>
      <c r="N60" s="185">
        <v>5.8964157852564094</v>
      </c>
      <c r="O60" s="185">
        <v>10.279706730769238</v>
      </c>
      <c r="P60" s="185">
        <v>14.749932692307704</v>
      </c>
      <c r="Q60" s="185">
        <v>0.48168269230769228</v>
      </c>
      <c r="R60" s="185">
        <v>5</v>
      </c>
      <c r="S60" s="185">
        <v>2.7145673076923069</v>
      </c>
      <c r="T60" s="185"/>
      <c r="U60" s="185">
        <v>25.407504807692323</v>
      </c>
      <c r="V60" s="185">
        <v>6.0961538461538456E-2</v>
      </c>
      <c r="W60" s="185">
        <v>1.5808173076923078</v>
      </c>
      <c r="X60" s="185">
        <v>1.4874038461538461</v>
      </c>
      <c r="Y60" s="185">
        <v>19.153730769230776</v>
      </c>
      <c r="Z60" s="185"/>
      <c r="AA60" s="185">
        <v>0.85281249999999997</v>
      </c>
      <c r="AB60" s="185">
        <v>11.880235576923084</v>
      </c>
      <c r="AC60" s="185">
        <v>8.0154705769230787</v>
      </c>
      <c r="AD60" s="185"/>
      <c r="AE60" s="185">
        <v>31.136274038461572</v>
      </c>
      <c r="AF60" s="185"/>
      <c r="AG60" s="185">
        <v>25.740552884615397</v>
      </c>
      <c r="AH60" s="185"/>
      <c r="AI60" s="185">
        <v>24.65959674125876</v>
      </c>
      <c r="AJ60" s="185">
        <v>171.22678424248068</v>
      </c>
      <c r="AK60" s="185"/>
      <c r="AL60" s="185"/>
      <c r="AM60" s="185"/>
      <c r="AN60" s="185"/>
      <c r="AO60" s="185"/>
      <c r="AP60" s="185"/>
      <c r="AQ60" s="185"/>
      <c r="AR60" s="185">
        <v>35.577307692307734</v>
      </c>
      <c r="AS60" s="185"/>
      <c r="AT60" s="185"/>
      <c r="AU60" s="185"/>
      <c r="AV60" s="185">
        <v>17.619620192307703</v>
      </c>
      <c r="AW60" s="185"/>
      <c r="AX60" s="185"/>
      <c r="AY60" s="185">
        <v>15.548197115384626</v>
      </c>
      <c r="AZ60" s="185"/>
      <c r="BA60" s="185"/>
      <c r="BB60" s="185"/>
      <c r="BC60" s="185"/>
      <c r="BD60" s="185">
        <v>8.1161538461538427</v>
      </c>
      <c r="BE60" s="185">
        <v>16.605903846153861</v>
      </c>
      <c r="BF60" s="185">
        <v>25.060524038461573</v>
      </c>
      <c r="BG60" s="185"/>
      <c r="BH60" s="185">
        <v>14.762774038461545</v>
      </c>
      <c r="BI60" s="185"/>
      <c r="BJ60" s="185">
        <v>7.1298894230769214</v>
      </c>
      <c r="BK60" s="185">
        <v>14.401663461538467</v>
      </c>
      <c r="BL60" s="185">
        <v>14.154024038461547</v>
      </c>
      <c r="BM60" s="185">
        <v>4.7486923076923064</v>
      </c>
      <c r="BN60" s="185">
        <v>9.0806009615384671</v>
      </c>
      <c r="BO60" s="185">
        <v>0.36557211538461548</v>
      </c>
      <c r="BP60" s="185">
        <v>1</v>
      </c>
      <c r="BQ60" s="185"/>
      <c r="BR60" s="185">
        <v>8.4289615384615413</v>
      </c>
      <c r="BS60" s="185">
        <v>0.73653846153846159</v>
      </c>
      <c r="BT60" s="185"/>
      <c r="BU60" s="185"/>
      <c r="BV60" s="185">
        <v>12.013947115384623</v>
      </c>
      <c r="BW60" s="185">
        <v>3.6101265705128203</v>
      </c>
      <c r="BX60" s="185">
        <v>4.228437500000001</v>
      </c>
      <c r="BY60" s="185">
        <v>8.2275096153846174</v>
      </c>
      <c r="BZ60" s="185"/>
      <c r="CA60" s="185"/>
      <c r="CB60" s="185">
        <v>1.365528846153846</v>
      </c>
      <c r="CC60" s="185">
        <v>10.434466346153847</v>
      </c>
      <c r="CD60" s="300" t="s">
        <v>221</v>
      </c>
      <c r="CE60" s="302">
        <f t="shared" ref="CE60:CE70" si="0">SUM(C60:CD60)</f>
        <v>645.78988430104766</v>
      </c>
      <c r="CF60" s="2"/>
      <c r="CG60" s="2"/>
    </row>
    <row r="61" spans="1:85" ht="12.65" customHeight="1" x14ac:dyDescent="0.3">
      <c r="A61" s="297" t="s">
        <v>235</v>
      </c>
      <c r="B61" s="290"/>
      <c r="C61" s="295">
        <v>1111070</v>
      </c>
      <c r="D61" s="295"/>
      <c r="E61" s="295">
        <v>2935627</v>
      </c>
      <c r="F61" s="295"/>
      <c r="G61" s="295"/>
      <c r="H61" s="295"/>
      <c r="I61" s="295"/>
      <c r="J61" s="295"/>
      <c r="K61" s="295"/>
      <c r="L61" s="295">
        <v>264</v>
      </c>
      <c r="M61" s="295"/>
      <c r="N61" s="295">
        <v>1626312</v>
      </c>
      <c r="O61" s="295">
        <v>1091586</v>
      </c>
      <c r="P61" s="295">
        <v>1435707</v>
      </c>
      <c r="Q61" s="295">
        <v>37819</v>
      </c>
      <c r="R61" s="295">
        <v>1101861</v>
      </c>
      <c r="S61" s="295">
        <v>129888</v>
      </c>
      <c r="T61" s="295"/>
      <c r="U61" s="295">
        <v>1700148</v>
      </c>
      <c r="V61" s="295">
        <v>0</v>
      </c>
      <c r="W61" s="295">
        <v>151627</v>
      </c>
      <c r="X61" s="295">
        <v>121235</v>
      </c>
      <c r="Y61" s="295">
        <v>1526903</v>
      </c>
      <c r="Z61" s="295"/>
      <c r="AA61" s="295">
        <v>107941</v>
      </c>
      <c r="AB61" s="295">
        <v>1169351</v>
      </c>
      <c r="AC61" s="295">
        <v>704189</v>
      </c>
      <c r="AD61" s="295"/>
      <c r="AE61" s="295">
        <v>2585347</v>
      </c>
      <c r="AF61" s="295"/>
      <c r="AG61" s="295">
        <v>2319942</v>
      </c>
      <c r="AH61" s="295"/>
      <c r="AI61" s="295">
        <v>2745112</v>
      </c>
      <c r="AJ61" s="295">
        <v>17396466</v>
      </c>
      <c r="AK61" s="295"/>
      <c r="AL61" s="295"/>
      <c r="AM61" s="295"/>
      <c r="AN61" s="295"/>
      <c r="AO61" s="295"/>
      <c r="AP61" s="295"/>
      <c r="AQ61" s="295"/>
      <c r="AR61" s="295">
        <v>3202624</v>
      </c>
      <c r="AS61" s="295"/>
      <c r="AT61" s="295"/>
      <c r="AU61" s="295"/>
      <c r="AV61" s="295">
        <v>1369053</v>
      </c>
      <c r="AW61" s="295"/>
      <c r="AX61" s="295"/>
      <c r="AY61" s="295">
        <v>742339</v>
      </c>
      <c r="AZ61" s="295"/>
      <c r="BA61" s="295"/>
      <c r="BB61" s="295"/>
      <c r="BC61" s="295"/>
      <c r="BD61" s="295">
        <v>459314</v>
      </c>
      <c r="BE61" s="295">
        <v>1087666</v>
      </c>
      <c r="BF61" s="295">
        <v>1050726</v>
      </c>
      <c r="BG61" s="295"/>
      <c r="BH61" s="295">
        <v>1309781</v>
      </c>
      <c r="BI61" s="295"/>
      <c r="BJ61" s="295">
        <v>726018</v>
      </c>
      <c r="BK61" s="295">
        <v>820400</v>
      </c>
      <c r="BL61" s="295">
        <v>668404</v>
      </c>
      <c r="BM61" s="295">
        <v>380059</v>
      </c>
      <c r="BN61" s="295">
        <v>1166781</v>
      </c>
      <c r="BO61" s="295">
        <v>20650</v>
      </c>
      <c r="BP61" s="295">
        <v>92253</v>
      </c>
      <c r="BQ61" s="295"/>
      <c r="BR61" s="295">
        <v>779190</v>
      </c>
      <c r="BS61" s="295">
        <v>77849</v>
      </c>
      <c r="BT61" s="295"/>
      <c r="BU61" s="295"/>
      <c r="BV61" s="295">
        <v>583295</v>
      </c>
      <c r="BW61" s="295">
        <v>605211</v>
      </c>
      <c r="BX61" s="295">
        <v>413212</v>
      </c>
      <c r="BY61" s="295">
        <v>1027183</v>
      </c>
      <c r="BZ61" s="295"/>
      <c r="CA61" s="295"/>
      <c r="CB61" s="295">
        <v>58619</v>
      </c>
      <c r="CC61" s="295">
        <v>1235261</v>
      </c>
      <c r="CD61" s="300" t="s">
        <v>221</v>
      </c>
      <c r="CE61" s="290">
        <f t="shared" si="0"/>
        <v>57874283</v>
      </c>
      <c r="CF61" s="2"/>
      <c r="CG61" s="2"/>
    </row>
    <row r="62" spans="1:85" ht="12.65" customHeight="1" x14ac:dyDescent="0.3">
      <c r="A62" s="297" t="s">
        <v>3</v>
      </c>
      <c r="B62" s="290"/>
      <c r="C62" s="290">
        <f t="shared" ref="C62:BN62" si="1">ROUND(C47+C48,0)</f>
        <v>264067</v>
      </c>
      <c r="D62" s="290">
        <f t="shared" si="1"/>
        <v>0</v>
      </c>
      <c r="E62" s="290">
        <f t="shared" si="1"/>
        <v>697708</v>
      </c>
      <c r="F62" s="290">
        <f t="shared" si="1"/>
        <v>0</v>
      </c>
      <c r="G62" s="290">
        <f t="shared" si="1"/>
        <v>0</v>
      </c>
      <c r="H62" s="290">
        <f t="shared" si="1"/>
        <v>0</v>
      </c>
      <c r="I62" s="290">
        <f t="shared" si="1"/>
        <v>0</v>
      </c>
      <c r="J62" s="290">
        <f>ROUND(J47+J48,0)</f>
        <v>0</v>
      </c>
      <c r="K62" s="290">
        <f t="shared" si="1"/>
        <v>0</v>
      </c>
      <c r="L62" s="290">
        <f t="shared" si="1"/>
        <v>63</v>
      </c>
      <c r="M62" s="290">
        <f t="shared" si="1"/>
        <v>0</v>
      </c>
      <c r="N62" s="290">
        <f t="shared" si="1"/>
        <v>386524</v>
      </c>
      <c r="O62" s="290">
        <f t="shared" si="1"/>
        <v>259436</v>
      </c>
      <c r="P62" s="290">
        <f t="shared" si="1"/>
        <v>341223</v>
      </c>
      <c r="Q62" s="290">
        <f t="shared" si="1"/>
        <v>8988</v>
      </c>
      <c r="R62" s="290">
        <f t="shared" si="1"/>
        <v>261878</v>
      </c>
      <c r="S62" s="290">
        <f t="shared" si="1"/>
        <v>30870</v>
      </c>
      <c r="T62" s="290">
        <f t="shared" si="1"/>
        <v>0</v>
      </c>
      <c r="U62" s="290">
        <f t="shared" si="1"/>
        <v>404073</v>
      </c>
      <c r="V62" s="290">
        <f t="shared" si="1"/>
        <v>0</v>
      </c>
      <c r="W62" s="290">
        <f t="shared" si="1"/>
        <v>36037</v>
      </c>
      <c r="X62" s="290">
        <f t="shared" si="1"/>
        <v>28814</v>
      </c>
      <c r="Y62" s="290">
        <f t="shared" si="1"/>
        <v>362898</v>
      </c>
      <c r="Z62" s="290">
        <f t="shared" si="1"/>
        <v>0</v>
      </c>
      <c r="AA62" s="290">
        <f t="shared" si="1"/>
        <v>25654</v>
      </c>
      <c r="AB62" s="290">
        <f t="shared" si="1"/>
        <v>277919</v>
      </c>
      <c r="AC62" s="290">
        <f t="shared" si="1"/>
        <v>167364</v>
      </c>
      <c r="AD62" s="290">
        <f t="shared" si="1"/>
        <v>0</v>
      </c>
      <c r="AE62" s="290">
        <f t="shared" si="1"/>
        <v>614457</v>
      </c>
      <c r="AF62" s="290">
        <f t="shared" si="1"/>
        <v>0</v>
      </c>
      <c r="AG62" s="290">
        <f t="shared" si="1"/>
        <v>551378</v>
      </c>
      <c r="AH62" s="290">
        <f t="shared" si="1"/>
        <v>0</v>
      </c>
      <c r="AI62" s="290">
        <f t="shared" si="1"/>
        <v>652428</v>
      </c>
      <c r="AJ62" s="290">
        <f t="shared" si="1"/>
        <v>4134601</v>
      </c>
      <c r="AK62" s="290">
        <f t="shared" si="1"/>
        <v>0</v>
      </c>
      <c r="AL62" s="290">
        <f t="shared" si="1"/>
        <v>0</v>
      </c>
      <c r="AM62" s="290">
        <f t="shared" si="1"/>
        <v>0</v>
      </c>
      <c r="AN62" s="290">
        <f t="shared" si="1"/>
        <v>0</v>
      </c>
      <c r="AO62" s="290">
        <f t="shared" si="1"/>
        <v>0</v>
      </c>
      <c r="AP62" s="290">
        <f t="shared" si="1"/>
        <v>0</v>
      </c>
      <c r="AQ62" s="290">
        <f t="shared" si="1"/>
        <v>0</v>
      </c>
      <c r="AR62" s="290">
        <f t="shared" si="1"/>
        <v>761165</v>
      </c>
      <c r="AS62" s="290">
        <f t="shared" si="1"/>
        <v>0</v>
      </c>
      <c r="AT62" s="290">
        <f t="shared" si="1"/>
        <v>0</v>
      </c>
      <c r="AU62" s="290">
        <f t="shared" si="1"/>
        <v>0</v>
      </c>
      <c r="AV62" s="290">
        <f t="shared" si="1"/>
        <v>325382</v>
      </c>
      <c r="AW62" s="290">
        <f t="shared" si="1"/>
        <v>0</v>
      </c>
      <c r="AX62" s="290">
        <f t="shared" si="1"/>
        <v>0</v>
      </c>
      <c r="AY62" s="290">
        <f>ROUND(AY47+AY48,0)</f>
        <v>176431</v>
      </c>
      <c r="AZ62" s="290">
        <f>ROUND(AZ47+AZ48,0)</f>
        <v>0</v>
      </c>
      <c r="BA62" s="290">
        <f>ROUND(BA47+BA48,0)</f>
        <v>0</v>
      </c>
      <c r="BB62" s="290">
        <f t="shared" si="1"/>
        <v>0</v>
      </c>
      <c r="BC62" s="290">
        <f t="shared" si="1"/>
        <v>0</v>
      </c>
      <c r="BD62" s="290">
        <f t="shared" si="1"/>
        <v>109165</v>
      </c>
      <c r="BE62" s="290">
        <f t="shared" si="1"/>
        <v>258505</v>
      </c>
      <c r="BF62" s="290">
        <f t="shared" si="1"/>
        <v>249725</v>
      </c>
      <c r="BG62" s="290">
        <f t="shared" si="1"/>
        <v>0</v>
      </c>
      <c r="BH62" s="290">
        <f t="shared" si="1"/>
        <v>311294</v>
      </c>
      <c r="BI62" s="290">
        <f t="shared" si="1"/>
        <v>0</v>
      </c>
      <c r="BJ62" s="290">
        <f t="shared" si="1"/>
        <v>172552</v>
      </c>
      <c r="BK62" s="290">
        <f t="shared" si="1"/>
        <v>194984</v>
      </c>
      <c r="BL62" s="290">
        <f t="shared" si="1"/>
        <v>158859</v>
      </c>
      <c r="BM62" s="290">
        <f t="shared" si="1"/>
        <v>90328</v>
      </c>
      <c r="BN62" s="290">
        <f t="shared" si="1"/>
        <v>277308</v>
      </c>
      <c r="BO62" s="290">
        <f t="shared" ref="BO62:CC62" si="2">ROUND(BO47+BO48,0)</f>
        <v>4908</v>
      </c>
      <c r="BP62" s="290">
        <f t="shared" si="2"/>
        <v>21926</v>
      </c>
      <c r="BQ62" s="290">
        <f t="shared" si="2"/>
        <v>0</v>
      </c>
      <c r="BR62" s="290">
        <f t="shared" si="2"/>
        <v>185189</v>
      </c>
      <c r="BS62" s="290">
        <f t="shared" si="2"/>
        <v>18502</v>
      </c>
      <c r="BT62" s="290">
        <f t="shared" si="2"/>
        <v>0</v>
      </c>
      <c r="BU62" s="290">
        <f t="shared" si="2"/>
        <v>0</v>
      </c>
      <c r="BV62" s="290">
        <f t="shared" si="2"/>
        <v>138631</v>
      </c>
      <c r="BW62" s="290">
        <f t="shared" si="2"/>
        <v>143840</v>
      </c>
      <c r="BX62" s="290">
        <f t="shared" si="2"/>
        <v>98208</v>
      </c>
      <c r="BY62" s="290">
        <f t="shared" si="2"/>
        <v>244130</v>
      </c>
      <c r="BZ62" s="290">
        <f t="shared" si="2"/>
        <v>0</v>
      </c>
      <c r="CA62" s="290">
        <f t="shared" si="2"/>
        <v>0</v>
      </c>
      <c r="CB62" s="290">
        <f t="shared" si="2"/>
        <v>13932</v>
      </c>
      <c r="CC62" s="290">
        <f t="shared" si="2"/>
        <v>293583</v>
      </c>
      <c r="CD62" s="300" t="s">
        <v>221</v>
      </c>
      <c r="CE62" s="290">
        <f t="shared" si="0"/>
        <v>13754927</v>
      </c>
      <c r="CF62" s="2"/>
      <c r="CG62" s="2"/>
    </row>
    <row r="63" spans="1:85" ht="12.65" customHeight="1" x14ac:dyDescent="0.3">
      <c r="A63" s="297" t="s">
        <v>236</v>
      </c>
      <c r="B63" s="290"/>
      <c r="C63" s="295">
        <v>74047</v>
      </c>
      <c r="D63" s="295"/>
      <c r="E63" s="295">
        <v>6464</v>
      </c>
      <c r="F63" s="295"/>
      <c r="G63" s="295"/>
      <c r="H63" s="295"/>
      <c r="I63" s="295"/>
      <c r="J63" s="295"/>
      <c r="K63" s="295"/>
      <c r="L63" s="295"/>
      <c r="M63" s="295"/>
      <c r="N63" s="295">
        <v>237457</v>
      </c>
      <c r="O63" s="295">
        <v>40203</v>
      </c>
      <c r="P63" s="295">
        <v>319760</v>
      </c>
      <c r="Q63" s="295"/>
      <c r="R63" s="295"/>
      <c r="S63" s="295">
        <v>24832</v>
      </c>
      <c r="T63" s="295"/>
      <c r="U63" s="295">
        <v>144923</v>
      </c>
      <c r="V63" s="295"/>
      <c r="W63" s="295"/>
      <c r="X63" s="295"/>
      <c r="Y63" s="295">
        <v>53114</v>
      </c>
      <c r="Z63" s="295"/>
      <c r="AA63" s="295">
        <v>1832</v>
      </c>
      <c r="AB63" s="295">
        <v>1106332</v>
      </c>
      <c r="AC63" s="295"/>
      <c r="AD63" s="295"/>
      <c r="AE63" s="295">
        <v>464591</v>
      </c>
      <c r="AF63" s="295"/>
      <c r="AG63" s="295">
        <v>2415254</v>
      </c>
      <c r="AH63" s="295"/>
      <c r="AI63" s="295"/>
      <c r="AJ63" s="295">
        <v>836144</v>
      </c>
      <c r="AK63" s="295"/>
      <c r="AL63" s="295"/>
      <c r="AM63" s="295"/>
      <c r="AN63" s="295"/>
      <c r="AO63" s="295"/>
      <c r="AP63" s="295"/>
      <c r="AQ63" s="295"/>
      <c r="AR63" s="295">
        <v>87990</v>
      </c>
      <c r="AS63" s="295"/>
      <c r="AT63" s="295"/>
      <c r="AU63" s="295"/>
      <c r="AV63" s="295">
        <v>519570</v>
      </c>
      <c r="AW63" s="295"/>
      <c r="AX63" s="295"/>
      <c r="AY63" s="295"/>
      <c r="AZ63" s="295"/>
      <c r="BA63" s="295"/>
      <c r="BB63" s="295"/>
      <c r="BC63" s="295"/>
      <c r="BD63" s="295"/>
      <c r="BE63" s="295">
        <v>2295</v>
      </c>
      <c r="BF63" s="295"/>
      <c r="BG63" s="295"/>
      <c r="BH63" s="295"/>
      <c r="BI63" s="295"/>
      <c r="BJ63" s="295">
        <v>4360</v>
      </c>
      <c r="BK63" s="295">
        <v>6680</v>
      </c>
      <c r="BL63" s="295"/>
      <c r="BM63" s="295">
        <v>112</v>
      </c>
      <c r="BN63" s="295">
        <v>90412</v>
      </c>
      <c r="BO63" s="295"/>
      <c r="BP63" s="295"/>
      <c r="BQ63" s="295"/>
      <c r="BR63" s="295">
        <v>54361</v>
      </c>
      <c r="BS63" s="295"/>
      <c r="BT63" s="295"/>
      <c r="BU63" s="295"/>
      <c r="BV63" s="295"/>
      <c r="BW63" s="295">
        <v>13200</v>
      </c>
      <c r="BX63" s="295"/>
      <c r="BY63" s="295"/>
      <c r="BZ63" s="295"/>
      <c r="CA63" s="295"/>
      <c r="CB63" s="295"/>
      <c r="CC63" s="295">
        <v>72013</v>
      </c>
      <c r="CD63" s="300" t="s">
        <v>221</v>
      </c>
      <c r="CE63" s="290">
        <f t="shared" si="0"/>
        <v>6575946</v>
      </c>
      <c r="CF63" s="2"/>
      <c r="CG63" s="2"/>
    </row>
    <row r="64" spans="1:85" ht="12.65" customHeight="1" x14ac:dyDescent="0.3">
      <c r="A64" s="297" t="s">
        <v>237</v>
      </c>
      <c r="B64" s="290"/>
      <c r="C64" s="295">
        <v>84775</v>
      </c>
      <c r="D64" s="295"/>
      <c r="E64" s="295">
        <v>308008</v>
      </c>
      <c r="F64" s="295"/>
      <c r="G64" s="295"/>
      <c r="H64" s="295"/>
      <c r="I64" s="295"/>
      <c r="J64" s="295"/>
      <c r="K64" s="295"/>
      <c r="L64" s="295"/>
      <c r="M64" s="295"/>
      <c r="N64" s="295">
        <v>25895</v>
      </c>
      <c r="O64" s="295">
        <v>57087</v>
      </c>
      <c r="P64" s="295">
        <v>1555871</v>
      </c>
      <c r="Q64" s="295">
        <v>7120</v>
      </c>
      <c r="R64" s="295">
        <v>109728</v>
      </c>
      <c r="S64" s="295">
        <v>1723873</v>
      </c>
      <c r="T64" s="295"/>
      <c r="U64" s="295">
        <v>1263236</v>
      </c>
      <c r="V64" s="295">
        <v>0</v>
      </c>
      <c r="W64" s="295">
        <v>33376</v>
      </c>
      <c r="X64" s="295">
        <v>172983</v>
      </c>
      <c r="Y64" s="295">
        <v>63490</v>
      </c>
      <c r="Z64" s="295"/>
      <c r="AA64" s="295">
        <v>103404</v>
      </c>
      <c r="AB64" s="295">
        <v>13351923</v>
      </c>
      <c r="AC64" s="295">
        <v>112556</v>
      </c>
      <c r="AD64" s="295"/>
      <c r="AE64" s="295">
        <v>73109</v>
      </c>
      <c r="AF64" s="295"/>
      <c r="AG64" s="295">
        <v>298765</v>
      </c>
      <c r="AH64" s="295"/>
      <c r="AI64" s="295">
        <v>396044</v>
      </c>
      <c r="AJ64" s="295">
        <v>1800499</v>
      </c>
      <c r="AK64" s="295"/>
      <c r="AL64" s="295"/>
      <c r="AM64" s="295"/>
      <c r="AN64" s="295"/>
      <c r="AO64" s="295"/>
      <c r="AP64" s="295"/>
      <c r="AQ64" s="295"/>
      <c r="AR64" s="295">
        <v>336584</v>
      </c>
      <c r="AS64" s="295"/>
      <c r="AT64" s="295"/>
      <c r="AU64" s="295"/>
      <c r="AV64" s="295">
        <v>103228</v>
      </c>
      <c r="AW64" s="295"/>
      <c r="AX64" s="295"/>
      <c r="AY64" s="295">
        <v>345083</v>
      </c>
      <c r="AZ64" s="295"/>
      <c r="BA64" s="295">
        <v>58275</v>
      </c>
      <c r="BB64" s="295"/>
      <c r="BC64" s="295"/>
      <c r="BD64" s="295">
        <v>7297</v>
      </c>
      <c r="BE64" s="295">
        <v>60748</v>
      </c>
      <c r="BF64" s="295">
        <v>174414</v>
      </c>
      <c r="BG64" s="295">
        <v>6915</v>
      </c>
      <c r="BH64" s="295">
        <v>389544</v>
      </c>
      <c r="BI64" s="295"/>
      <c r="BJ64" s="295">
        <v>31011</v>
      </c>
      <c r="BK64" s="295">
        <v>20366</v>
      </c>
      <c r="BL64" s="295">
        <v>17287</v>
      </c>
      <c r="BM64" s="295">
        <v>2647</v>
      </c>
      <c r="BN64" s="295">
        <v>57388</v>
      </c>
      <c r="BO64" s="295">
        <v>47297</v>
      </c>
      <c r="BP64" s="295">
        <v>36838</v>
      </c>
      <c r="BQ64" s="295"/>
      <c r="BR64" s="295">
        <v>30381</v>
      </c>
      <c r="BS64" s="295">
        <v>3392</v>
      </c>
      <c r="BT64" s="295"/>
      <c r="BU64" s="295"/>
      <c r="BV64" s="295">
        <v>10518</v>
      </c>
      <c r="BW64" s="295">
        <v>23981</v>
      </c>
      <c r="BX64" s="295">
        <v>3945</v>
      </c>
      <c r="BY64" s="295">
        <v>4782</v>
      </c>
      <c r="BZ64" s="295"/>
      <c r="CA64" s="295"/>
      <c r="CB64" s="295">
        <v>8602</v>
      </c>
      <c r="CC64" s="295">
        <v>52797</v>
      </c>
      <c r="CD64" s="300" t="s">
        <v>221</v>
      </c>
      <c r="CE64" s="290">
        <f t="shared" si="0"/>
        <v>23375062</v>
      </c>
      <c r="CF64" s="2"/>
      <c r="CG64" s="2"/>
    </row>
    <row r="65" spans="1:85" ht="12.65" customHeight="1" x14ac:dyDescent="0.3">
      <c r="A65" s="297" t="s">
        <v>238</v>
      </c>
      <c r="B65" s="290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>
        <v>4213</v>
      </c>
      <c r="V65" s="295"/>
      <c r="W65" s="295"/>
      <c r="X65" s="295"/>
      <c r="Y65" s="295"/>
      <c r="Z65" s="295"/>
      <c r="AA65" s="295"/>
      <c r="AB65" s="295">
        <v>7907</v>
      </c>
      <c r="AC65" s="295"/>
      <c r="AD65" s="295"/>
      <c r="AE65" s="295"/>
      <c r="AF65" s="295"/>
      <c r="AG65" s="295"/>
      <c r="AH65" s="295"/>
      <c r="AI65" s="295"/>
      <c r="AJ65" s="295">
        <v>141279</v>
      </c>
      <c r="AK65" s="295"/>
      <c r="AL65" s="295"/>
      <c r="AM65" s="295"/>
      <c r="AN65" s="295"/>
      <c r="AO65" s="295"/>
      <c r="AP65" s="295"/>
      <c r="AQ65" s="295"/>
      <c r="AR65" s="295">
        <v>7155</v>
      </c>
      <c r="AS65" s="295"/>
      <c r="AT65" s="295"/>
      <c r="AU65" s="295"/>
      <c r="AV65" s="295">
        <v>105</v>
      </c>
      <c r="AW65" s="295"/>
      <c r="AX65" s="295"/>
      <c r="AY65" s="295">
        <v>525</v>
      </c>
      <c r="AZ65" s="295"/>
      <c r="BA65" s="295"/>
      <c r="BB65" s="295"/>
      <c r="BC65" s="295"/>
      <c r="BD65" s="295">
        <v>2374</v>
      </c>
      <c r="BE65" s="295">
        <v>797559</v>
      </c>
      <c r="BF65" s="295"/>
      <c r="BG65" s="295">
        <v>184309</v>
      </c>
      <c r="BH65" s="295">
        <v>2149</v>
      </c>
      <c r="BI65" s="295"/>
      <c r="BJ65" s="295">
        <v>345</v>
      </c>
      <c r="BK65" s="295">
        <v>5049</v>
      </c>
      <c r="BL65" s="295"/>
      <c r="BM65" s="295"/>
      <c r="BN65" s="295">
        <v>5285</v>
      </c>
      <c r="BO65" s="295"/>
      <c r="BP65" s="295"/>
      <c r="BQ65" s="295"/>
      <c r="BR65" s="295">
        <v>5407</v>
      </c>
      <c r="BS65" s="295"/>
      <c r="BT65" s="295"/>
      <c r="BU65" s="295"/>
      <c r="BV65" s="295">
        <v>6865</v>
      </c>
      <c r="BW65" s="295"/>
      <c r="BX65" s="295"/>
      <c r="BY65" s="295"/>
      <c r="BZ65" s="295"/>
      <c r="CA65" s="295"/>
      <c r="CB65" s="295">
        <v>3311</v>
      </c>
      <c r="CC65" s="295">
        <v>1716</v>
      </c>
      <c r="CD65" s="300" t="s">
        <v>221</v>
      </c>
      <c r="CE65" s="290">
        <f t="shared" si="0"/>
        <v>1175553</v>
      </c>
      <c r="CF65" s="2"/>
      <c r="CG65" s="2"/>
    </row>
    <row r="66" spans="1:85" ht="12.65" customHeight="1" x14ac:dyDescent="0.3">
      <c r="A66" s="297" t="s">
        <v>239</v>
      </c>
      <c r="B66" s="290"/>
      <c r="C66" s="295">
        <v>5912</v>
      </c>
      <c r="D66" s="295"/>
      <c r="E66" s="295">
        <v>34585</v>
      </c>
      <c r="F66" s="295"/>
      <c r="G66" s="295"/>
      <c r="H66" s="295"/>
      <c r="I66" s="295"/>
      <c r="J66" s="295"/>
      <c r="K66" s="295"/>
      <c r="L66" s="295"/>
      <c r="M66" s="295"/>
      <c r="N66" s="295">
        <v>5069</v>
      </c>
      <c r="O66" s="295">
        <v>2325</v>
      </c>
      <c r="P66" s="295">
        <v>67771</v>
      </c>
      <c r="Q66" s="295"/>
      <c r="R66" s="295">
        <v>10576</v>
      </c>
      <c r="S66" s="295"/>
      <c r="T66" s="295"/>
      <c r="U66" s="295">
        <v>985054</v>
      </c>
      <c r="V66" s="295"/>
      <c r="W66" s="295"/>
      <c r="X66" s="295">
        <v>0</v>
      </c>
      <c r="Y66" s="295">
        <v>388306</v>
      </c>
      <c r="Z66" s="295"/>
      <c r="AA66" s="295">
        <v>37045</v>
      </c>
      <c r="AB66" s="295">
        <v>330743</v>
      </c>
      <c r="AC66" s="295">
        <v>13871</v>
      </c>
      <c r="AD66" s="295"/>
      <c r="AE66" s="295">
        <v>792</v>
      </c>
      <c r="AF66" s="295"/>
      <c r="AG66" s="295">
        <v>6480</v>
      </c>
      <c r="AH66" s="295"/>
      <c r="AI66" s="295">
        <v>17805</v>
      </c>
      <c r="AJ66" s="295">
        <v>897552</v>
      </c>
      <c r="AK66" s="295"/>
      <c r="AL66" s="295"/>
      <c r="AM66" s="295"/>
      <c r="AN66" s="295"/>
      <c r="AO66" s="295"/>
      <c r="AP66" s="295"/>
      <c r="AQ66" s="295"/>
      <c r="AR66" s="295">
        <v>283680</v>
      </c>
      <c r="AS66" s="295"/>
      <c r="AT66" s="295"/>
      <c r="AU66" s="295"/>
      <c r="AV66" s="295">
        <v>2281</v>
      </c>
      <c r="AW66" s="295"/>
      <c r="AX66" s="295"/>
      <c r="AY66" s="295">
        <v>6590</v>
      </c>
      <c r="AZ66" s="295"/>
      <c r="BA66" s="295">
        <v>297684</v>
      </c>
      <c r="BB66" s="295"/>
      <c r="BC66" s="295"/>
      <c r="BD66" s="295">
        <v>319</v>
      </c>
      <c r="BE66" s="295">
        <v>393920</v>
      </c>
      <c r="BF66" s="295">
        <v>19967</v>
      </c>
      <c r="BG66" s="295">
        <v>25699</v>
      </c>
      <c r="BH66" s="295">
        <v>1587841</v>
      </c>
      <c r="BI66" s="295"/>
      <c r="BJ66" s="295">
        <v>83588</v>
      </c>
      <c r="BK66" s="295">
        <v>261346</v>
      </c>
      <c r="BL66" s="295">
        <v>32307</v>
      </c>
      <c r="BM66" s="295">
        <v>1078</v>
      </c>
      <c r="BN66" s="295">
        <v>175733</v>
      </c>
      <c r="BO66" s="295">
        <v>3816</v>
      </c>
      <c r="BP66" s="295">
        <v>50344</v>
      </c>
      <c r="BQ66" s="295"/>
      <c r="BR66" s="295">
        <v>31223</v>
      </c>
      <c r="BS66" s="295"/>
      <c r="BT66" s="295"/>
      <c r="BU66" s="295"/>
      <c r="BV66" s="295">
        <v>98123</v>
      </c>
      <c r="BW66" s="295">
        <v>55180</v>
      </c>
      <c r="BX66" s="295">
        <v>18121</v>
      </c>
      <c r="BY66" s="295">
        <v>113631</v>
      </c>
      <c r="BZ66" s="295"/>
      <c r="CA66" s="295"/>
      <c r="CB66" s="295">
        <v>2289</v>
      </c>
      <c r="CC66" s="295">
        <v>185761</v>
      </c>
      <c r="CD66" s="300" t="s">
        <v>221</v>
      </c>
      <c r="CE66" s="290">
        <f t="shared" si="0"/>
        <v>6534407</v>
      </c>
      <c r="CF66" s="2"/>
      <c r="CG66" s="2"/>
    </row>
    <row r="67" spans="1:85" ht="12.65" customHeight="1" x14ac:dyDescent="0.3">
      <c r="A67" s="297" t="s">
        <v>6</v>
      </c>
      <c r="B67" s="290"/>
      <c r="C67" s="290">
        <f>ROUND(C51+C52,0)</f>
        <v>53156</v>
      </c>
      <c r="D67" s="290">
        <f>ROUND(D51+D52,0)</f>
        <v>0</v>
      </c>
      <c r="E67" s="290">
        <f t="shared" ref="E67:BP67" si="3">ROUND(E51+E52,0)</f>
        <v>120050</v>
      </c>
      <c r="F67" s="290">
        <f t="shared" si="3"/>
        <v>0</v>
      </c>
      <c r="G67" s="290">
        <f t="shared" si="3"/>
        <v>0</v>
      </c>
      <c r="H67" s="290">
        <f t="shared" si="3"/>
        <v>0</v>
      </c>
      <c r="I67" s="290">
        <f t="shared" si="3"/>
        <v>0</v>
      </c>
      <c r="J67" s="290">
        <f>ROUND(J51+J52,0)</f>
        <v>1797</v>
      </c>
      <c r="K67" s="290">
        <f t="shared" si="3"/>
        <v>0</v>
      </c>
      <c r="L67" s="290">
        <f t="shared" si="3"/>
        <v>45543</v>
      </c>
      <c r="M67" s="290">
        <f t="shared" si="3"/>
        <v>0</v>
      </c>
      <c r="N67" s="290">
        <f t="shared" si="3"/>
        <v>6031</v>
      </c>
      <c r="O67" s="290">
        <f t="shared" si="3"/>
        <v>57055</v>
      </c>
      <c r="P67" s="290">
        <f t="shared" si="3"/>
        <v>203102</v>
      </c>
      <c r="Q67" s="290">
        <f t="shared" si="3"/>
        <v>12238</v>
      </c>
      <c r="R67" s="290">
        <f t="shared" si="3"/>
        <v>2828</v>
      </c>
      <c r="S67" s="290">
        <f t="shared" si="3"/>
        <v>15515</v>
      </c>
      <c r="T67" s="290">
        <f t="shared" si="3"/>
        <v>0</v>
      </c>
      <c r="U67" s="290">
        <f t="shared" si="3"/>
        <v>81401</v>
      </c>
      <c r="V67" s="290">
        <f t="shared" si="3"/>
        <v>0</v>
      </c>
      <c r="W67" s="290">
        <f t="shared" si="3"/>
        <v>23024</v>
      </c>
      <c r="X67" s="290">
        <f t="shared" si="3"/>
        <v>11100</v>
      </c>
      <c r="Y67" s="290">
        <f t="shared" si="3"/>
        <v>114763</v>
      </c>
      <c r="Z67" s="290">
        <f t="shared" si="3"/>
        <v>0</v>
      </c>
      <c r="AA67" s="290">
        <f t="shared" si="3"/>
        <v>7434</v>
      </c>
      <c r="AB67" s="290">
        <f t="shared" si="3"/>
        <v>51590</v>
      </c>
      <c r="AC67" s="290">
        <f t="shared" si="3"/>
        <v>35430</v>
      </c>
      <c r="AD67" s="290">
        <f t="shared" si="3"/>
        <v>0</v>
      </c>
      <c r="AE67" s="290">
        <f t="shared" si="3"/>
        <v>134909</v>
      </c>
      <c r="AF67" s="290">
        <f t="shared" si="3"/>
        <v>0</v>
      </c>
      <c r="AG67" s="290">
        <f t="shared" si="3"/>
        <v>139736</v>
      </c>
      <c r="AH67" s="290">
        <f t="shared" si="3"/>
        <v>0</v>
      </c>
      <c r="AI67" s="290">
        <f t="shared" si="3"/>
        <v>132484</v>
      </c>
      <c r="AJ67" s="290">
        <f t="shared" si="3"/>
        <v>1293222</v>
      </c>
      <c r="AK67" s="290">
        <f t="shared" si="3"/>
        <v>0</v>
      </c>
      <c r="AL67" s="290">
        <f t="shared" si="3"/>
        <v>0</v>
      </c>
      <c r="AM67" s="290">
        <f t="shared" si="3"/>
        <v>0</v>
      </c>
      <c r="AN67" s="290">
        <f t="shared" si="3"/>
        <v>0</v>
      </c>
      <c r="AO67" s="290">
        <f t="shared" si="3"/>
        <v>0</v>
      </c>
      <c r="AP67" s="290">
        <f t="shared" si="3"/>
        <v>0</v>
      </c>
      <c r="AQ67" s="290">
        <f t="shared" si="3"/>
        <v>0</v>
      </c>
      <c r="AR67" s="290">
        <f t="shared" si="3"/>
        <v>92184</v>
      </c>
      <c r="AS67" s="290">
        <f t="shared" si="3"/>
        <v>0</v>
      </c>
      <c r="AT67" s="290">
        <f t="shared" si="3"/>
        <v>0</v>
      </c>
      <c r="AU67" s="290">
        <f t="shared" si="3"/>
        <v>0</v>
      </c>
      <c r="AV67" s="290">
        <f t="shared" si="3"/>
        <v>18338</v>
      </c>
      <c r="AW67" s="290">
        <f t="shared" si="3"/>
        <v>0</v>
      </c>
      <c r="AX67" s="290">
        <f t="shared" si="3"/>
        <v>0</v>
      </c>
      <c r="AY67" s="290">
        <f t="shared" si="3"/>
        <v>120450</v>
      </c>
      <c r="AZ67" s="290">
        <f>ROUND(AZ51+AZ52,0)</f>
        <v>0</v>
      </c>
      <c r="BA67" s="290">
        <f>ROUND(BA51+BA52,0)</f>
        <v>0</v>
      </c>
      <c r="BB67" s="290">
        <f t="shared" si="3"/>
        <v>1610</v>
      </c>
      <c r="BC67" s="290">
        <f t="shared" si="3"/>
        <v>0</v>
      </c>
      <c r="BD67" s="290">
        <f t="shared" si="3"/>
        <v>48947</v>
      </c>
      <c r="BE67" s="290">
        <f t="shared" si="3"/>
        <v>1237753</v>
      </c>
      <c r="BF67" s="290">
        <f t="shared" si="3"/>
        <v>57434</v>
      </c>
      <c r="BG67" s="290">
        <f t="shared" si="3"/>
        <v>0</v>
      </c>
      <c r="BH67" s="290">
        <f t="shared" si="3"/>
        <v>78402</v>
      </c>
      <c r="BI67" s="290">
        <f t="shared" si="3"/>
        <v>0</v>
      </c>
      <c r="BJ67" s="290">
        <f t="shared" si="3"/>
        <v>22844</v>
      </c>
      <c r="BK67" s="290">
        <f t="shared" si="3"/>
        <v>83578</v>
      </c>
      <c r="BL67" s="290">
        <f t="shared" si="3"/>
        <v>37656</v>
      </c>
      <c r="BM67" s="290">
        <f t="shared" si="3"/>
        <v>833</v>
      </c>
      <c r="BN67" s="290">
        <f t="shared" si="3"/>
        <v>183433</v>
      </c>
      <c r="BO67" s="290">
        <f t="shared" si="3"/>
        <v>5053</v>
      </c>
      <c r="BP67" s="290">
        <f t="shared" si="3"/>
        <v>6008</v>
      </c>
      <c r="BQ67" s="290">
        <f t="shared" ref="BQ67:CC67" si="4">ROUND(BQ51+BQ52,0)</f>
        <v>0</v>
      </c>
      <c r="BR67" s="290">
        <f t="shared" si="4"/>
        <v>53805</v>
      </c>
      <c r="BS67" s="290">
        <f t="shared" si="4"/>
        <v>11962</v>
      </c>
      <c r="BT67" s="290">
        <f t="shared" si="4"/>
        <v>0</v>
      </c>
      <c r="BU67" s="290">
        <f t="shared" si="4"/>
        <v>0</v>
      </c>
      <c r="BV67" s="290">
        <f t="shared" si="4"/>
        <v>22958</v>
      </c>
      <c r="BW67" s="290">
        <f t="shared" si="4"/>
        <v>8008</v>
      </c>
      <c r="BX67" s="290">
        <f t="shared" si="4"/>
        <v>2324</v>
      </c>
      <c r="BY67" s="290">
        <f t="shared" si="4"/>
        <v>16158</v>
      </c>
      <c r="BZ67" s="290">
        <f t="shared" si="4"/>
        <v>0</v>
      </c>
      <c r="CA67" s="290">
        <f t="shared" si="4"/>
        <v>0</v>
      </c>
      <c r="CB67" s="290">
        <f t="shared" si="4"/>
        <v>33334</v>
      </c>
      <c r="CC67" s="290">
        <f t="shared" si="4"/>
        <v>57867</v>
      </c>
      <c r="CD67" s="300" t="s">
        <v>221</v>
      </c>
      <c r="CE67" s="290">
        <f t="shared" si="0"/>
        <v>4743347</v>
      </c>
      <c r="CF67" s="2"/>
      <c r="CG67" s="2"/>
    </row>
    <row r="68" spans="1:85" ht="12.65" customHeight="1" x14ac:dyDescent="0.3">
      <c r="A68" s="297" t="s">
        <v>240</v>
      </c>
      <c r="B68" s="290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>
        <v>683</v>
      </c>
      <c r="O68" s="295">
        <v>669</v>
      </c>
      <c r="P68" s="295">
        <v>137921</v>
      </c>
      <c r="Q68" s="295"/>
      <c r="R68" s="295">
        <v>3773</v>
      </c>
      <c r="S68" s="295"/>
      <c r="T68" s="295"/>
      <c r="U68" s="295">
        <v>208846</v>
      </c>
      <c r="V68" s="295"/>
      <c r="W68" s="295">
        <v>227537</v>
      </c>
      <c r="X68" s="295"/>
      <c r="Y68" s="295"/>
      <c r="Z68" s="295"/>
      <c r="AA68" s="295"/>
      <c r="AB68" s="295">
        <v>215473</v>
      </c>
      <c r="AC68" s="295">
        <v>24791</v>
      </c>
      <c r="AD68" s="295"/>
      <c r="AE68" s="295">
        <v>26</v>
      </c>
      <c r="AF68" s="295"/>
      <c r="AG68" s="295">
        <v>2475</v>
      </c>
      <c r="AH68" s="295"/>
      <c r="AI68" s="295"/>
      <c r="AJ68" s="295">
        <v>383345</v>
      </c>
      <c r="AK68" s="295"/>
      <c r="AL68" s="295"/>
      <c r="AM68" s="295"/>
      <c r="AN68" s="295"/>
      <c r="AO68" s="295"/>
      <c r="AP68" s="295"/>
      <c r="AQ68" s="295"/>
      <c r="AR68" s="295">
        <v>137536</v>
      </c>
      <c r="AS68" s="295"/>
      <c r="AT68" s="295"/>
      <c r="AU68" s="295"/>
      <c r="AV68" s="295"/>
      <c r="AW68" s="295"/>
      <c r="AX68" s="295"/>
      <c r="AY68" s="295">
        <v>1932</v>
      </c>
      <c r="AZ68" s="295"/>
      <c r="BA68" s="295"/>
      <c r="BB68" s="295"/>
      <c r="BC68" s="295"/>
      <c r="BD68" s="295">
        <v>39996</v>
      </c>
      <c r="BE68" s="295">
        <v>25162</v>
      </c>
      <c r="BF68" s="295"/>
      <c r="BG68" s="295"/>
      <c r="BH68" s="295"/>
      <c r="BI68" s="295"/>
      <c r="BJ68" s="295">
        <v>5561</v>
      </c>
      <c r="BK68" s="295">
        <v>21494</v>
      </c>
      <c r="BL68" s="295"/>
      <c r="BM68" s="295"/>
      <c r="BN68" s="295">
        <v>87350</v>
      </c>
      <c r="BO68" s="295"/>
      <c r="BP68" s="295"/>
      <c r="BQ68" s="295"/>
      <c r="BR68" s="295">
        <v>1590</v>
      </c>
      <c r="BS68" s="295"/>
      <c r="BT68" s="295"/>
      <c r="BU68" s="295"/>
      <c r="BV68" s="295">
        <v>21494</v>
      </c>
      <c r="BW68" s="295">
        <v>1000</v>
      </c>
      <c r="BX68" s="295"/>
      <c r="BY68" s="295">
        <v>-84</v>
      </c>
      <c r="BZ68" s="295"/>
      <c r="CA68" s="295"/>
      <c r="CB68" s="295">
        <v>30297</v>
      </c>
      <c r="CC68" s="295">
        <v>52705</v>
      </c>
      <c r="CD68" s="300" t="s">
        <v>221</v>
      </c>
      <c r="CE68" s="290">
        <f t="shared" si="0"/>
        <v>1631572</v>
      </c>
      <c r="CF68" s="2"/>
      <c r="CG68" s="2"/>
    </row>
    <row r="69" spans="1:85" ht="12.65" customHeight="1" x14ac:dyDescent="0.3">
      <c r="A69" s="297" t="s">
        <v>241</v>
      </c>
      <c r="B69" s="290"/>
      <c r="C69" s="295">
        <v>9570</v>
      </c>
      <c r="D69" s="295"/>
      <c r="E69" s="295">
        <v>17703</v>
      </c>
      <c r="F69" s="295"/>
      <c r="G69" s="295"/>
      <c r="H69" s="295"/>
      <c r="I69" s="295"/>
      <c r="J69" s="295"/>
      <c r="K69" s="295"/>
      <c r="L69" s="295"/>
      <c r="M69" s="295"/>
      <c r="N69" s="295">
        <v>48606</v>
      </c>
      <c r="O69" s="295">
        <v>14856</v>
      </c>
      <c r="P69" s="295">
        <v>55945</v>
      </c>
      <c r="Q69" s="295"/>
      <c r="R69" s="295">
        <v>18845</v>
      </c>
      <c r="S69" s="295">
        <v>2451</v>
      </c>
      <c r="T69" s="295"/>
      <c r="U69" s="295">
        <v>88197</v>
      </c>
      <c r="V69" s="295"/>
      <c r="W69" s="295">
        <v>150774</v>
      </c>
      <c r="X69" s="295">
        <v>101431</v>
      </c>
      <c r="Y69" s="295">
        <v>194478</v>
      </c>
      <c r="Z69" s="295"/>
      <c r="AA69" s="295">
        <v>3717</v>
      </c>
      <c r="AB69" s="295">
        <v>121352</v>
      </c>
      <c r="AC69" s="295">
        <v>24956</v>
      </c>
      <c r="AD69" s="295"/>
      <c r="AE69" s="295">
        <v>26401</v>
      </c>
      <c r="AF69" s="295"/>
      <c r="AG69" s="295">
        <v>48399</v>
      </c>
      <c r="AH69" s="295"/>
      <c r="AI69" s="295">
        <v>47012</v>
      </c>
      <c r="AJ69" s="295">
        <v>314839</v>
      </c>
      <c r="AK69" s="295"/>
      <c r="AL69" s="295"/>
      <c r="AM69" s="295"/>
      <c r="AN69" s="295"/>
      <c r="AO69" s="295"/>
      <c r="AP69" s="295"/>
      <c r="AQ69" s="295"/>
      <c r="AR69" s="295">
        <v>203081</v>
      </c>
      <c r="AS69" s="295"/>
      <c r="AT69" s="295"/>
      <c r="AU69" s="295"/>
      <c r="AV69" s="295">
        <v>39981</v>
      </c>
      <c r="AW69" s="295"/>
      <c r="AX69" s="295"/>
      <c r="AY69" s="295">
        <v>3098</v>
      </c>
      <c r="AZ69" s="295"/>
      <c r="BA69" s="295"/>
      <c r="BB69" s="295"/>
      <c r="BC69" s="295"/>
      <c r="BD69" s="295">
        <v>53986</v>
      </c>
      <c r="BE69" s="295">
        <v>90255</v>
      </c>
      <c r="BF69" s="295">
        <v>246</v>
      </c>
      <c r="BG69" s="295">
        <v>35987</v>
      </c>
      <c r="BH69" s="295">
        <v>150378</v>
      </c>
      <c r="BI69" s="295"/>
      <c r="BJ69" s="295">
        <v>52232</v>
      </c>
      <c r="BK69" s="295">
        <v>17043</v>
      </c>
      <c r="BL69" s="295">
        <v>1460</v>
      </c>
      <c r="BM69" s="295">
        <v>6684</v>
      </c>
      <c r="BN69" s="295">
        <v>370912</v>
      </c>
      <c r="BO69" s="295">
        <v>3584</v>
      </c>
      <c r="BP69" s="295">
        <v>179664</v>
      </c>
      <c r="BQ69" s="295"/>
      <c r="BR69" s="295">
        <v>53989</v>
      </c>
      <c r="BS69" s="295">
        <v>0</v>
      </c>
      <c r="BT69" s="295"/>
      <c r="BU69" s="295"/>
      <c r="BV69" s="295">
        <v>12485</v>
      </c>
      <c r="BW69" s="295">
        <v>58078</v>
      </c>
      <c r="BX69" s="295">
        <v>2286</v>
      </c>
      <c r="BY69" s="295">
        <v>20027</v>
      </c>
      <c r="BZ69" s="295"/>
      <c r="CA69" s="295"/>
      <c r="CB69" s="295">
        <v>549</v>
      </c>
      <c r="CC69" s="295">
        <v>474782</v>
      </c>
      <c r="CD69" s="303">
        <f>2448720</f>
        <v>2448720</v>
      </c>
      <c r="CE69" s="290">
        <f t="shared" si="0"/>
        <v>5569039</v>
      </c>
      <c r="CF69" s="2"/>
      <c r="CG69" s="2"/>
    </row>
    <row r="70" spans="1:85" ht="12.65" customHeight="1" x14ac:dyDescent="0.3">
      <c r="A70" s="297" t="s">
        <v>242</v>
      </c>
      <c r="B70" s="290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>
        <v>980</v>
      </c>
      <c r="Z70" s="295"/>
      <c r="AA70" s="295"/>
      <c r="AB70" s="295">
        <v>496757</v>
      </c>
      <c r="AC70" s="295"/>
      <c r="AD70" s="295"/>
      <c r="AE70" s="295"/>
      <c r="AF70" s="295"/>
      <c r="AG70" s="295"/>
      <c r="AH70" s="295"/>
      <c r="AI70" s="295">
        <v>1924</v>
      </c>
      <c r="AJ70" s="295">
        <v>319633</v>
      </c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>
        <v>5390</v>
      </c>
      <c r="AW70" s="295"/>
      <c r="AX70" s="295"/>
      <c r="AY70" s="295">
        <v>731862</v>
      </c>
      <c r="AZ70" s="295"/>
      <c r="BA70" s="295"/>
      <c r="BB70" s="295"/>
      <c r="BC70" s="295"/>
      <c r="BD70" s="295"/>
      <c r="BE70" s="295"/>
      <c r="BF70" s="295"/>
      <c r="BG70" s="295"/>
      <c r="BH70" s="295">
        <v>33</v>
      </c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>
        <v>3450</v>
      </c>
      <c r="BT70" s="295"/>
      <c r="BU70" s="295"/>
      <c r="BV70" s="295"/>
      <c r="BW70" s="295"/>
      <c r="BX70" s="295"/>
      <c r="BY70" s="295"/>
      <c r="BZ70" s="295"/>
      <c r="CA70" s="295"/>
      <c r="CB70" s="295">
        <v>47085</v>
      </c>
      <c r="CC70" s="295">
        <v>149206</v>
      </c>
      <c r="CD70" s="295">
        <f>407436+3758360+88943-472196</f>
        <v>3782543</v>
      </c>
      <c r="CE70" s="290">
        <f t="shared" si="0"/>
        <v>5538863</v>
      </c>
      <c r="CF70" s="2"/>
      <c r="CG70" s="2"/>
    </row>
    <row r="71" spans="1:85" ht="12.65" customHeight="1" x14ac:dyDescent="0.3">
      <c r="A71" s="297" t="s">
        <v>243</v>
      </c>
      <c r="B71" s="290"/>
      <c r="C71" s="290">
        <f>SUM(C61:C68)+C69-C70</f>
        <v>1602597</v>
      </c>
      <c r="D71" s="290">
        <f t="shared" ref="D71:AI71" si="5">SUM(D61:D69)-D70</f>
        <v>0</v>
      </c>
      <c r="E71" s="290">
        <f t="shared" si="5"/>
        <v>4120145</v>
      </c>
      <c r="F71" s="290">
        <f t="shared" si="5"/>
        <v>0</v>
      </c>
      <c r="G71" s="290">
        <f t="shared" si="5"/>
        <v>0</v>
      </c>
      <c r="H71" s="290">
        <f t="shared" si="5"/>
        <v>0</v>
      </c>
      <c r="I71" s="290">
        <f t="shared" si="5"/>
        <v>0</v>
      </c>
      <c r="J71" s="290">
        <f t="shared" si="5"/>
        <v>1797</v>
      </c>
      <c r="K71" s="290">
        <f t="shared" si="5"/>
        <v>0</v>
      </c>
      <c r="L71" s="290">
        <f t="shared" si="5"/>
        <v>45870</v>
      </c>
      <c r="M71" s="290">
        <f t="shared" si="5"/>
        <v>0</v>
      </c>
      <c r="N71" s="290">
        <f t="shared" si="5"/>
        <v>2336577</v>
      </c>
      <c r="O71" s="290">
        <f t="shared" si="5"/>
        <v>1523217</v>
      </c>
      <c r="P71" s="290">
        <f t="shared" si="5"/>
        <v>4117300</v>
      </c>
      <c r="Q71" s="290">
        <f>SUM(Q61:Q69)-Q70</f>
        <v>66165</v>
      </c>
      <c r="R71" s="290">
        <f t="shared" si="5"/>
        <v>1509489</v>
      </c>
      <c r="S71" s="290">
        <f t="shared" si="5"/>
        <v>1927429</v>
      </c>
      <c r="T71" s="290">
        <f t="shared" si="5"/>
        <v>0</v>
      </c>
      <c r="U71" s="290">
        <f t="shared" si="5"/>
        <v>4880091</v>
      </c>
      <c r="V71" s="290">
        <f t="shared" si="5"/>
        <v>0</v>
      </c>
      <c r="W71" s="290">
        <f t="shared" si="5"/>
        <v>622375</v>
      </c>
      <c r="X71" s="290">
        <f t="shared" si="5"/>
        <v>435563</v>
      </c>
      <c r="Y71" s="290">
        <f t="shared" si="5"/>
        <v>2702972</v>
      </c>
      <c r="Z71" s="290">
        <f t="shared" si="5"/>
        <v>0</v>
      </c>
      <c r="AA71" s="290">
        <f t="shared" si="5"/>
        <v>287027</v>
      </c>
      <c r="AB71" s="290">
        <f t="shared" si="5"/>
        <v>16135833</v>
      </c>
      <c r="AC71" s="290">
        <f t="shared" si="5"/>
        <v>1083157</v>
      </c>
      <c r="AD71" s="290">
        <f t="shared" si="5"/>
        <v>0</v>
      </c>
      <c r="AE71" s="290">
        <f t="shared" si="5"/>
        <v>3899632</v>
      </c>
      <c r="AF71" s="290">
        <f t="shared" si="5"/>
        <v>0</v>
      </c>
      <c r="AG71" s="290">
        <f t="shared" si="5"/>
        <v>5782429</v>
      </c>
      <c r="AH71" s="290">
        <f t="shared" si="5"/>
        <v>0</v>
      </c>
      <c r="AI71" s="290">
        <f t="shared" si="5"/>
        <v>3988961</v>
      </c>
      <c r="AJ71" s="290">
        <f t="shared" ref="AJ71:BO71" si="6">SUM(AJ61:AJ69)-AJ70</f>
        <v>26878314</v>
      </c>
      <c r="AK71" s="290">
        <f t="shared" si="6"/>
        <v>0</v>
      </c>
      <c r="AL71" s="290">
        <f t="shared" si="6"/>
        <v>0</v>
      </c>
      <c r="AM71" s="290">
        <f t="shared" si="6"/>
        <v>0</v>
      </c>
      <c r="AN71" s="290">
        <f t="shared" si="6"/>
        <v>0</v>
      </c>
      <c r="AO71" s="290">
        <f t="shared" si="6"/>
        <v>0</v>
      </c>
      <c r="AP71" s="290">
        <f t="shared" si="6"/>
        <v>0</v>
      </c>
      <c r="AQ71" s="290">
        <f t="shared" si="6"/>
        <v>0</v>
      </c>
      <c r="AR71" s="290">
        <f t="shared" si="6"/>
        <v>5111999</v>
      </c>
      <c r="AS71" s="290">
        <f t="shared" si="6"/>
        <v>0</v>
      </c>
      <c r="AT71" s="290">
        <f t="shared" si="6"/>
        <v>0</v>
      </c>
      <c r="AU71" s="290">
        <f t="shared" si="6"/>
        <v>0</v>
      </c>
      <c r="AV71" s="290">
        <f t="shared" si="6"/>
        <v>2372548</v>
      </c>
      <c r="AW71" s="290">
        <f t="shared" si="6"/>
        <v>0</v>
      </c>
      <c r="AX71" s="290">
        <f t="shared" si="6"/>
        <v>0</v>
      </c>
      <c r="AY71" s="290">
        <f t="shared" si="6"/>
        <v>664586</v>
      </c>
      <c r="AZ71" s="290">
        <f t="shared" si="6"/>
        <v>0</v>
      </c>
      <c r="BA71" s="290">
        <f t="shared" si="6"/>
        <v>355959</v>
      </c>
      <c r="BB71" s="290">
        <f t="shared" si="6"/>
        <v>1610</v>
      </c>
      <c r="BC71" s="290">
        <f t="shared" si="6"/>
        <v>0</v>
      </c>
      <c r="BD71" s="290">
        <f t="shared" si="6"/>
        <v>721398</v>
      </c>
      <c r="BE71" s="290">
        <f t="shared" si="6"/>
        <v>3953863</v>
      </c>
      <c r="BF71" s="290">
        <f t="shared" si="6"/>
        <v>1552512</v>
      </c>
      <c r="BG71" s="290">
        <f t="shared" si="6"/>
        <v>252910</v>
      </c>
      <c r="BH71" s="290">
        <f t="shared" si="6"/>
        <v>3829356</v>
      </c>
      <c r="BI71" s="290">
        <f t="shared" si="6"/>
        <v>0</v>
      </c>
      <c r="BJ71" s="290">
        <f t="shared" si="6"/>
        <v>1098511</v>
      </c>
      <c r="BK71" s="290">
        <f t="shared" si="6"/>
        <v>1430940</v>
      </c>
      <c r="BL71" s="290">
        <f t="shared" si="6"/>
        <v>915973</v>
      </c>
      <c r="BM71" s="290">
        <f t="shared" si="6"/>
        <v>481741</v>
      </c>
      <c r="BN71" s="290">
        <f t="shared" si="6"/>
        <v>2414602</v>
      </c>
      <c r="BO71" s="290">
        <f t="shared" si="6"/>
        <v>85308</v>
      </c>
      <c r="BP71" s="290">
        <f t="shared" ref="BP71:CC71" si="7">SUM(BP61:BP69)-BP70</f>
        <v>387033</v>
      </c>
      <c r="BQ71" s="290">
        <f t="shared" si="7"/>
        <v>0</v>
      </c>
      <c r="BR71" s="290">
        <f t="shared" si="7"/>
        <v>1195135</v>
      </c>
      <c r="BS71" s="290">
        <f t="shared" si="7"/>
        <v>108255</v>
      </c>
      <c r="BT71" s="290">
        <f t="shared" si="7"/>
        <v>0</v>
      </c>
      <c r="BU71" s="290">
        <f t="shared" si="7"/>
        <v>0</v>
      </c>
      <c r="BV71" s="290">
        <f t="shared" si="7"/>
        <v>894369</v>
      </c>
      <c r="BW71" s="290">
        <f t="shared" si="7"/>
        <v>908498</v>
      </c>
      <c r="BX71" s="290">
        <f t="shared" si="7"/>
        <v>538096</v>
      </c>
      <c r="BY71" s="290">
        <f t="shared" si="7"/>
        <v>1425827</v>
      </c>
      <c r="BZ71" s="290">
        <f t="shared" si="7"/>
        <v>0</v>
      </c>
      <c r="CA71" s="290">
        <f t="shared" si="7"/>
        <v>0</v>
      </c>
      <c r="CB71" s="290">
        <f t="shared" si="7"/>
        <v>103848</v>
      </c>
      <c r="CC71" s="290">
        <f t="shared" si="7"/>
        <v>2277279</v>
      </c>
      <c r="CD71" s="296">
        <f>CD69-CD70</f>
        <v>-1333823</v>
      </c>
      <c r="CE71" s="290">
        <f>SUM(CE61:CE69)-CE70</f>
        <v>115695273</v>
      </c>
      <c r="CF71" s="2"/>
      <c r="CG71" s="2"/>
    </row>
    <row r="72" spans="1:85" ht="12.65" customHeight="1" x14ac:dyDescent="0.3">
      <c r="A72" s="297" t="s">
        <v>244</v>
      </c>
      <c r="B72" s="290"/>
      <c r="C72" s="300" t="s">
        <v>221</v>
      </c>
      <c r="D72" s="300" t="s">
        <v>221</v>
      </c>
      <c r="E72" s="300" t="s">
        <v>221</v>
      </c>
      <c r="F72" s="300" t="s">
        <v>221</v>
      </c>
      <c r="G72" s="300" t="s">
        <v>221</v>
      </c>
      <c r="H72" s="300" t="s">
        <v>221</v>
      </c>
      <c r="I72" s="300" t="s">
        <v>221</v>
      </c>
      <c r="J72" s="300" t="s">
        <v>221</v>
      </c>
      <c r="K72" s="248" t="s">
        <v>221</v>
      </c>
      <c r="L72" s="300" t="s">
        <v>221</v>
      </c>
      <c r="M72" s="300" t="s">
        <v>221</v>
      </c>
      <c r="N72" s="300" t="s">
        <v>221</v>
      </c>
      <c r="O72" s="300" t="s">
        <v>221</v>
      </c>
      <c r="P72" s="300" t="s">
        <v>221</v>
      </c>
      <c r="Q72" s="300" t="s">
        <v>221</v>
      </c>
      <c r="R72" s="300" t="s">
        <v>221</v>
      </c>
      <c r="S72" s="300" t="s">
        <v>221</v>
      </c>
      <c r="T72" s="300" t="s">
        <v>221</v>
      </c>
      <c r="U72" s="300" t="s">
        <v>221</v>
      </c>
      <c r="V72" s="300" t="s">
        <v>221</v>
      </c>
      <c r="W72" s="300" t="s">
        <v>221</v>
      </c>
      <c r="X72" s="300" t="s">
        <v>221</v>
      </c>
      <c r="Y72" s="300" t="s">
        <v>221</v>
      </c>
      <c r="Z72" s="300" t="s">
        <v>221</v>
      </c>
      <c r="AA72" s="300" t="s">
        <v>221</v>
      </c>
      <c r="AB72" s="300" t="s">
        <v>221</v>
      </c>
      <c r="AC72" s="300" t="s">
        <v>221</v>
      </c>
      <c r="AD72" s="300" t="s">
        <v>221</v>
      </c>
      <c r="AE72" s="300" t="s">
        <v>221</v>
      </c>
      <c r="AF72" s="300" t="s">
        <v>221</v>
      </c>
      <c r="AG72" s="300" t="s">
        <v>221</v>
      </c>
      <c r="AH72" s="300" t="s">
        <v>221</v>
      </c>
      <c r="AI72" s="300" t="s">
        <v>221</v>
      </c>
      <c r="AJ72" s="300" t="s">
        <v>221</v>
      </c>
      <c r="AK72" s="300" t="s">
        <v>221</v>
      </c>
      <c r="AL72" s="300" t="s">
        <v>221</v>
      </c>
      <c r="AM72" s="300" t="s">
        <v>221</v>
      </c>
      <c r="AN72" s="300" t="s">
        <v>221</v>
      </c>
      <c r="AO72" s="300" t="s">
        <v>221</v>
      </c>
      <c r="AP72" s="300" t="s">
        <v>221</v>
      </c>
      <c r="AQ72" s="300" t="s">
        <v>221</v>
      </c>
      <c r="AR72" s="300" t="s">
        <v>221</v>
      </c>
      <c r="AS72" s="300" t="s">
        <v>221</v>
      </c>
      <c r="AT72" s="300" t="s">
        <v>221</v>
      </c>
      <c r="AU72" s="300" t="s">
        <v>221</v>
      </c>
      <c r="AV72" s="300" t="s">
        <v>221</v>
      </c>
      <c r="AW72" s="300" t="s">
        <v>221</v>
      </c>
      <c r="AX72" s="300" t="s">
        <v>221</v>
      </c>
      <c r="AY72" s="300" t="s">
        <v>221</v>
      </c>
      <c r="AZ72" s="300" t="s">
        <v>221</v>
      </c>
      <c r="BA72" s="300" t="s">
        <v>221</v>
      </c>
      <c r="BB72" s="300" t="s">
        <v>221</v>
      </c>
      <c r="BC72" s="300" t="s">
        <v>221</v>
      </c>
      <c r="BD72" s="300" t="s">
        <v>221</v>
      </c>
      <c r="BE72" s="300" t="s">
        <v>221</v>
      </c>
      <c r="BF72" s="300" t="s">
        <v>221</v>
      </c>
      <c r="BG72" s="300" t="s">
        <v>221</v>
      </c>
      <c r="BH72" s="300" t="s">
        <v>221</v>
      </c>
      <c r="BI72" s="300" t="s">
        <v>221</v>
      </c>
      <c r="BJ72" s="300" t="s">
        <v>221</v>
      </c>
      <c r="BK72" s="300" t="s">
        <v>221</v>
      </c>
      <c r="BL72" s="300" t="s">
        <v>221</v>
      </c>
      <c r="BM72" s="300" t="s">
        <v>221</v>
      </c>
      <c r="BN72" s="300" t="s">
        <v>221</v>
      </c>
      <c r="BO72" s="300" t="s">
        <v>221</v>
      </c>
      <c r="BP72" s="300" t="s">
        <v>221</v>
      </c>
      <c r="BQ72" s="300" t="s">
        <v>221</v>
      </c>
      <c r="BR72" s="300" t="s">
        <v>221</v>
      </c>
      <c r="BS72" s="300" t="s">
        <v>221</v>
      </c>
      <c r="BT72" s="300" t="s">
        <v>221</v>
      </c>
      <c r="BU72" s="300" t="s">
        <v>221</v>
      </c>
      <c r="BV72" s="300" t="s">
        <v>221</v>
      </c>
      <c r="BW72" s="300" t="s">
        <v>221</v>
      </c>
      <c r="BX72" s="300" t="s">
        <v>221</v>
      </c>
      <c r="BY72" s="300" t="s">
        <v>221</v>
      </c>
      <c r="BZ72" s="300" t="s">
        <v>221</v>
      </c>
      <c r="CA72" s="300" t="s">
        <v>221</v>
      </c>
      <c r="CB72" s="300" t="s">
        <v>221</v>
      </c>
      <c r="CC72" s="300" t="s">
        <v>221</v>
      </c>
      <c r="CD72" s="300" t="s">
        <v>221</v>
      </c>
      <c r="CE72" s="303">
        <v>472196</v>
      </c>
      <c r="CF72" s="2"/>
      <c r="CG72" s="2"/>
    </row>
    <row r="73" spans="1:85" ht="12.65" customHeight="1" x14ac:dyDescent="0.3">
      <c r="A73" s="297" t="s">
        <v>245</v>
      </c>
      <c r="B73" s="290"/>
      <c r="C73" s="295">
        <v>2742466</v>
      </c>
      <c r="D73" s="295">
        <v>0</v>
      </c>
      <c r="E73" s="295">
        <v>8947359</v>
      </c>
      <c r="F73" s="295">
        <v>0</v>
      </c>
      <c r="G73" s="295">
        <v>0</v>
      </c>
      <c r="H73" s="295">
        <v>0</v>
      </c>
      <c r="I73" s="295">
        <v>0</v>
      </c>
      <c r="J73" s="295">
        <v>369081</v>
      </c>
      <c r="K73" s="295">
        <v>0</v>
      </c>
      <c r="L73" s="295">
        <v>390619</v>
      </c>
      <c r="M73" s="295">
        <v>0</v>
      </c>
      <c r="N73" s="295">
        <v>2136591</v>
      </c>
      <c r="O73" s="295">
        <v>1014567</v>
      </c>
      <c r="P73" s="295">
        <v>10953306</v>
      </c>
      <c r="Q73" s="295">
        <v>648113</v>
      </c>
      <c r="R73" s="295">
        <v>2975326</v>
      </c>
      <c r="S73" s="295">
        <v>18784</v>
      </c>
      <c r="T73" s="295">
        <v>0</v>
      </c>
      <c r="U73" s="295">
        <v>1744219</v>
      </c>
      <c r="V73" s="295">
        <v>0</v>
      </c>
      <c r="W73" s="295">
        <v>354289</v>
      </c>
      <c r="X73" s="295">
        <v>1011017</v>
      </c>
      <c r="Y73" s="295">
        <v>1227847</v>
      </c>
      <c r="Z73" s="295">
        <v>0</v>
      </c>
      <c r="AA73" s="295">
        <v>37697</v>
      </c>
      <c r="AB73" s="295">
        <v>4110610</v>
      </c>
      <c r="AC73" s="295">
        <v>2882810</v>
      </c>
      <c r="AD73" s="295">
        <v>0</v>
      </c>
      <c r="AE73" s="295">
        <v>579137</v>
      </c>
      <c r="AF73" s="295">
        <v>0</v>
      </c>
      <c r="AG73" s="295">
        <v>858095</v>
      </c>
      <c r="AH73" s="295">
        <v>0</v>
      </c>
      <c r="AI73" s="295">
        <v>21596</v>
      </c>
      <c r="AJ73" s="295">
        <v>1983809</v>
      </c>
      <c r="AK73" s="295">
        <v>0</v>
      </c>
      <c r="AL73" s="295">
        <v>0</v>
      </c>
      <c r="AM73" s="295">
        <v>0</v>
      </c>
      <c r="AN73" s="295">
        <v>0</v>
      </c>
      <c r="AO73" s="295">
        <v>0</v>
      </c>
      <c r="AP73" s="295">
        <v>0</v>
      </c>
      <c r="AQ73" s="295">
        <v>0</v>
      </c>
      <c r="AR73" s="295">
        <v>0</v>
      </c>
      <c r="AS73" s="295">
        <v>0</v>
      </c>
      <c r="AT73" s="295">
        <v>0</v>
      </c>
      <c r="AU73" s="295">
        <v>0</v>
      </c>
      <c r="AV73" s="295">
        <v>436025</v>
      </c>
      <c r="AW73" s="300" t="s">
        <v>221</v>
      </c>
      <c r="AX73" s="300" t="s">
        <v>221</v>
      </c>
      <c r="AY73" s="300" t="s">
        <v>221</v>
      </c>
      <c r="AZ73" s="300" t="s">
        <v>221</v>
      </c>
      <c r="BA73" s="300" t="s">
        <v>221</v>
      </c>
      <c r="BB73" s="300" t="s">
        <v>221</v>
      </c>
      <c r="BC73" s="300" t="s">
        <v>221</v>
      </c>
      <c r="BD73" s="300" t="s">
        <v>221</v>
      </c>
      <c r="BE73" s="300" t="s">
        <v>221</v>
      </c>
      <c r="BF73" s="300" t="s">
        <v>221</v>
      </c>
      <c r="BG73" s="300" t="s">
        <v>221</v>
      </c>
      <c r="BH73" s="300" t="s">
        <v>221</v>
      </c>
      <c r="BI73" s="300" t="s">
        <v>221</v>
      </c>
      <c r="BJ73" s="300" t="s">
        <v>221</v>
      </c>
      <c r="BK73" s="300" t="s">
        <v>221</v>
      </c>
      <c r="BL73" s="300" t="s">
        <v>221</v>
      </c>
      <c r="BM73" s="300" t="s">
        <v>221</v>
      </c>
      <c r="BN73" s="300" t="s">
        <v>221</v>
      </c>
      <c r="BO73" s="300" t="s">
        <v>221</v>
      </c>
      <c r="BP73" s="300" t="s">
        <v>221</v>
      </c>
      <c r="BQ73" s="300" t="s">
        <v>221</v>
      </c>
      <c r="BR73" s="300" t="s">
        <v>221</v>
      </c>
      <c r="BS73" s="300" t="s">
        <v>221</v>
      </c>
      <c r="BT73" s="300" t="s">
        <v>221</v>
      </c>
      <c r="BU73" s="300" t="s">
        <v>221</v>
      </c>
      <c r="BV73" s="300" t="s">
        <v>221</v>
      </c>
      <c r="BW73" s="300" t="s">
        <v>221</v>
      </c>
      <c r="BX73" s="300" t="s">
        <v>221</v>
      </c>
      <c r="BY73" s="300" t="s">
        <v>221</v>
      </c>
      <c r="BZ73" s="300" t="s">
        <v>221</v>
      </c>
      <c r="CA73" s="300" t="s">
        <v>221</v>
      </c>
      <c r="CB73" s="300" t="s">
        <v>221</v>
      </c>
      <c r="CC73" s="300" t="s">
        <v>221</v>
      </c>
      <c r="CD73" s="300" t="s">
        <v>221</v>
      </c>
      <c r="CE73" s="290">
        <f t="shared" ref="CE73:CE80" si="8">SUM(C73:CD73)</f>
        <v>45443363</v>
      </c>
      <c r="CF73" s="2"/>
      <c r="CG73" s="2"/>
    </row>
    <row r="74" spans="1:85" ht="12.65" customHeight="1" x14ac:dyDescent="0.3">
      <c r="A74" s="297" t="s">
        <v>246</v>
      </c>
      <c r="B74" s="290"/>
      <c r="C74" s="295">
        <v>40509</v>
      </c>
      <c r="D74" s="295">
        <v>0</v>
      </c>
      <c r="E74" s="295">
        <v>2181206</v>
      </c>
      <c r="F74" s="295">
        <v>0</v>
      </c>
      <c r="G74" s="295">
        <v>0</v>
      </c>
      <c r="H74" s="295">
        <v>0</v>
      </c>
      <c r="I74" s="295">
        <v>0</v>
      </c>
      <c r="J74" s="295">
        <v>1026</v>
      </c>
      <c r="K74" s="295">
        <v>0</v>
      </c>
      <c r="L74" s="295">
        <v>0</v>
      </c>
      <c r="M74" s="295">
        <v>0</v>
      </c>
      <c r="N74" s="295">
        <v>382109</v>
      </c>
      <c r="O74" s="295">
        <v>387074</v>
      </c>
      <c r="P74" s="295">
        <v>12394705</v>
      </c>
      <c r="Q74" s="295">
        <v>4031850</v>
      </c>
      <c r="R74" s="295">
        <v>6962965</v>
      </c>
      <c r="S74" s="295">
        <v>608951</v>
      </c>
      <c r="T74" s="295">
        <v>0</v>
      </c>
      <c r="U74" s="295">
        <v>14679434</v>
      </c>
      <c r="V74" s="295">
        <v>25768</v>
      </c>
      <c r="W74" s="295">
        <v>4855061</v>
      </c>
      <c r="X74" s="295">
        <v>13546033</v>
      </c>
      <c r="Y74" s="295">
        <v>11744233</v>
      </c>
      <c r="Z74" s="295">
        <v>0</v>
      </c>
      <c r="AA74" s="295">
        <v>1939368</v>
      </c>
      <c r="AB74" s="295">
        <v>37910746</v>
      </c>
      <c r="AC74" s="295">
        <v>2051031</v>
      </c>
      <c r="AD74" s="295">
        <v>0</v>
      </c>
      <c r="AE74" s="295">
        <v>8525409</v>
      </c>
      <c r="AF74" s="295">
        <v>0</v>
      </c>
      <c r="AG74" s="295">
        <v>33964666</v>
      </c>
      <c r="AH74" s="295">
        <v>0</v>
      </c>
      <c r="AI74" s="295">
        <v>8270782</v>
      </c>
      <c r="AJ74" s="295">
        <v>37893488</v>
      </c>
      <c r="AK74" s="295">
        <v>0</v>
      </c>
      <c r="AL74" s="295">
        <v>0</v>
      </c>
      <c r="AM74" s="295">
        <v>0</v>
      </c>
      <c r="AN74" s="295">
        <v>0</v>
      </c>
      <c r="AO74" s="295">
        <v>0</v>
      </c>
      <c r="AP74" s="295">
        <v>0</v>
      </c>
      <c r="AQ74" s="295">
        <v>0</v>
      </c>
      <c r="AR74" s="295">
        <v>5166826</v>
      </c>
      <c r="AS74" s="295">
        <v>0</v>
      </c>
      <c r="AT74" s="295">
        <v>0</v>
      </c>
      <c r="AU74" s="295">
        <v>0</v>
      </c>
      <c r="AV74" s="295">
        <v>8397629</v>
      </c>
      <c r="AW74" s="300" t="s">
        <v>221</v>
      </c>
      <c r="AX74" s="300" t="s">
        <v>221</v>
      </c>
      <c r="AY74" s="300" t="s">
        <v>221</v>
      </c>
      <c r="AZ74" s="300" t="s">
        <v>221</v>
      </c>
      <c r="BA74" s="300" t="s">
        <v>221</v>
      </c>
      <c r="BB74" s="300" t="s">
        <v>221</v>
      </c>
      <c r="BC74" s="300" t="s">
        <v>221</v>
      </c>
      <c r="BD74" s="300" t="s">
        <v>221</v>
      </c>
      <c r="BE74" s="300" t="s">
        <v>221</v>
      </c>
      <c r="BF74" s="300" t="s">
        <v>221</v>
      </c>
      <c r="BG74" s="300" t="s">
        <v>221</v>
      </c>
      <c r="BH74" s="300" t="s">
        <v>221</v>
      </c>
      <c r="BI74" s="300" t="s">
        <v>221</v>
      </c>
      <c r="BJ74" s="300" t="s">
        <v>221</v>
      </c>
      <c r="BK74" s="300" t="s">
        <v>221</v>
      </c>
      <c r="BL74" s="300" t="s">
        <v>221</v>
      </c>
      <c r="BM74" s="300" t="s">
        <v>221</v>
      </c>
      <c r="BN74" s="300" t="s">
        <v>221</v>
      </c>
      <c r="BO74" s="300" t="s">
        <v>221</v>
      </c>
      <c r="BP74" s="300" t="s">
        <v>221</v>
      </c>
      <c r="BQ74" s="300" t="s">
        <v>221</v>
      </c>
      <c r="BR74" s="300" t="s">
        <v>221</v>
      </c>
      <c r="BS74" s="300" t="s">
        <v>221</v>
      </c>
      <c r="BT74" s="300" t="s">
        <v>221</v>
      </c>
      <c r="BU74" s="300" t="s">
        <v>221</v>
      </c>
      <c r="BV74" s="300" t="s">
        <v>221</v>
      </c>
      <c r="BW74" s="300" t="s">
        <v>221</v>
      </c>
      <c r="BX74" s="300" t="s">
        <v>221</v>
      </c>
      <c r="BY74" s="300" t="s">
        <v>221</v>
      </c>
      <c r="BZ74" s="300" t="s">
        <v>221</v>
      </c>
      <c r="CA74" s="300" t="s">
        <v>221</v>
      </c>
      <c r="CB74" s="300" t="s">
        <v>221</v>
      </c>
      <c r="CC74" s="300" t="s">
        <v>221</v>
      </c>
      <c r="CD74" s="300" t="s">
        <v>221</v>
      </c>
      <c r="CE74" s="290">
        <f t="shared" si="8"/>
        <v>215960869</v>
      </c>
      <c r="CF74" s="2"/>
      <c r="CG74" s="2"/>
    </row>
    <row r="75" spans="1:85" ht="12.65" customHeight="1" x14ac:dyDescent="0.3">
      <c r="A75" s="297" t="s">
        <v>247</v>
      </c>
      <c r="B75" s="290"/>
      <c r="C75" s="290">
        <f t="shared" ref="C75:AV75" si="9">SUM(C73:C74)</f>
        <v>2782975</v>
      </c>
      <c r="D75" s="290">
        <f t="shared" si="9"/>
        <v>0</v>
      </c>
      <c r="E75" s="290">
        <f t="shared" si="9"/>
        <v>11128565</v>
      </c>
      <c r="F75" s="290">
        <f t="shared" si="9"/>
        <v>0</v>
      </c>
      <c r="G75" s="290">
        <f t="shared" si="9"/>
        <v>0</v>
      </c>
      <c r="H75" s="290">
        <f t="shared" si="9"/>
        <v>0</v>
      </c>
      <c r="I75" s="290">
        <f t="shared" si="9"/>
        <v>0</v>
      </c>
      <c r="J75" s="290">
        <f t="shared" si="9"/>
        <v>370107</v>
      </c>
      <c r="K75" s="290">
        <f t="shared" si="9"/>
        <v>0</v>
      </c>
      <c r="L75" s="290">
        <f t="shared" si="9"/>
        <v>390619</v>
      </c>
      <c r="M75" s="290">
        <f t="shared" si="9"/>
        <v>0</v>
      </c>
      <c r="N75" s="290">
        <f t="shared" si="9"/>
        <v>2518700</v>
      </c>
      <c r="O75" s="290">
        <f t="shared" si="9"/>
        <v>1401641</v>
      </c>
      <c r="P75" s="290">
        <f t="shared" si="9"/>
        <v>23348011</v>
      </c>
      <c r="Q75" s="290">
        <f t="shared" si="9"/>
        <v>4679963</v>
      </c>
      <c r="R75" s="290">
        <f t="shared" si="9"/>
        <v>9938291</v>
      </c>
      <c r="S75" s="290">
        <f t="shared" si="9"/>
        <v>627735</v>
      </c>
      <c r="T75" s="290">
        <f t="shared" si="9"/>
        <v>0</v>
      </c>
      <c r="U75" s="290">
        <f t="shared" si="9"/>
        <v>16423653</v>
      </c>
      <c r="V75" s="290">
        <f t="shared" si="9"/>
        <v>25768</v>
      </c>
      <c r="W75" s="290">
        <f t="shared" si="9"/>
        <v>5209350</v>
      </c>
      <c r="X75" s="290">
        <f t="shared" si="9"/>
        <v>14557050</v>
      </c>
      <c r="Y75" s="290">
        <f t="shared" si="9"/>
        <v>12972080</v>
      </c>
      <c r="Z75" s="290">
        <f t="shared" si="9"/>
        <v>0</v>
      </c>
      <c r="AA75" s="290">
        <f t="shared" si="9"/>
        <v>1977065</v>
      </c>
      <c r="AB75" s="290">
        <f t="shared" si="9"/>
        <v>42021356</v>
      </c>
      <c r="AC75" s="290">
        <f t="shared" si="9"/>
        <v>4933841</v>
      </c>
      <c r="AD75" s="290">
        <f t="shared" si="9"/>
        <v>0</v>
      </c>
      <c r="AE75" s="290">
        <f t="shared" si="9"/>
        <v>9104546</v>
      </c>
      <c r="AF75" s="290">
        <f t="shared" si="9"/>
        <v>0</v>
      </c>
      <c r="AG75" s="290">
        <f t="shared" si="9"/>
        <v>34822761</v>
      </c>
      <c r="AH75" s="290">
        <f t="shared" si="9"/>
        <v>0</v>
      </c>
      <c r="AI75" s="290">
        <f t="shared" si="9"/>
        <v>8292378</v>
      </c>
      <c r="AJ75" s="290">
        <f t="shared" si="9"/>
        <v>39877297</v>
      </c>
      <c r="AK75" s="290">
        <f t="shared" si="9"/>
        <v>0</v>
      </c>
      <c r="AL75" s="290">
        <f t="shared" si="9"/>
        <v>0</v>
      </c>
      <c r="AM75" s="290">
        <f t="shared" si="9"/>
        <v>0</v>
      </c>
      <c r="AN75" s="290">
        <f t="shared" si="9"/>
        <v>0</v>
      </c>
      <c r="AO75" s="290">
        <f t="shared" si="9"/>
        <v>0</v>
      </c>
      <c r="AP75" s="290">
        <f t="shared" si="9"/>
        <v>0</v>
      </c>
      <c r="AQ75" s="290">
        <f t="shared" si="9"/>
        <v>0</v>
      </c>
      <c r="AR75" s="290">
        <f t="shared" si="9"/>
        <v>5166826</v>
      </c>
      <c r="AS75" s="290">
        <f t="shared" si="9"/>
        <v>0</v>
      </c>
      <c r="AT75" s="290">
        <f t="shared" si="9"/>
        <v>0</v>
      </c>
      <c r="AU75" s="290">
        <f t="shared" si="9"/>
        <v>0</v>
      </c>
      <c r="AV75" s="290">
        <f t="shared" si="9"/>
        <v>8833654</v>
      </c>
      <c r="AW75" s="300" t="s">
        <v>221</v>
      </c>
      <c r="AX75" s="300" t="s">
        <v>221</v>
      </c>
      <c r="AY75" s="300" t="s">
        <v>221</v>
      </c>
      <c r="AZ75" s="300" t="s">
        <v>221</v>
      </c>
      <c r="BA75" s="300" t="s">
        <v>221</v>
      </c>
      <c r="BB75" s="300" t="s">
        <v>221</v>
      </c>
      <c r="BC75" s="300" t="s">
        <v>221</v>
      </c>
      <c r="BD75" s="300" t="s">
        <v>221</v>
      </c>
      <c r="BE75" s="300" t="s">
        <v>221</v>
      </c>
      <c r="BF75" s="300" t="s">
        <v>221</v>
      </c>
      <c r="BG75" s="300" t="s">
        <v>221</v>
      </c>
      <c r="BH75" s="300" t="s">
        <v>221</v>
      </c>
      <c r="BI75" s="300" t="s">
        <v>221</v>
      </c>
      <c r="BJ75" s="300" t="s">
        <v>221</v>
      </c>
      <c r="BK75" s="300" t="s">
        <v>221</v>
      </c>
      <c r="BL75" s="300" t="s">
        <v>221</v>
      </c>
      <c r="BM75" s="300" t="s">
        <v>221</v>
      </c>
      <c r="BN75" s="300" t="s">
        <v>221</v>
      </c>
      <c r="BO75" s="300" t="s">
        <v>221</v>
      </c>
      <c r="BP75" s="300" t="s">
        <v>221</v>
      </c>
      <c r="BQ75" s="300" t="s">
        <v>221</v>
      </c>
      <c r="BR75" s="300" t="s">
        <v>221</v>
      </c>
      <c r="BS75" s="300" t="s">
        <v>221</v>
      </c>
      <c r="BT75" s="300" t="s">
        <v>221</v>
      </c>
      <c r="BU75" s="300" t="s">
        <v>221</v>
      </c>
      <c r="BV75" s="300" t="s">
        <v>221</v>
      </c>
      <c r="BW75" s="300" t="s">
        <v>221</v>
      </c>
      <c r="BX75" s="300" t="s">
        <v>221</v>
      </c>
      <c r="BY75" s="300" t="s">
        <v>221</v>
      </c>
      <c r="BZ75" s="300" t="s">
        <v>221</v>
      </c>
      <c r="CA75" s="300" t="s">
        <v>221</v>
      </c>
      <c r="CB75" s="300" t="s">
        <v>221</v>
      </c>
      <c r="CC75" s="300" t="s">
        <v>221</v>
      </c>
      <c r="CD75" s="300" t="s">
        <v>221</v>
      </c>
      <c r="CE75" s="290">
        <f t="shared" si="8"/>
        <v>261404232</v>
      </c>
      <c r="CF75" s="2"/>
      <c r="CG75" s="2"/>
    </row>
    <row r="76" spans="1:85" ht="12.65" customHeight="1" x14ac:dyDescent="0.3">
      <c r="A76" s="297" t="s">
        <v>248</v>
      </c>
      <c r="B76" s="290"/>
      <c r="C76" s="295">
        <v>2556.1999999999998</v>
      </c>
      <c r="D76" s="295"/>
      <c r="E76" s="295">
        <v>5773.05</v>
      </c>
      <c r="F76" s="295"/>
      <c r="G76" s="295"/>
      <c r="H76" s="295"/>
      <c r="I76" s="295"/>
      <c r="J76" s="295">
        <v>86.40000000000002</v>
      </c>
      <c r="K76" s="295"/>
      <c r="L76" s="295">
        <v>2190.0999999999995</v>
      </c>
      <c r="M76" s="295"/>
      <c r="N76" s="295">
        <v>290</v>
      </c>
      <c r="O76" s="295">
        <v>2743.6999999999989</v>
      </c>
      <c r="P76" s="295">
        <v>9766.899999999996</v>
      </c>
      <c r="Q76" s="295">
        <v>588.5</v>
      </c>
      <c r="R76" s="295">
        <v>135.99999999999997</v>
      </c>
      <c r="S76" s="295">
        <v>746.09999999999991</v>
      </c>
      <c r="T76" s="295">
        <v>0</v>
      </c>
      <c r="U76" s="295">
        <v>3914.4666666666676</v>
      </c>
      <c r="V76" s="295">
        <v>0</v>
      </c>
      <c r="W76" s="295">
        <v>1107.2</v>
      </c>
      <c r="X76" s="295">
        <v>533.80000000000007</v>
      </c>
      <c r="Y76" s="295">
        <v>5518.800000000002</v>
      </c>
      <c r="Z76" s="295"/>
      <c r="AA76" s="295">
        <v>357.50000000000017</v>
      </c>
      <c r="AB76" s="295">
        <v>2480.9</v>
      </c>
      <c r="AC76" s="295">
        <v>1703.8</v>
      </c>
      <c r="AD76" s="295"/>
      <c r="AE76" s="295">
        <v>6487.5999999999985</v>
      </c>
      <c r="AF76" s="295"/>
      <c r="AG76" s="295">
        <v>6719.7000000000016</v>
      </c>
      <c r="AH76" s="295"/>
      <c r="AI76" s="295">
        <v>6371</v>
      </c>
      <c r="AJ76" s="295">
        <v>62189.299999999996</v>
      </c>
      <c r="AK76" s="295"/>
      <c r="AL76" s="295"/>
      <c r="AM76" s="295"/>
      <c r="AN76" s="295"/>
      <c r="AO76" s="295"/>
      <c r="AP76" s="295"/>
      <c r="AQ76" s="295"/>
      <c r="AR76" s="295">
        <v>4433</v>
      </c>
      <c r="AS76" s="295"/>
      <c r="AT76" s="295"/>
      <c r="AU76" s="295"/>
      <c r="AV76" s="295">
        <v>881.83333333333348</v>
      </c>
      <c r="AW76" s="295"/>
      <c r="AX76" s="295"/>
      <c r="AY76" s="295">
        <v>5792.3</v>
      </c>
      <c r="AZ76" s="295"/>
      <c r="BA76" s="295"/>
      <c r="BB76" s="295">
        <v>77.40000000000002</v>
      </c>
      <c r="BC76" s="295"/>
      <c r="BD76" s="295">
        <v>2353.8000000000002</v>
      </c>
      <c r="BE76" s="295">
        <v>59521.899999999987</v>
      </c>
      <c r="BF76" s="295">
        <v>2761.9333333333334</v>
      </c>
      <c r="BG76" s="295"/>
      <c r="BH76" s="295">
        <v>3770.2666666666669</v>
      </c>
      <c r="BI76" s="295"/>
      <c r="BJ76" s="295">
        <v>1098.5599999999997</v>
      </c>
      <c r="BK76" s="295">
        <v>4019.1750000000002</v>
      </c>
      <c r="BL76" s="295">
        <v>1810.8333333333335</v>
      </c>
      <c r="BM76" s="295">
        <v>40.049999999999997</v>
      </c>
      <c r="BN76" s="295">
        <v>8821.0616666666683</v>
      </c>
      <c r="BO76" s="295">
        <v>243</v>
      </c>
      <c r="BP76" s="295">
        <v>288.89999999999992</v>
      </c>
      <c r="BQ76" s="295"/>
      <c r="BR76" s="295">
        <v>2587.4</v>
      </c>
      <c r="BS76" s="295">
        <v>575.25833333333321</v>
      </c>
      <c r="BT76" s="295"/>
      <c r="BU76" s="295">
        <v>0</v>
      </c>
      <c r="BV76" s="295">
        <v>1104.0000000000002</v>
      </c>
      <c r="BW76" s="295">
        <v>385.10000000000014</v>
      </c>
      <c r="BX76" s="295">
        <v>111.75000000000001</v>
      </c>
      <c r="BY76" s="295">
        <v>777.00749999999994</v>
      </c>
      <c r="BZ76" s="295"/>
      <c r="CA76" s="295"/>
      <c r="CB76" s="295">
        <v>1602.9999999999998</v>
      </c>
      <c r="CC76" s="295">
        <v>2782.7541666666666</v>
      </c>
      <c r="CD76" s="300" t="s">
        <v>221</v>
      </c>
      <c r="CE76" s="290">
        <f t="shared" si="8"/>
        <v>228101.29999999996</v>
      </c>
      <c r="CF76" s="290">
        <f>BE59-CE76</f>
        <v>-0.29999999995925464</v>
      </c>
      <c r="CG76" s="2"/>
    </row>
    <row r="77" spans="1:85" ht="12.65" customHeight="1" x14ac:dyDescent="0.3">
      <c r="A77" s="297" t="s">
        <v>249</v>
      </c>
      <c r="B77" s="290"/>
      <c r="C77" s="295">
        <v>898</v>
      </c>
      <c r="D77" s="295"/>
      <c r="E77" s="295">
        <v>14092</v>
      </c>
      <c r="F77" s="295"/>
      <c r="G77" s="295"/>
      <c r="H77" s="295"/>
      <c r="I77" s="295"/>
      <c r="J77" s="295"/>
      <c r="K77" s="295"/>
      <c r="L77" s="295">
        <v>642</v>
      </c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300" t="s">
        <v>221</v>
      </c>
      <c r="AY77" s="300" t="s">
        <v>221</v>
      </c>
      <c r="AZ77" s="295"/>
      <c r="BA77" s="295"/>
      <c r="BB77" s="295"/>
      <c r="BC77" s="295"/>
      <c r="BD77" s="300" t="s">
        <v>221</v>
      </c>
      <c r="BE77" s="300" t="s">
        <v>221</v>
      </c>
      <c r="BF77" s="295"/>
      <c r="BG77" s="300" t="s">
        <v>221</v>
      </c>
      <c r="BH77" s="295"/>
      <c r="BI77" s="295"/>
      <c r="BJ77" s="300" t="s">
        <v>221</v>
      </c>
      <c r="BK77" s="295"/>
      <c r="BL77" s="295"/>
      <c r="BM77" s="295"/>
      <c r="BN77" s="300" t="s">
        <v>221</v>
      </c>
      <c r="BO77" s="300" t="s">
        <v>221</v>
      </c>
      <c r="BP77" s="300" t="s">
        <v>221</v>
      </c>
      <c r="BQ77" s="300" t="s">
        <v>221</v>
      </c>
      <c r="BR77" s="295"/>
      <c r="BS77" s="295"/>
      <c r="BT77" s="295"/>
      <c r="BU77" s="295"/>
      <c r="BV77" s="295"/>
      <c r="BW77" s="295"/>
      <c r="BX77" s="295"/>
      <c r="BY77" s="295"/>
      <c r="BZ77" s="295"/>
      <c r="CA77" s="295"/>
      <c r="CB77" s="295"/>
      <c r="CC77" s="300" t="s">
        <v>221</v>
      </c>
      <c r="CD77" s="300" t="s">
        <v>221</v>
      </c>
      <c r="CE77" s="290">
        <f>SUM(C77:CD77)</f>
        <v>15632</v>
      </c>
      <c r="CF77" s="290">
        <f>AY59-CE77</f>
        <v>0</v>
      </c>
      <c r="CG77" s="2"/>
    </row>
    <row r="78" spans="1:85" ht="12.65" customHeight="1" x14ac:dyDescent="0.3">
      <c r="A78" s="297" t="s">
        <v>250</v>
      </c>
      <c r="B78" s="290"/>
      <c r="C78" s="221">
        <v>3448.2746675055055</v>
      </c>
      <c r="D78" s="221">
        <v>0</v>
      </c>
      <c r="E78" s="295">
        <v>17047.541147111253</v>
      </c>
      <c r="F78" s="295">
        <v>0</v>
      </c>
      <c r="G78" s="295">
        <v>0</v>
      </c>
      <c r="H78" s="295">
        <v>0</v>
      </c>
      <c r="I78" s="295">
        <v>0</v>
      </c>
      <c r="J78" s="295">
        <v>0</v>
      </c>
      <c r="K78" s="295">
        <v>0</v>
      </c>
      <c r="L78" s="295">
        <v>0</v>
      </c>
      <c r="M78" s="295">
        <v>0</v>
      </c>
      <c r="N78" s="295">
        <v>0</v>
      </c>
      <c r="O78" s="295">
        <v>3423.0764827513894</v>
      </c>
      <c r="P78" s="295">
        <v>14911.187355073223</v>
      </c>
      <c r="Q78" s="295">
        <v>0</v>
      </c>
      <c r="R78" s="295">
        <v>0</v>
      </c>
      <c r="S78" s="295">
        <v>1085.1372126804376</v>
      </c>
      <c r="T78" s="295">
        <v>0</v>
      </c>
      <c r="U78" s="295">
        <v>182.84836629268466</v>
      </c>
      <c r="V78" s="295">
        <v>0</v>
      </c>
      <c r="W78" s="295">
        <v>0</v>
      </c>
      <c r="X78" s="295">
        <v>0</v>
      </c>
      <c r="Y78" s="295">
        <v>10166.17533368285</v>
      </c>
      <c r="Z78" s="295">
        <v>0</v>
      </c>
      <c r="AA78" s="295">
        <v>0</v>
      </c>
      <c r="AB78" s="295">
        <v>0</v>
      </c>
      <c r="AC78" s="295">
        <v>0</v>
      </c>
      <c r="AD78" s="295">
        <v>0</v>
      </c>
      <c r="AE78" s="295">
        <v>7749.7340264933073</v>
      </c>
      <c r="AF78" s="295">
        <v>0</v>
      </c>
      <c r="AG78" s="295">
        <v>21741.187638041312</v>
      </c>
      <c r="AH78" s="295">
        <v>0</v>
      </c>
      <c r="AI78" s="295">
        <v>3161.4030256894202</v>
      </c>
      <c r="AJ78" s="295">
        <v>6047.8873946384265</v>
      </c>
      <c r="AK78" s="295">
        <v>0</v>
      </c>
      <c r="AL78" s="295">
        <v>0</v>
      </c>
      <c r="AM78" s="295">
        <v>0</v>
      </c>
      <c r="AN78" s="295">
        <v>0</v>
      </c>
      <c r="AO78" s="295">
        <v>0</v>
      </c>
      <c r="AP78" s="295">
        <v>0</v>
      </c>
      <c r="AQ78" s="295">
        <v>0</v>
      </c>
      <c r="AR78" s="295">
        <v>0</v>
      </c>
      <c r="AS78" s="295">
        <v>0</v>
      </c>
      <c r="AT78" s="295">
        <v>0</v>
      </c>
      <c r="AU78" s="295">
        <v>0</v>
      </c>
      <c r="AV78" s="295">
        <v>3464.4273500401946</v>
      </c>
      <c r="AW78" s="295"/>
      <c r="AX78" s="300" t="s">
        <v>221</v>
      </c>
      <c r="AY78" s="300" t="s">
        <v>221</v>
      </c>
      <c r="AZ78" s="300" t="s">
        <v>221</v>
      </c>
      <c r="BA78" s="295"/>
      <c r="BB78" s="295"/>
      <c r="BC78" s="295"/>
      <c r="BD78" s="300" t="s">
        <v>221</v>
      </c>
      <c r="BE78" s="300" t="s">
        <v>221</v>
      </c>
      <c r="BF78" s="300" t="s">
        <v>221</v>
      </c>
      <c r="BG78" s="300" t="s">
        <v>221</v>
      </c>
      <c r="BH78" s="295"/>
      <c r="BI78" s="295"/>
      <c r="BJ78" s="300" t="s">
        <v>221</v>
      </c>
      <c r="BK78" s="295"/>
      <c r="BL78" s="295"/>
      <c r="BM78" s="295"/>
      <c r="BN78" s="300" t="s">
        <v>221</v>
      </c>
      <c r="BO78" s="300" t="s">
        <v>221</v>
      </c>
      <c r="BP78" s="300" t="s">
        <v>221</v>
      </c>
      <c r="BQ78" s="300" t="s">
        <v>221</v>
      </c>
      <c r="BR78" s="300" t="s">
        <v>221</v>
      </c>
      <c r="BS78" s="295"/>
      <c r="BT78" s="295"/>
      <c r="BU78" s="295"/>
      <c r="BV78" s="295"/>
      <c r="BW78" s="295"/>
      <c r="BX78" s="295"/>
      <c r="BY78" s="295"/>
      <c r="BZ78" s="295"/>
      <c r="CA78" s="295"/>
      <c r="CB78" s="295"/>
      <c r="CC78" s="300" t="s">
        <v>221</v>
      </c>
      <c r="CD78" s="300" t="s">
        <v>221</v>
      </c>
      <c r="CE78" s="290">
        <f t="shared" si="8"/>
        <v>92428.88</v>
      </c>
      <c r="CF78" s="290"/>
      <c r="CG78" s="2"/>
    </row>
    <row r="79" spans="1:85" ht="12.65" customHeight="1" x14ac:dyDescent="0.3">
      <c r="A79" s="297" t="s">
        <v>251</v>
      </c>
      <c r="B79" s="290"/>
      <c r="C79" s="221">
        <v>10674</v>
      </c>
      <c r="D79" s="221"/>
      <c r="E79" s="295">
        <v>52770</v>
      </c>
      <c r="F79" s="295"/>
      <c r="G79" s="295"/>
      <c r="H79" s="295"/>
      <c r="I79" s="295"/>
      <c r="J79" s="295"/>
      <c r="K79" s="295"/>
      <c r="L79" s="295"/>
      <c r="M79" s="295"/>
      <c r="N79" s="295"/>
      <c r="O79" s="295">
        <v>10596</v>
      </c>
      <c r="P79" s="295">
        <v>46157</v>
      </c>
      <c r="Q79" s="295"/>
      <c r="R79" s="295"/>
      <c r="S79" s="295">
        <v>3359</v>
      </c>
      <c r="T79" s="295"/>
      <c r="U79" s="295">
        <v>566</v>
      </c>
      <c r="V79" s="295"/>
      <c r="W79" s="295"/>
      <c r="X79" s="295"/>
      <c r="Y79" s="295">
        <v>31469</v>
      </c>
      <c r="Z79" s="295"/>
      <c r="AA79" s="295"/>
      <c r="AB79" s="295"/>
      <c r="AC79" s="295"/>
      <c r="AD79" s="295"/>
      <c r="AE79" s="295">
        <v>23989</v>
      </c>
      <c r="AF79" s="295"/>
      <c r="AG79" s="295">
        <v>67299</v>
      </c>
      <c r="AH79" s="295"/>
      <c r="AI79" s="295">
        <v>9786</v>
      </c>
      <c r="AJ79" s="295">
        <v>18721</v>
      </c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>
        <v>10724</v>
      </c>
      <c r="AW79" s="295"/>
      <c r="AX79" s="300" t="s">
        <v>221</v>
      </c>
      <c r="AY79" s="300" t="s">
        <v>221</v>
      </c>
      <c r="AZ79" s="300" t="s">
        <v>221</v>
      </c>
      <c r="BA79" s="300" t="s">
        <v>221</v>
      </c>
      <c r="BB79" s="295"/>
      <c r="BC79" s="295"/>
      <c r="BD79" s="300" t="s">
        <v>221</v>
      </c>
      <c r="BE79" s="300" t="s">
        <v>221</v>
      </c>
      <c r="BF79" s="300" t="s">
        <v>221</v>
      </c>
      <c r="BG79" s="300" t="s">
        <v>221</v>
      </c>
      <c r="BH79" s="295"/>
      <c r="BI79" s="295"/>
      <c r="BJ79" s="300" t="s">
        <v>221</v>
      </c>
      <c r="BK79" s="295"/>
      <c r="BL79" s="295"/>
      <c r="BM79" s="295"/>
      <c r="BN79" s="300" t="s">
        <v>221</v>
      </c>
      <c r="BO79" s="300" t="s">
        <v>221</v>
      </c>
      <c r="BP79" s="300" t="s">
        <v>221</v>
      </c>
      <c r="BQ79" s="300" t="s">
        <v>221</v>
      </c>
      <c r="BR79" s="300" t="s">
        <v>221</v>
      </c>
      <c r="BS79" s="295"/>
      <c r="BT79" s="295"/>
      <c r="BU79" s="295"/>
      <c r="BV79" s="295"/>
      <c r="BW79" s="295"/>
      <c r="BX79" s="295"/>
      <c r="BY79" s="295"/>
      <c r="BZ79" s="295"/>
      <c r="CA79" s="295"/>
      <c r="CB79" s="295"/>
      <c r="CC79" s="300" t="s">
        <v>221</v>
      </c>
      <c r="CD79" s="300" t="s">
        <v>221</v>
      </c>
      <c r="CE79" s="290">
        <f t="shared" si="8"/>
        <v>286110</v>
      </c>
      <c r="CF79" s="290">
        <f>BA59</f>
        <v>0</v>
      </c>
      <c r="CG79" s="2"/>
    </row>
    <row r="80" spans="1:85" ht="12.65" customHeight="1" x14ac:dyDescent="0.3">
      <c r="A80" s="297" t="s">
        <v>252</v>
      </c>
      <c r="B80" s="290"/>
      <c r="C80" s="304">
        <v>8.996759615384617</v>
      </c>
      <c r="D80" s="304"/>
      <c r="E80" s="304">
        <v>20.915105769230781</v>
      </c>
      <c r="F80" s="304"/>
      <c r="G80" s="304"/>
      <c r="H80" s="304"/>
      <c r="I80" s="304"/>
      <c r="J80" s="304"/>
      <c r="K80" s="304"/>
      <c r="L80" s="304"/>
      <c r="M80" s="304"/>
      <c r="N80" s="304"/>
      <c r="O80" s="304">
        <v>9.9805721153846214</v>
      </c>
      <c r="P80" s="304">
        <v>9.5897692307692335</v>
      </c>
      <c r="Q80" s="304">
        <v>0.48168269230769228</v>
      </c>
      <c r="R80" s="304"/>
      <c r="S80" s="304"/>
      <c r="T80" s="304"/>
      <c r="U80" s="304"/>
      <c r="V80" s="304">
        <v>4.9374999999999995E-2</v>
      </c>
      <c r="W80" s="304"/>
      <c r="X80" s="304"/>
      <c r="Y80" s="304"/>
      <c r="Z80" s="304"/>
      <c r="AA80" s="304">
        <v>0.22622596153846156</v>
      </c>
      <c r="AB80" s="304"/>
      <c r="AC80" s="304"/>
      <c r="AD80" s="304"/>
      <c r="AE80" s="304"/>
      <c r="AF80" s="304"/>
      <c r="AG80" s="304">
        <v>14.83716346153847</v>
      </c>
      <c r="AH80" s="304"/>
      <c r="AI80" s="304">
        <v>10.268091346153847</v>
      </c>
      <c r="AJ80" s="304">
        <v>19.602120192307698</v>
      </c>
      <c r="AK80" s="304"/>
      <c r="AL80" s="304"/>
      <c r="AM80" s="304"/>
      <c r="AN80" s="304"/>
      <c r="AO80" s="304"/>
      <c r="AP80" s="304"/>
      <c r="AQ80" s="304"/>
      <c r="AR80" s="304">
        <v>14.694567307692319</v>
      </c>
      <c r="AS80" s="304"/>
      <c r="AT80" s="304"/>
      <c r="AU80" s="304"/>
      <c r="AV80" s="304">
        <v>3.6446009615384614</v>
      </c>
      <c r="AW80" s="300" t="s">
        <v>221</v>
      </c>
      <c r="AX80" s="300" t="s">
        <v>221</v>
      </c>
      <c r="AY80" s="300" t="s">
        <v>221</v>
      </c>
      <c r="AZ80" s="300" t="s">
        <v>221</v>
      </c>
      <c r="BA80" s="300" t="s">
        <v>221</v>
      </c>
      <c r="BB80" s="300" t="s">
        <v>221</v>
      </c>
      <c r="BC80" s="300" t="s">
        <v>221</v>
      </c>
      <c r="BD80" s="300" t="s">
        <v>221</v>
      </c>
      <c r="BE80" s="300" t="s">
        <v>221</v>
      </c>
      <c r="BF80" s="300" t="s">
        <v>221</v>
      </c>
      <c r="BG80" s="300" t="s">
        <v>221</v>
      </c>
      <c r="BH80" s="300" t="s">
        <v>221</v>
      </c>
      <c r="BI80" s="300" t="s">
        <v>221</v>
      </c>
      <c r="BJ80" s="300" t="s">
        <v>221</v>
      </c>
      <c r="BK80" s="300" t="s">
        <v>221</v>
      </c>
      <c r="BL80" s="300" t="s">
        <v>221</v>
      </c>
      <c r="BM80" s="300" t="s">
        <v>221</v>
      </c>
      <c r="BN80" s="300" t="s">
        <v>221</v>
      </c>
      <c r="BO80" s="300" t="s">
        <v>221</v>
      </c>
      <c r="BP80" s="300" t="s">
        <v>221</v>
      </c>
      <c r="BQ80" s="300" t="s">
        <v>221</v>
      </c>
      <c r="BR80" s="300" t="s">
        <v>221</v>
      </c>
      <c r="BS80" s="300" t="s">
        <v>221</v>
      </c>
      <c r="BT80" s="300" t="s">
        <v>221</v>
      </c>
      <c r="BU80" s="305"/>
      <c r="BV80" s="305"/>
      <c r="BW80" s="305"/>
      <c r="BX80" s="305"/>
      <c r="BY80" s="305"/>
      <c r="BZ80" s="305"/>
      <c r="CA80" s="305"/>
      <c r="CB80" s="305"/>
      <c r="CC80" s="300" t="s">
        <v>221</v>
      </c>
      <c r="CD80" s="300" t="s">
        <v>221</v>
      </c>
      <c r="CE80" s="306">
        <f t="shared" si="8"/>
        <v>113.2860336538462</v>
      </c>
      <c r="CF80" s="306"/>
      <c r="CG80" s="2"/>
    </row>
    <row r="81" spans="1:85" ht="21" customHeight="1" x14ac:dyDescent="0.3">
      <c r="A81" s="307" t="s">
        <v>253</v>
      </c>
      <c r="B81" s="307"/>
      <c r="C81" s="307"/>
      <c r="D81" s="307"/>
      <c r="E81" s="307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</row>
    <row r="82" spans="1:85" ht="12.65" customHeight="1" x14ac:dyDescent="0.3">
      <c r="A82" s="297" t="s">
        <v>254</v>
      </c>
      <c r="B82" s="308"/>
      <c r="C82" s="309" t="s">
        <v>1267</v>
      </c>
      <c r="D82" s="310"/>
      <c r="E82" s="29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</row>
    <row r="83" spans="1:85" ht="12.65" customHeight="1" x14ac:dyDescent="0.3">
      <c r="A83" s="290" t="s">
        <v>255</v>
      </c>
      <c r="B83" s="308" t="s">
        <v>256</v>
      </c>
      <c r="C83" s="311" t="s">
        <v>1268</v>
      </c>
      <c r="D83" s="310"/>
      <c r="E83" s="29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</row>
    <row r="84" spans="1:85" ht="12.65" customHeight="1" x14ac:dyDescent="0.3">
      <c r="A84" s="290" t="s">
        <v>257</v>
      </c>
      <c r="B84" s="308" t="s">
        <v>256</v>
      </c>
      <c r="C84" s="266" t="s">
        <v>1269</v>
      </c>
      <c r="D84" s="203"/>
      <c r="E84" s="20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</row>
    <row r="85" spans="1:85" ht="12.65" customHeight="1" x14ac:dyDescent="0.3">
      <c r="A85" s="290" t="s">
        <v>1250</v>
      </c>
      <c r="B85" s="308"/>
      <c r="C85" s="266" t="s">
        <v>1270</v>
      </c>
      <c r="D85" s="203"/>
      <c r="E85" s="20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</row>
    <row r="86" spans="1:85" ht="12.65" customHeight="1" x14ac:dyDescent="0.3">
      <c r="A86" s="290" t="s">
        <v>1251</v>
      </c>
      <c r="B86" s="308" t="s">
        <v>256</v>
      </c>
      <c r="C86" s="225" t="s">
        <v>1270</v>
      </c>
      <c r="D86" s="203"/>
      <c r="E86" s="20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</row>
    <row r="87" spans="1:85" ht="12.65" customHeight="1" x14ac:dyDescent="0.3">
      <c r="A87" s="290" t="s">
        <v>258</v>
      </c>
      <c r="B87" s="308" t="s">
        <v>256</v>
      </c>
      <c r="C87" s="266" t="s">
        <v>1271</v>
      </c>
      <c r="D87" s="203"/>
      <c r="E87" s="20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</row>
    <row r="88" spans="1:85" ht="12.65" customHeight="1" x14ac:dyDescent="0.3">
      <c r="A88" s="290" t="s">
        <v>259</v>
      </c>
      <c r="B88" s="308" t="s">
        <v>256</v>
      </c>
      <c r="C88" s="266" t="s">
        <v>1272</v>
      </c>
      <c r="D88" s="203"/>
      <c r="E88" s="20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</row>
    <row r="89" spans="1:85" ht="12.65" customHeight="1" x14ac:dyDescent="0.3">
      <c r="A89" s="290" t="s">
        <v>260</v>
      </c>
      <c r="B89" s="308" t="s">
        <v>256</v>
      </c>
      <c r="C89" s="266" t="s">
        <v>1273</v>
      </c>
      <c r="D89" s="203"/>
      <c r="E89" s="20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</row>
    <row r="90" spans="1:85" ht="12.65" customHeight="1" x14ac:dyDescent="0.3">
      <c r="A90" s="290" t="s">
        <v>261</v>
      </c>
      <c r="B90" s="308" t="s">
        <v>256</v>
      </c>
      <c r="C90" s="266" t="s">
        <v>1274</v>
      </c>
      <c r="D90" s="203"/>
      <c r="E90" s="20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</row>
    <row r="91" spans="1:85" ht="12.65" customHeight="1" x14ac:dyDescent="0.3">
      <c r="A91" s="290" t="s">
        <v>262</v>
      </c>
      <c r="B91" s="308" t="s">
        <v>256</v>
      </c>
      <c r="C91" s="266" t="s">
        <v>1275</v>
      </c>
      <c r="D91" s="203"/>
      <c r="E91" s="20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</row>
    <row r="92" spans="1:85" ht="12.65" customHeight="1" x14ac:dyDescent="0.3">
      <c r="A92" s="290" t="s">
        <v>263</v>
      </c>
      <c r="B92" s="308" t="s">
        <v>256</v>
      </c>
      <c r="C92" s="222" t="s">
        <v>1276</v>
      </c>
      <c r="D92" s="310"/>
      <c r="E92" s="29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</row>
    <row r="93" spans="1:85" ht="12.65" customHeight="1" x14ac:dyDescent="0.3">
      <c r="A93" s="290" t="s">
        <v>264</v>
      </c>
      <c r="B93" s="308" t="s">
        <v>256</v>
      </c>
      <c r="C93" s="312" t="s">
        <v>1277</v>
      </c>
      <c r="D93" s="310"/>
      <c r="E93" s="29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</row>
    <row r="94" spans="1:85" ht="12.65" customHeight="1" x14ac:dyDescent="0.3">
      <c r="A94" s="290"/>
      <c r="B94" s="290"/>
      <c r="C94" s="298"/>
      <c r="D94" s="290"/>
      <c r="E94" s="29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</row>
    <row r="95" spans="1:85" ht="12.65" customHeight="1" x14ac:dyDescent="0.3">
      <c r="A95" s="307" t="s">
        <v>265</v>
      </c>
      <c r="B95" s="307"/>
      <c r="C95" s="307"/>
      <c r="D95" s="307"/>
      <c r="E95" s="307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</row>
    <row r="96" spans="1:85" ht="12.65" customHeight="1" x14ac:dyDescent="0.3">
      <c r="A96" s="313" t="s">
        <v>266</v>
      </c>
      <c r="B96" s="313"/>
      <c r="C96" s="313"/>
      <c r="D96" s="313"/>
      <c r="E96" s="31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</row>
    <row r="97" spans="1:85" ht="12.65" customHeight="1" x14ac:dyDescent="0.3">
      <c r="A97" s="290" t="s">
        <v>267</v>
      </c>
      <c r="B97" s="308" t="s">
        <v>256</v>
      </c>
      <c r="C97" s="187"/>
      <c r="D97" s="290"/>
      <c r="E97" s="29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</row>
    <row r="98" spans="1:85" ht="12.65" customHeight="1" x14ac:dyDescent="0.3">
      <c r="A98" s="290" t="s">
        <v>259</v>
      </c>
      <c r="B98" s="308" t="s">
        <v>256</v>
      </c>
      <c r="C98" s="187"/>
      <c r="D98" s="290"/>
      <c r="E98" s="290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</row>
    <row r="99" spans="1:85" ht="12.65" customHeight="1" x14ac:dyDescent="0.3">
      <c r="A99" s="290" t="s">
        <v>268</v>
      </c>
      <c r="B99" s="308" t="s">
        <v>256</v>
      </c>
      <c r="C99" s="187">
        <v>1</v>
      </c>
      <c r="D99" s="290"/>
      <c r="E99" s="290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</row>
    <row r="100" spans="1:85" ht="12.65" customHeight="1" x14ac:dyDescent="0.3">
      <c r="A100" s="313" t="s">
        <v>269</v>
      </c>
      <c r="B100" s="313"/>
      <c r="C100" s="313"/>
      <c r="D100" s="313"/>
      <c r="E100" s="3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</row>
    <row r="101" spans="1:85" ht="12.65" customHeight="1" x14ac:dyDescent="0.3">
      <c r="A101" s="290" t="s">
        <v>270</v>
      </c>
      <c r="B101" s="308" t="s">
        <v>256</v>
      </c>
      <c r="C101" s="187"/>
      <c r="D101" s="290"/>
      <c r="E101" s="29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</row>
    <row r="102" spans="1:85" ht="12.65" customHeight="1" x14ac:dyDescent="0.3">
      <c r="A102" s="290" t="s">
        <v>132</v>
      </c>
      <c r="B102" s="308" t="s">
        <v>256</v>
      </c>
      <c r="C102" s="219"/>
      <c r="D102" s="290"/>
      <c r="E102" s="29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</row>
    <row r="103" spans="1:85" ht="12.65" customHeight="1" x14ac:dyDescent="0.3">
      <c r="A103" s="313" t="s">
        <v>271</v>
      </c>
      <c r="B103" s="313"/>
      <c r="C103" s="313"/>
      <c r="D103" s="313"/>
      <c r="E103" s="31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</row>
    <row r="104" spans="1:85" ht="12.65" customHeight="1" x14ac:dyDescent="0.3">
      <c r="A104" s="290" t="s">
        <v>272</v>
      </c>
      <c r="B104" s="308" t="s">
        <v>256</v>
      </c>
      <c r="C104" s="187"/>
      <c r="D104" s="290"/>
      <c r="E104" s="29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</row>
    <row r="105" spans="1:85" ht="12.65" customHeight="1" x14ac:dyDescent="0.3">
      <c r="A105" s="290" t="s">
        <v>273</v>
      </c>
      <c r="B105" s="308" t="s">
        <v>256</v>
      </c>
      <c r="C105" s="187"/>
      <c r="D105" s="290"/>
      <c r="E105" s="29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</row>
    <row r="106" spans="1:85" ht="12.65" customHeight="1" x14ac:dyDescent="0.3">
      <c r="A106" s="290" t="s">
        <v>274</v>
      </c>
      <c r="B106" s="308" t="s">
        <v>256</v>
      </c>
      <c r="C106" s="187"/>
      <c r="D106" s="290"/>
      <c r="E106" s="29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</row>
    <row r="107" spans="1:85" ht="12.65" customHeight="1" x14ac:dyDescent="0.3">
      <c r="A107" s="290"/>
      <c r="B107" s="308"/>
      <c r="C107" s="314"/>
      <c r="D107" s="290"/>
      <c r="E107" s="29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</row>
    <row r="108" spans="1:85" ht="21.75" customHeight="1" x14ac:dyDescent="0.3">
      <c r="A108" s="315" t="s">
        <v>275</v>
      </c>
      <c r="B108" s="307"/>
      <c r="C108" s="307"/>
      <c r="D108" s="307"/>
      <c r="E108" s="307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</row>
    <row r="109" spans="1:85" ht="13.5" customHeight="1" x14ac:dyDescent="0.3">
      <c r="A109" s="290"/>
      <c r="B109" s="308"/>
      <c r="C109" s="314"/>
      <c r="D109" s="290"/>
      <c r="E109" s="29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</row>
    <row r="110" spans="1:85" ht="13.5" customHeight="1" x14ac:dyDescent="0.3">
      <c r="A110" s="297" t="s">
        <v>276</v>
      </c>
      <c r="B110" s="290"/>
      <c r="C110" s="291" t="s">
        <v>277</v>
      </c>
      <c r="D110" s="292" t="s">
        <v>215</v>
      </c>
      <c r="E110" s="29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</row>
    <row r="111" spans="1:85" ht="12.65" customHeight="1" x14ac:dyDescent="0.3">
      <c r="A111" s="290" t="s">
        <v>278</v>
      </c>
      <c r="B111" s="308" t="s">
        <v>256</v>
      </c>
      <c r="C111" s="187">
        <v>1519</v>
      </c>
      <c r="D111" s="173">
        <v>4127</v>
      </c>
      <c r="E111" s="29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</row>
    <row r="112" spans="1:85" ht="12.65" customHeight="1" x14ac:dyDescent="0.3">
      <c r="A112" s="290" t="s">
        <v>279</v>
      </c>
      <c r="B112" s="308" t="s">
        <v>256</v>
      </c>
      <c r="C112" s="187">
        <v>24</v>
      </c>
      <c r="D112" s="173">
        <v>188</v>
      </c>
      <c r="E112" s="290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</row>
    <row r="113" spans="1:85" ht="12.65" customHeight="1" x14ac:dyDescent="0.3">
      <c r="A113" s="290" t="s">
        <v>280</v>
      </c>
      <c r="B113" s="308" t="s">
        <v>256</v>
      </c>
      <c r="C113" s="187"/>
      <c r="D113" s="173"/>
      <c r="E113" s="290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</row>
    <row r="114" spans="1:85" ht="12.65" customHeight="1" x14ac:dyDescent="0.3">
      <c r="A114" s="290" t="s">
        <v>281</v>
      </c>
      <c r="B114" s="308" t="s">
        <v>256</v>
      </c>
      <c r="C114" s="187">
        <v>112</v>
      </c>
      <c r="D114" s="173">
        <v>238</v>
      </c>
      <c r="E114" s="29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</row>
    <row r="115" spans="1:85" ht="12.65" customHeight="1" x14ac:dyDescent="0.3">
      <c r="A115" s="297" t="s">
        <v>282</v>
      </c>
      <c r="B115" s="290"/>
      <c r="C115" s="291" t="s">
        <v>167</v>
      </c>
      <c r="D115" s="290"/>
      <c r="E115" s="29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</row>
    <row r="116" spans="1:85" ht="12.65" customHeight="1" x14ac:dyDescent="0.3">
      <c r="A116" s="290" t="s">
        <v>283</v>
      </c>
      <c r="B116" s="308" t="s">
        <v>256</v>
      </c>
      <c r="C116" s="187">
        <v>6</v>
      </c>
      <c r="D116" s="290"/>
      <c r="E116" s="29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</row>
    <row r="117" spans="1:85" ht="12.65" customHeight="1" x14ac:dyDescent="0.3">
      <c r="A117" s="290" t="s">
        <v>284</v>
      </c>
      <c r="B117" s="308" t="s">
        <v>256</v>
      </c>
      <c r="C117" s="187"/>
      <c r="D117" s="290"/>
      <c r="E117" s="29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</row>
    <row r="118" spans="1:85" ht="12.65" customHeight="1" x14ac:dyDescent="0.3">
      <c r="A118" s="290" t="s">
        <v>1238</v>
      </c>
      <c r="B118" s="308" t="s">
        <v>256</v>
      </c>
      <c r="C118" s="187">
        <v>10</v>
      </c>
      <c r="D118" s="290"/>
      <c r="E118" s="29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</row>
    <row r="119" spans="1:85" ht="12.65" customHeight="1" x14ac:dyDescent="0.3">
      <c r="A119" s="290" t="s">
        <v>285</v>
      </c>
      <c r="B119" s="308" t="s">
        <v>256</v>
      </c>
      <c r="C119" s="187"/>
      <c r="D119" s="290"/>
      <c r="E119" s="29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</row>
    <row r="120" spans="1:85" ht="12.65" customHeight="1" x14ac:dyDescent="0.3">
      <c r="A120" s="290" t="s">
        <v>286</v>
      </c>
      <c r="B120" s="308" t="s">
        <v>256</v>
      </c>
      <c r="C120" s="187">
        <v>4</v>
      </c>
      <c r="D120" s="290"/>
      <c r="E120" s="29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</row>
    <row r="121" spans="1:85" ht="12.65" customHeight="1" x14ac:dyDescent="0.3">
      <c r="A121" s="290" t="s">
        <v>287</v>
      </c>
      <c r="B121" s="308" t="s">
        <v>256</v>
      </c>
      <c r="C121" s="187"/>
      <c r="D121" s="290"/>
      <c r="E121" s="29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</row>
    <row r="122" spans="1:85" ht="12.65" customHeight="1" x14ac:dyDescent="0.3">
      <c r="A122" s="290" t="s">
        <v>97</v>
      </c>
      <c r="B122" s="308" t="s">
        <v>256</v>
      </c>
      <c r="C122" s="187"/>
      <c r="D122" s="290"/>
      <c r="E122" s="29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</row>
    <row r="123" spans="1:85" ht="12.65" customHeight="1" x14ac:dyDescent="0.3">
      <c r="A123" s="290" t="s">
        <v>288</v>
      </c>
      <c r="B123" s="308" t="s">
        <v>256</v>
      </c>
      <c r="C123" s="187">
        <v>5</v>
      </c>
      <c r="D123" s="290"/>
      <c r="E123" s="29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</row>
    <row r="124" spans="1:85" ht="12.65" customHeight="1" x14ac:dyDescent="0.3">
      <c r="A124" s="290" t="s">
        <v>289</v>
      </c>
      <c r="B124" s="308"/>
      <c r="C124" s="187"/>
      <c r="D124" s="290"/>
      <c r="E124" s="29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</row>
    <row r="125" spans="1:85" ht="12.65" customHeight="1" x14ac:dyDescent="0.3">
      <c r="A125" s="290" t="s">
        <v>280</v>
      </c>
      <c r="B125" s="308" t="s">
        <v>256</v>
      </c>
      <c r="C125" s="187"/>
      <c r="D125" s="290"/>
      <c r="E125" s="29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</row>
    <row r="126" spans="1:85" ht="12.65" customHeight="1" x14ac:dyDescent="0.3">
      <c r="A126" s="290" t="s">
        <v>290</v>
      </c>
      <c r="B126" s="308" t="s">
        <v>256</v>
      </c>
      <c r="C126" s="187"/>
      <c r="D126" s="290"/>
      <c r="E126" s="29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</row>
    <row r="127" spans="1:85" ht="12.65" customHeight="1" x14ac:dyDescent="0.3">
      <c r="A127" s="290" t="s">
        <v>291</v>
      </c>
      <c r="B127" s="290"/>
      <c r="C127" s="298"/>
      <c r="D127" s="290"/>
      <c r="E127" s="290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</row>
    <row r="128" spans="1:85" ht="12.65" customHeight="1" x14ac:dyDescent="0.3">
      <c r="A128" s="290" t="s">
        <v>292</v>
      </c>
      <c r="B128" s="308" t="s">
        <v>256</v>
      </c>
      <c r="C128" s="187">
        <v>4</v>
      </c>
      <c r="D128" s="290"/>
      <c r="E128" s="29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</row>
    <row r="129" spans="1:85" ht="12.65" customHeight="1" x14ac:dyDescent="0.3">
      <c r="A129" s="290" t="s">
        <v>293</v>
      </c>
      <c r="B129" s="308" t="s">
        <v>256</v>
      </c>
      <c r="C129" s="187">
        <v>4</v>
      </c>
      <c r="D129" s="290"/>
      <c r="E129" s="29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</row>
    <row r="130" spans="1:85" ht="12.65" customHeight="1" x14ac:dyDescent="0.3">
      <c r="A130" s="290"/>
      <c r="B130" s="290"/>
      <c r="C130" s="298"/>
      <c r="D130" s="290"/>
      <c r="E130" s="29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</row>
    <row r="131" spans="1:85" ht="12.65" customHeight="1" x14ac:dyDescent="0.3">
      <c r="A131" s="290" t="s">
        <v>294</v>
      </c>
      <c r="B131" s="308" t="s">
        <v>256</v>
      </c>
      <c r="C131" s="187"/>
      <c r="D131" s="290"/>
      <c r="E131" s="29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</row>
    <row r="132" spans="1:85" ht="12.65" customHeight="1" x14ac:dyDescent="0.3">
      <c r="A132" s="290"/>
      <c r="B132" s="290"/>
      <c r="C132" s="298"/>
      <c r="D132" s="290"/>
      <c r="E132" s="29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</row>
    <row r="133" spans="1:85" ht="12.65" customHeight="1" x14ac:dyDescent="0.3">
      <c r="A133" s="290"/>
      <c r="B133" s="290"/>
      <c r="C133" s="298"/>
      <c r="D133" s="290"/>
      <c r="E133" s="29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</row>
    <row r="134" spans="1:85" ht="12.65" customHeight="1" x14ac:dyDescent="0.3">
      <c r="A134" s="290"/>
      <c r="B134" s="290"/>
      <c r="C134" s="298"/>
      <c r="D134" s="290"/>
      <c r="E134" s="29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</row>
    <row r="135" spans="1:85" ht="12.65" customHeight="1" x14ac:dyDescent="0.3">
      <c r="A135" s="290"/>
      <c r="B135" s="290"/>
      <c r="C135" s="298"/>
      <c r="D135" s="290"/>
      <c r="E135" s="29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</row>
    <row r="136" spans="1:85" ht="18" customHeight="1" x14ac:dyDescent="0.3">
      <c r="A136" s="307" t="s">
        <v>1239</v>
      </c>
      <c r="B136" s="315"/>
      <c r="C136" s="315"/>
      <c r="D136" s="315"/>
      <c r="E136" s="31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</row>
    <row r="137" spans="1:85" ht="12.65" customHeight="1" x14ac:dyDescent="0.3">
      <c r="A137" s="316" t="s">
        <v>295</v>
      </c>
      <c r="B137" s="317" t="s">
        <v>296</v>
      </c>
      <c r="C137" s="318" t="s">
        <v>297</v>
      </c>
      <c r="D137" s="317" t="s">
        <v>132</v>
      </c>
      <c r="E137" s="317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</row>
    <row r="138" spans="1:85" ht="12.65" customHeight="1" x14ac:dyDescent="0.3">
      <c r="A138" s="290" t="s">
        <v>277</v>
      </c>
      <c r="B138" s="173">
        <v>1046</v>
      </c>
      <c r="C138" s="187">
        <v>200</v>
      </c>
      <c r="D138" s="173">
        <f>23+250</f>
        <v>273</v>
      </c>
      <c r="E138" s="290">
        <f>SUM(B138:D138)</f>
        <v>1519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</row>
    <row r="139" spans="1:85" ht="12.65" customHeight="1" x14ac:dyDescent="0.3">
      <c r="A139" s="290" t="s">
        <v>215</v>
      </c>
      <c r="B139" s="173">
        <v>2916</v>
      </c>
      <c r="C139" s="187">
        <v>507</v>
      </c>
      <c r="D139" s="173">
        <v>704</v>
      </c>
      <c r="E139" s="290">
        <f>SUM(B139:D139)</f>
        <v>4127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</row>
    <row r="140" spans="1:85" ht="12.65" customHeight="1" x14ac:dyDescent="0.3">
      <c r="A140" s="290" t="s">
        <v>298</v>
      </c>
      <c r="B140" s="173"/>
      <c r="C140" s="173"/>
      <c r="D140" s="173"/>
      <c r="E140" s="290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</row>
    <row r="141" spans="1:85" ht="12.65" customHeight="1" x14ac:dyDescent="0.3">
      <c r="A141" s="290" t="s">
        <v>245</v>
      </c>
      <c r="B141" s="173">
        <v>30541329</v>
      </c>
      <c r="C141" s="187">
        <v>5524187</v>
      </c>
      <c r="D141" s="173">
        <f>8463725+522954+549</f>
        <v>8987228</v>
      </c>
      <c r="E141" s="290">
        <f>SUM(B141:D141)</f>
        <v>45052744</v>
      </c>
      <c r="F141" s="319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</row>
    <row r="142" spans="1:85" ht="12.65" customHeight="1" x14ac:dyDescent="0.3">
      <c r="A142" s="290" t="s">
        <v>246</v>
      </c>
      <c r="B142" s="173">
        <v>125670466</v>
      </c>
      <c r="C142" s="187">
        <v>32177280</v>
      </c>
      <c r="D142" s="173">
        <f>54693957+3419715-549</f>
        <v>58113123</v>
      </c>
      <c r="E142" s="290">
        <f>SUM(B142:D142)</f>
        <v>215960869</v>
      </c>
      <c r="F142" s="319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</row>
    <row r="143" spans="1:85" ht="12.65" customHeight="1" x14ac:dyDescent="0.3">
      <c r="A143" s="316" t="s">
        <v>299</v>
      </c>
      <c r="B143" s="317" t="s">
        <v>296</v>
      </c>
      <c r="C143" s="318" t="s">
        <v>297</v>
      </c>
      <c r="D143" s="317" t="s">
        <v>132</v>
      </c>
      <c r="E143" s="317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</row>
    <row r="144" spans="1:85" ht="12.65" customHeight="1" x14ac:dyDescent="0.3">
      <c r="A144" s="290" t="s">
        <v>277</v>
      </c>
      <c r="B144" s="173">
        <v>20</v>
      </c>
      <c r="C144" s="187">
        <v>2</v>
      </c>
      <c r="D144" s="173">
        <v>2</v>
      </c>
      <c r="E144" s="290">
        <f>SUM(B144:D144)</f>
        <v>24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</row>
    <row r="145" spans="1:85" ht="12.65" customHeight="1" x14ac:dyDescent="0.3">
      <c r="A145" s="290" t="s">
        <v>215</v>
      </c>
      <c r="B145" s="173">
        <v>160</v>
      </c>
      <c r="C145" s="187">
        <v>14</v>
      </c>
      <c r="D145" s="173">
        <v>14</v>
      </c>
      <c r="E145" s="290">
        <f>SUM(B145:D145)</f>
        <v>188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</row>
    <row r="146" spans="1:85" ht="12.65" customHeight="1" x14ac:dyDescent="0.3">
      <c r="A146" s="290" t="s">
        <v>298</v>
      </c>
      <c r="B146" s="173"/>
      <c r="C146" s="187"/>
      <c r="D146" s="173"/>
      <c r="E146" s="290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</row>
    <row r="147" spans="1:85" ht="12.65" customHeight="1" x14ac:dyDescent="0.3">
      <c r="A147" s="290" t="s">
        <v>245</v>
      </c>
      <c r="B147" s="173">
        <v>342823</v>
      </c>
      <c r="C147" s="187">
        <v>23898</v>
      </c>
      <c r="D147" s="173">
        <v>23898</v>
      </c>
      <c r="E147" s="290">
        <f>SUM(B147:D147)</f>
        <v>390619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</row>
    <row r="148" spans="1:85" ht="12.65" customHeight="1" x14ac:dyDescent="0.3">
      <c r="A148" s="290" t="s">
        <v>246</v>
      </c>
      <c r="B148" s="173">
        <v>0</v>
      </c>
      <c r="C148" s="187">
        <v>0</v>
      </c>
      <c r="D148" s="173">
        <v>0</v>
      </c>
      <c r="E148" s="290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</row>
    <row r="149" spans="1:85" ht="12.65" customHeight="1" x14ac:dyDescent="0.3">
      <c r="A149" s="316" t="s">
        <v>300</v>
      </c>
      <c r="B149" s="317" t="s">
        <v>296</v>
      </c>
      <c r="C149" s="318" t="s">
        <v>297</v>
      </c>
      <c r="D149" s="317" t="s">
        <v>132</v>
      </c>
      <c r="E149" s="317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</row>
    <row r="150" spans="1:85" ht="12.65" customHeight="1" x14ac:dyDescent="0.3">
      <c r="A150" s="290" t="s">
        <v>277</v>
      </c>
      <c r="B150" s="173"/>
      <c r="C150" s="187"/>
      <c r="D150" s="173"/>
      <c r="E150" s="290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</row>
    <row r="151" spans="1:85" ht="12.65" customHeight="1" x14ac:dyDescent="0.3">
      <c r="A151" s="290" t="s">
        <v>215</v>
      </c>
      <c r="B151" s="173"/>
      <c r="C151" s="187"/>
      <c r="D151" s="173"/>
      <c r="E151" s="290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</row>
    <row r="152" spans="1:85" ht="12.65" customHeight="1" x14ac:dyDescent="0.3">
      <c r="A152" s="290" t="s">
        <v>298</v>
      </c>
      <c r="B152" s="173"/>
      <c r="C152" s="187"/>
      <c r="D152" s="173"/>
      <c r="E152" s="290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</row>
    <row r="153" spans="1:85" ht="12.65" customHeight="1" x14ac:dyDescent="0.3">
      <c r="A153" s="290" t="s">
        <v>245</v>
      </c>
      <c r="B153" s="173"/>
      <c r="C153" s="187"/>
      <c r="D153" s="173"/>
      <c r="E153" s="290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</row>
    <row r="154" spans="1:85" ht="12.65" customHeight="1" x14ac:dyDescent="0.3">
      <c r="A154" s="290" t="s">
        <v>246</v>
      </c>
      <c r="B154" s="173"/>
      <c r="C154" s="187"/>
      <c r="D154" s="173"/>
      <c r="E154" s="290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</row>
    <row r="155" spans="1:85" ht="12.65" customHeight="1" x14ac:dyDescent="0.3">
      <c r="A155" s="296"/>
      <c r="B155" s="296"/>
      <c r="C155" s="320"/>
      <c r="D155" s="321"/>
      <c r="E155" s="29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</row>
    <row r="156" spans="1:85" ht="12.65" customHeight="1" x14ac:dyDescent="0.3">
      <c r="A156" s="316" t="s">
        <v>301</v>
      </c>
      <c r="B156" s="317" t="s">
        <v>302</v>
      </c>
      <c r="C156" s="318" t="s">
        <v>303</v>
      </c>
      <c r="D156" s="290"/>
      <c r="E156" s="29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</row>
    <row r="157" spans="1:85" ht="12.65" customHeight="1" x14ac:dyDescent="0.3">
      <c r="A157" s="296" t="s">
        <v>304</v>
      </c>
      <c r="B157" s="173">
        <v>31858918</v>
      </c>
      <c r="C157" s="173">
        <v>9483131</v>
      </c>
      <c r="D157" s="290"/>
      <c r="E157" s="290"/>
      <c r="F157" s="340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</row>
    <row r="158" spans="1:85" ht="12.65" customHeight="1" x14ac:dyDescent="0.3">
      <c r="A158" s="296"/>
      <c r="B158" s="321"/>
      <c r="C158" s="320"/>
      <c r="D158" s="290"/>
      <c r="E158" s="29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</row>
    <row r="159" spans="1:85" ht="12.65" customHeight="1" x14ac:dyDescent="0.3">
      <c r="A159" s="296"/>
      <c r="B159" s="296"/>
      <c r="C159" s="320"/>
      <c r="D159" s="321"/>
      <c r="E159" s="29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</row>
    <row r="160" spans="1:85" ht="12.65" customHeight="1" x14ac:dyDescent="0.3">
      <c r="A160" s="296"/>
      <c r="B160" s="296"/>
      <c r="C160" s="320"/>
      <c r="D160" s="321"/>
      <c r="E160" s="29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</row>
    <row r="161" spans="1:85" ht="12.65" customHeight="1" x14ac:dyDescent="0.3">
      <c r="A161" s="296"/>
      <c r="B161" s="296"/>
      <c r="C161" s="320"/>
      <c r="D161" s="321"/>
      <c r="E161" s="29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</row>
    <row r="162" spans="1:85" ht="12.65" customHeight="1" x14ac:dyDescent="0.3">
      <c r="A162" s="296"/>
      <c r="B162" s="296"/>
      <c r="C162" s="320"/>
      <c r="D162" s="321"/>
      <c r="E162" s="29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</row>
    <row r="163" spans="1:85" ht="21.75" customHeight="1" x14ac:dyDescent="0.3">
      <c r="A163" s="315" t="s">
        <v>305</v>
      </c>
      <c r="B163" s="307"/>
      <c r="C163" s="307"/>
      <c r="D163" s="307"/>
      <c r="E163" s="307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</row>
    <row r="164" spans="1:85" ht="11.5" customHeight="1" x14ac:dyDescent="0.3">
      <c r="A164" s="313" t="s">
        <v>306</v>
      </c>
      <c r="B164" s="313"/>
      <c r="C164" s="313"/>
      <c r="D164" s="313"/>
      <c r="E164" s="31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</row>
    <row r="165" spans="1:85" ht="11.5" customHeight="1" x14ac:dyDescent="0.3">
      <c r="A165" s="290" t="s">
        <v>307</v>
      </c>
      <c r="B165" s="308" t="s">
        <v>256</v>
      </c>
      <c r="C165" s="187">
        <v>3817174</v>
      </c>
      <c r="D165" s="290"/>
      <c r="E165" s="29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</row>
    <row r="166" spans="1:85" ht="11.5" customHeight="1" x14ac:dyDescent="0.3">
      <c r="A166" s="290" t="s">
        <v>308</v>
      </c>
      <c r="B166" s="308" t="s">
        <v>256</v>
      </c>
      <c r="C166" s="187">
        <v>83254</v>
      </c>
      <c r="D166" s="290"/>
      <c r="E166" s="29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</row>
    <row r="167" spans="1:85" ht="11.5" customHeight="1" x14ac:dyDescent="0.3">
      <c r="A167" s="296" t="s">
        <v>309</v>
      </c>
      <c r="B167" s="308" t="s">
        <v>256</v>
      </c>
      <c r="C167" s="187">
        <v>284287</v>
      </c>
      <c r="D167" s="290"/>
      <c r="E167" s="29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</row>
    <row r="168" spans="1:85" ht="11.5" customHeight="1" x14ac:dyDescent="0.3">
      <c r="A168" s="290" t="s">
        <v>310</v>
      </c>
      <c r="B168" s="308" t="s">
        <v>256</v>
      </c>
      <c r="C168" s="187">
        <v>7167386</v>
      </c>
      <c r="D168" s="290"/>
      <c r="E168" s="29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</row>
    <row r="169" spans="1:85" ht="11.5" customHeight="1" x14ac:dyDescent="0.3">
      <c r="A169" s="290" t="s">
        <v>311</v>
      </c>
      <c r="B169" s="308" t="s">
        <v>256</v>
      </c>
      <c r="C169" s="187">
        <v>111090</v>
      </c>
      <c r="D169" s="290"/>
      <c r="E169" s="29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</row>
    <row r="170" spans="1:85" ht="11.5" customHeight="1" x14ac:dyDescent="0.3">
      <c r="A170" s="290" t="s">
        <v>312</v>
      </c>
      <c r="B170" s="308" t="s">
        <v>256</v>
      </c>
      <c r="C170" s="187">
        <v>2271298</v>
      </c>
      <c r="D170" s="290"/>
      <c r="E170" s="29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</row>
    <row r="171" spans="1:85" ht="11.5" customHeight="1" x14ac:dyDescent="0.3">
      <c r="A171" s="290" t="s">
        <v>313</v>
      </c>
      <c r="B171" s="308" t="s">
        <v>256</v>
      </c>
      <c r="C171" s="187">
        <v>12676</v>
      </c>
      <c r="D171" s="290"/>
      <c r="E171" s="29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</row>
    <row r="172" spans="1:85" ht="11.5" customHeight="1" x14ac:dyDescent="0.3">
      <c r="A172" s="290" t="s">
        <v>313</v>
      </c>
      <c r="B172" s="308" t="s">
        <v>256</v>
      </c>
      <c r="C172" s="187">
        <v>7760</v>
      </c>
      <c r="D172" s="290"/>
      <c r="E172" s="29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</row>
    <row r="173" spans="1:85" ht="11.5" customHeight="1" x14ac:dyDescent="0.3">
      <c r="A173" s="290" t="s">
        <v>203</v>
      </c>
      <c r="B173" s="290"/>
      <c r="C173" s="298"/>
      <c r="D173" s="290">
        <f>SUM(C165:C172)</f>
        <v>13754925</v>
      </c>
      <c r="E173" s="29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</row>
    <row r="174" spans="1:85" ht="11.5" customHeight="1" x14ac:dyDescent="0.3">
      <c r="A174" s="313" t="s">
        <v>314</v>
      </c>
      <c r="B174" s="313"/>
      <c r="C174" s="313"/>
      <c r="D174" s="313"/>
      <c r="E174" s="31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</row>
    <row r="175" spans="1:85" ht="11.5" customHeight="1" x14ac:dyDescent="0.3">
      <c r="A175" s="290" t="s">
        <v>315</v>
      </c>
      <c r="B175" s="308" t="s">
        <v>256</v>
      </c>
      <c r="C175" s="187">
        <v>668543</v>
      </c>
      <c r="D175" s="290"/>
      <c r="E175" s="29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</row>
    <row r="176" spans="1:85" ht="11.5" customHeight="1" x14ac:dyDescent="0.3">
      <c r="A176" s="290" t="s">
        <v>316</v>
      </c>
      <c r="B176" s="308" t="s">
        <v>256</v>
      </c>
      <c r="C176" s="187">
        <v>963029</v>
      </c>
      <c r="D176" s="290"/>
      <c r="E176" s="29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</row>
    <row r="177" spans="1:85" ht="11.5" customHeight="1" x14ac:dyDescent="0.3">
      <c r="A177" s="290" t="s">
        <v>203</v>
      </c>
      <c r="B177" s="290"/>
      <c r="C177" s="298"/>
      <c r="D177" s="290">
        <f>SUM(C175:C176)</f>
        <v>1631572</v>
      </c>
      <c r="E177" s="29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</row>
    <row r="178" spans="1:85" ht="11.5" customHeight="1" x14ac:dyDescent="0.3">
      <c r="A178" s="313" t="s">
        <v>317</v>
      </c>
      <c r="B178" s="313"/>
      <c r="C178" s="313"/>
      <c r="D178" s="313"/>
      <c r="E178" s="31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</row>
    <row r="179" spans="1:85" ht="11.5" customHeight="1" x14ac:dyDescent="0.3">
      <c r="A179" s="290" t="s">
        <v>318</v>
      </c>
      <c r="B179" s="308" t="s">
        <v>256</v>
      </c>
      <c r="C179" s="187">
        <v>468648</v>
      </c>
      <c r="D179" s="290"/>
      <c r="E179" s="29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</row>
    <row r="180" spans="1:85" ht="11.5" customHeight="1" x14ac:dyDescent="0.3">
      <c r="A180" s="290" t="s">
        <v>319</v>
      </c>
      <c r="B180" s="308" t="s">
        <v>256</v>
      </c>
      <c r="C180" s="187">
        <v>228579</v>
      </c>
      <c r="D180" s="290"/>
      <c r="E180" s="29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</row>
    <row r="181" spans="1:85" ht="11.5" customHeight="1" x14ac:dyDescent="0.3">
      <c r="A181" s="290" t="s">
        <v>203</v>
      </c>
      <c r="B181" s="290"/>
      <c r="C181" s="298"/>
      <c r="D181" s="290">
        <f>SUM(C179:C180)</f>
        <v>697227</v>
      </c>
      <c r="E181" s="29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</row>
    <row r="182" spans="1:85" ht="11.5" customHeight="1" x14ac:dyDescent="0.3">
      <c r="A182" s="313" t="s">
        <v>320</v>
      </c>
      <c r="B182" s="313"/>
      <c r="C182" s="313"/>
      <c r="D182" s="313"/>
      <c r="E182" s="31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</row>
    <row r="183" spans="1:85" ht="11.5" customHeight="1" x14ac:dyDescent="0.3">
      <c r="A183" s="290" t="s">
        <v>321</v>
      </c>
      <c r="B183" s="308" t="s">
        <v>256</v>
      </c>
      <c r="C183" s="187"/>
      <c r="D183" s="290"/>
      <c r="E183" s="29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</row>
    <row r="184" spans="1:85" ht="11.5" customHeight="1" x14ac:dyDescent="0.3">
      <c r="A184" s="290" t="s">
        <v>322</v>
      </c>
      <c r="B184" s="308" t="s">
        <v>256</v>
      </c>
      <c r="C184" s="187">
        <v>106251</v>
      </c>
      <c r="D184" s="290"/>
      <c r="E184" s="29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</row>
    <row r="185" spans="1:85" ht="11.5" customHeight="1" x14ac:dyDescent="0.3">
      <c r="A185" s="290" t="s">
        <v>132</v>
      </c>
      <c r="B185" s="308" t="s">
        <v>256</v>
      </c>
      <c r="C185" s="187">
        <v>636790</v>
      </c>
      <c r="D185" s="290"/>
      <c r="E185" s="29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</row>
    <row r="186" spans="1:85" ht="11.5" customHeight="1" x14ac:dyDescent="0.3">
      <c r="A186" s="290" t="s">
        <v>203</v>
      </c>
      <c r="B186" s="290"/>
      <c r="C186" s="298"/>
      <c r="D186" s="290">
        <f>SUM(C183:C185)</f>
        <v>743041</v>
      </c>
      <c r="E186" s="29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</row>
    <row r="187" spans="1:85" ht="11.5" customHeight="1" x14ac:dyDescent="0.3">
      <c r="A187" s="313" t="s">
        <v>323</v>
      </c>
      <c r="B187" s="313"/>
      <c r="C187" s="313"/>
      <c r="D187" s="313"/>
      <c r="E187" s="31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</row>
    <row r="188" spans="1:85" ht="11.5" customHeight="1" x14ac:dyDescent="0.3">
      <c r="A188" s="290" t="s">
        <v>324</v>
      </c>
      <c r="B188" s="308" t="s">
        <v>256</v>
      </c>
      <c r="C188" s="187">
        <v>789379</v>
      </c>
      <c r="D188" s="290"/>
      <c r="E188" s="29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</row>
    <row r="189" spans="1:85" ht="11.5" customHeight="1" x14ac:dyDescent="0.3">
      <c r="A189" s="290" t="s">
        <v>325</v>
      </c>
      <c r="B189" s="308" t="s">
        <v>256</v>
      </c>
      <c r="C189" s="187">
        <v>219073</v>
      </c>
      <c r="D189" s="290"/>
      <c r="E189" s="29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</row>
    <row r="190" spans="1:85" ht="11.5" customHeight="1" x14ac:dyDescent="0.3">
      <c r="A190" s="290" t="s">
        <v>203</v>
      </c>
      <c r="B190" s="290"/>
      <c r="C190" s="298"/>
      <c r="D190" s="290">
        <f>SUM(C188:C189)</f>
        <v>1008452</v>
      </c>
      <c r="E190" s="29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</row>
    <row r="191" spans="1:85" ht="11.5" customHeight="1" x14ac:dyDescent="0.3">
      <c r="A191" s="290"/>
      <c r="B191" s="290"/>
      <c r="C191" s="298"/>
      <c r="D191" s="290"/>
      <c r="E191" s="29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</row>
    <row r="192" spans="1:85" ht="18" customHeight="1" x14ac:dyDescent="0.3">
      <c r="A192" s="307" t="s">
        <v>326</v>
      </c>
      <c r="B192" s="307"/>
      <c r="C192" s="307"/>
      <c r="D192" s="307"/>
      <c r="E192" s="307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</row>
    <row r="193" spans="1:85" ht="12.65" customHeight="1" x14ac:dyDescent="0.3">
      <c r="A193" s="315" t="s">
        <v>327</v>
      </c>
      <c r="B193" s="307"/>
      <c r="C193" s="307"/>
      <c r="D193" s="307"/>
      <c r="E193" s="307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</row>
    <row r="194" spans="1:85" ht="12.65" customHeight="1" x14ac:dyDescent="0.3">
      <c r="A194" s="297"/>
      <c r="B194" s="292" t="s">
        <v>328</v>
      </c>
      <c r="C194" s="291" t="s">
        <v>329</v>
      </c>
      <c r="D194" s="292" t="s">
        <v>330</v>
      </c>
      <c r="E194" s="292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</row>
    <row r="195" spans="1:85" ht="12.65" customHeight="1" x14ac:dyDescent="0.3">
      <c r="A195" s="290" t="s">
        <v>332</v>
      </c>
      <c r="B195" s="173">
        <v>718068</v>
      </c>
      <c r="C195" s="187">
        <v>839247</v>
      </c>
      <c r="D195" s="173">
        <v>7604</v>
      </c>
      <c r="E195" s="290">
        <f t="shared" ref="E195:E203" si="10">SUM(B195:C195)-D195</f>
        <v>1549711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</row>
    <row r="196" spans="1:85" ht="12.65" customHeight="1" x14ac:dyDescent="0.3">
      <c r="A196" s="290" t="s">
        <v>333</v>
      </c>
      <c r="B196" s="173">
        <v>4028158</v>
      </c>
      <c r="C196" s="187"/>
      <c r="D196" s="173"/>
      <c r="E196" s="290">
        <f t="shared" si="10"/>
        <v>4028158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</row>
    <row r="197" spans="1:85" ht="12.65" customHeight="1" x14ac:dyDescent="0.3">
      <c r="A197" s="290" t="s">
        <v>334</v>
      </c>
      <c r="B197" s="173">
        <v>39695927</v>
      </c>
      <c r="C197" s="187">
        <v>1121974</v>
      </c>
      <c r="D197" s="173">
        <v>60660</v>
      </c>
      <c r="E197" s="290">
        <f t="shared" si="10"/>
        <v>40757241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</row>
    <row r="198" spans="1:85" ht="12.65" customHeight="1" x14ac:dyDescent="0.3">
      <c r="A198" s="290" t="s">
        <v>335</v>
      </c>
      <c r="B198" s="173"/>
      <c r="C198" s="187"/>
      <c r="D198" s="173"/>
      <c r="E198" s="290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</row>
    <row r="199" spans="1:85" ht="12.65" customHeight="1" x14ac:dyDescent="0.3">
      <c r="A199" s="290" t="s">
        <v>336</v>
      </c>
      <c r="B199" s="173"/>
      <c r="C199" s="187"/>
      <c r="D199" s="173"/>
      <c r="E199" s="290">
        <f t="shared" si="10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</row>
    <row r="200" spans="1:85" ht="12.65" customHeight="1" x14ac:dyDescent="0.3">
      <c r="A200" s="290" t="s">
        <v>337</v>
      </c>
      <c r="B200" s="173">
        <v>38625118</v>
      </c>
      <c r="C200" s="187">
        <v>3176687</v>
      </c>
      <c r="D200" s="173">
        <v>2308525</v>
      </c>
      <c r="E200" s="290">
        <f t="shared" si="10"/>
        <v>39493280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</row>
    <row r="201" spans="1:85" ht="12.65" customHeight="1" x14ac:dyDescent="0.3">
      <c r="A201" s="290" t="s">
        <v>338</v>
      </c>
      <c r="B201" s="173"/>
      <c r="C201" s="187"/>
      <c r="D201" s="173"/>
      <c r="E201" s="290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</row>
    <row r="202" spans="1:85" ht="12.65" customHeight="1" x14ac:dyDescent="0.3">
      <c r="A202" s="290" t="s">
        <v>339</v>
      </c>
      <c r="B202" s="173">
        <v>1292256</v>
      </c>
      <c r="C202" s="187">
        <v>68924</v>
      </c>
      <c r="D202" s="173"/>
      <c r="E202" s="290">
        <f t="shared" si="10"/>
        <v>1361180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</row>
    <row r="203" spans="1:85" ht="12.65" customHeight="1" x14ac:dyDescent="0.3">
      <c r="A203" s="290" t="s">
        <v>340</v>
      </c>
      <c r="B203" s="173">
        <v>1536972</v>
      </c>
      <c r="C203" s="187">
        <v>3030884</v>
      </c>
      <c r="D203" s="173">
        <v>4074605</v>
      </c>
      <c r="E203" s="290">
        <f t="shared" si="10"/>
        <v>493251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</row>
    <row r="204" spans="1:85" ht="12.65" customHeight="1" x14ac:dyDescent="0.3">
      <c r="A204" s="290" t="s">
        <v>203</v>
      </c>
      <c r="B204" s="290">
        <f>SUM(B195:B203)</f>
        <v>85896499</v>
      </c>
      <c r="C204" s="298">
        <f>SUM(C195:C203)</f>
        <v>8237716</v>
      </c>
      <c r="D204" s="290">
        <f>SUM(D195:D203)</f>
        <v>6451394</v>
      </c>
      <c r="E204" s="290">
        <f>SUM(E195:E203)</f>
        <v>87682821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</row>
    <row r="205" spans="1:85" ht="12.65" customHeight="1" x14ac:dyDescent="0.3">
      <c r="A205" s="290"/>
      <c r="B205" s="290"/>
      <c r="C205" s="298"/>
      <c r="D205" s="290"/>
      <c r="E205" s="29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</row>
    <row r="206" spans="1:85" ht="12.65" customHeight="1" x14ac:dyDescent="0.3">
      <c r="A206" s="315" t="s">
        <v>341</v>
      </c>
      <c r="B206" s="315"/>
      <c r="C206" s="315"/>
      <c r="D206" s="315"/>
      <c r="E206" s="31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</row>
    <row r="207" spans="1:85" ht="12.65" customHeight="1" x14ac:dyDescent="0.3">
      <c r="A207" s="297"/>
      <c r="B207" s="292" t="s">
        <v>328</v>
      </c>
      <c r="C207" s="291" t="s">
        <v>329</v>
      </c>
      <c r="D207" s="292" t="s">
        <v>330</v>
      </c>
      <c r="E207" s="292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85" ht="12.65" customHeight="1" x14ac:dyDescent="0.3">
      <c r="A208" s="290" t="s">
        <v>332</v>
      </c>
      <c r="B208" s="321"/>
      <c r="C208" s="320"/>
      <c r="D208" s="321"/>
      <c r="E208" s="290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</row>
    <row r="209" spans="1:85" ht="12.65" customHeight="1" x14ac:dyDescent="0.3">
      <c r="A209" s="290" t="s">
        <v>333</v>
      </c>
      <c r="B209" s="173">
        <v>1260239</v>
      </c>
      <c r="C209" s="187">
        <v>254804</v>
      </c>
      <c r="D209" s="173"/>
      <c r="E209" s="290">
        <f t="shared" ref="E209:E216" si="11">SUM(B209:C209)-D209</f>
        <v>1515043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</row>
    <row r="210" spans="1:85" ht="12.65" customHeight="1" x14ac:dyDescent="0.3">
      <c r="A210" s="290" t="s">
        <v>334</v>
      </c>
      <c r="B210" s="173">
        <v>18295333</v>
      </c>
      <c r="C210" s="187">
        <v>1847103</v>
      </c>
      <c r="D210" s="173"/>
      <c r="E210" s="290">
        <f t="shared" si="11"/>
        <v>20142436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</row>
    <row r="211" spans="1:85" ht="12.65" customHeight="1" x14ac:dyDescent="0.3">
      <c r="A211" s="290" t="s">
        <v>335</v>
      </c>
      <c r="B211" s="173"/>
      <c r="C211" s="187"/>
      <c r="D211" s="173"/>
      <c r="E211" s="290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</row>
    <row r="212" spans="1:85" ht="12.65" customHeight="1" x14ac:dyDescent="0.3">
      <c r="A212" s="290" t="s">
        <v>336</v>
      </c>
      <c r="B212" s="173"/>
      <c r="C212" s="187"/>
      <c r="D212" s="173"/>
      <c r="E212" s="290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</row>
    <row r="213" spans="1:85" ht="12.65" customHeight="1" x14ac:dyDescent="0.3">
      <c r="A213" s="290" t="s">
        <v>337</v>
      </c>
      <c r="B213" s="173">
        <v>22327543</v>
      </c>
      <c r="C213" s="187">
        <v>2504115</v>
      </c>
      <c r="D213" s="173">
        <v>2237747</v>
      </c>
      <c r="E213" s="290">
        <f t="shared" si="11"/>
        <v>22593911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</row>
    <row r="214" spans="1:85" ht="12.65" customHeight="1" x14ac:dyDescent="0.3">
      <c r="A214" s="290" t="s">
        <v>338</v>
      </c>
      <c r="B214" s="173"/>
      <c r="C214" s="187"/>
      <c r="D214" s="173"/>
      <c r="E214" s="290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</row>
    <row r="215" spans="1:85" ht="12.65" customHeight="1" x14ac:dyDescent="0.3">
      <c r="A215" s="290" t="s">
        <v>339</v>
      </c>
      <c r="B215" s="173">
        <v>641419</v>
      </c>
      <c r="C215" s="187">
        <v>137320</v>
      </c>
      <c r="D215" s="173"/>
      <c r="E215" s="290">
        <f t="shared" si="11"/>
        <v>778739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</row>
    <row r="216" spans="1:85" ht="12.65" customHeight="1" x14ac:dyDescent="0.3">
      <c r="A216" s="290" t="s">
        <v>340</v>
      </c>
      <c r="B216" s="173"/>
      <c r="C216" s="187"/>
      <c r="D216" s="173"/>
      <c r="E216" s="290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</row>
    <row r="217" spans="1:85" ht="12.65" customHeight="1" x14ac:dyDescent="0.3">
      <c r="A217" s="290" t="s">
        <v>203</v>
      </c>
      <c r="B217" s="290">
        <f>SUM(B208:B216)</f>
        <v>42524534</v>
      </c>
      <c r="C217" s="298">
        <f>SUM(C208:C216)</f>
        <v>4743342</v>
      </c>
      <c r="D217" s="290">
        <f>SUM(D208:D216)</f>
        <v>2237747</v>
      </c>
      <c r="E217" s="290">
        <f>SUM(E208:E216)</f>
        <v>45030129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</row>
    <row r="218" spans="1:85" ht="12.65" customHeight="1" x14ac:dyDescent="0.3">
      <c r="A218" s="290"/>
      <c r="B218" s="290"/>
      <c r="C218" s="298"/>
      <c r="D218" s="290"/>
      <c r="E218" s="29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</row>
    <row r="219" spans="1:85" ht="21.75" customHeight="1" x14ac:dyDescent="0.3">
      <c r="A219" s="307" t="s">
        <v>342</v>
      </c>
      <c r="B219" s="307"/>
      <c r="C219" s="307"/>
      <c r="D219" s="307"/>
      <c r="E219" s="307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</row>
    <row r="220" spans="1:85" ht="12.65" customHeight="1" x14ac:dyDescent="0.3">
      <c r="A220" s="307"/>
      <c r="B220" s="350" t="s">
        <v>1254</v>
      </c>
      <c r="C220" s="350"/>
      <c r="D220" s="307"/>
      <c r="E220" s="307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</row>
    <row r="221" spans="1:85" ht="12.65" customHeight="1" x14ac:dyDescent="0.3">
      <c r="A221" s="322" t="s">
        <v>1254</v>
      </c>
      <c r="B221" s="307"/>
      <c r="C221" s="187">
        <v>4156476</v>
      </c>
      <c r="D221" s="308">
        <f>C221</f>
        <v>4156476</v>
      </c>
      <c r="E221" s="307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</row>
    <row r="222" spans="1:85" ht="12.65" customHeight="1" x14ac:dyDescent="0.3">
      <c r="A222" s="313" t="s">
        <v>343</v>
      </c>
      <c r="B222" s="313"/>
      <c r="C222" s="313"/>
      <c r="D222" s="313"/>
      <c r="E222" s="31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</row>
    <row r="223" spans="1:85" ht="12.65" customHeight="1" x14ac:dyDescent="0.3">
      <c r="A223" s="290" t="s">
        <v>344</v>
      </c>
      <c r="B223" s="308" t="s">
        <v>256</v>
      </c>
      <c r="C223" s="187">
        <v>91481892</v>
      </c>
      <c r="D223" s="290"/>
      <c r="E223" s="29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</row>
    <row r="224" spans="1:85" ht="12.65" customHeight="1" x14ac:dyDescent="0.3">
      <c r="A224" s="290" t="s">
        <v>345</v>
      </c>
      <c r="B224" s="308" t="s">
        <v>256</v>
      </c>
      <c r="C224" s="187">
        <v>22874598</v>
      </c>
      <c r="D224" s="290"/>
      <c r="E224" s="29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</row>
    <row r="225" spans="1:85" ht="12.65" customHeight="1" x14ac:dyDescent="0.3">
      <c r="A225" s="290" t="s">
        <v>346</v>
      </c>
      <c r="B225" s="308" t="s">
        <v>256</v>
      </c>
      <c r="C225" s="187">
        <v>1091919</v>
      </c>
      <c r="D225" s="290"/>
      <c r="E225" s="29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</row>
    <row r="226" spans="1:85" ht="12.65" customHeight="1" x14ac:dyDescent="0.3">
      <c r="A226" s="290" t="s">
        <v>347</v>
      </c>
      <c r="B226" s="308" t="s">
        <v>256</v>
      </c>
      <c r="C226" s="187"/>
      <c r="D226" s="290"/>
      <c r="E226" s="29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</row>
    <row r="227" spans="1:85" ht="12.65" customHeight="1" x14ac:dyDescent="0.3">
      <c r="A227" s="290" t="s">
        <v>348</v>
      </c>
      <c r="B227" s="308" t="s">
        <v>256</v>
      </c>
      <c r="C227" s="187"/>
      <c r="D227" s="290"/>
      <c r="E227" s="29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</row>
    <row r="228" spans="1:85" ht="12.65" customHeight="1" x14ac:dyDescent="0.3">
      <c r="A228" s="290" t="s">
        <v>349</v>
      </c>
      <c r="B228" s="308" t="s">
        <v>256</v>
      </c>
      <c r="C228" s="187"/>
      <c r="D228" s="290"/>
      <c r="E228" s="29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</row>
    <row r="229" spans="1:85" ht="12.65" customHeight="1" x14ac:dyDescent="0.3">
      <c r="A229" s="290" t="s">
        <v>350</v>
      </c>
      <c r="B229" s="290"/>
      <c r="C229" s="298"/>
      <c r="D229" s="290">
        <f>SUM(C223:C228)</f>
        <v>115448409</v>
      </c>
      <c r="E229" s="29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</row>
    <row r="230" spans="1:85" ht="12.65" customHeight="1" x14ac:dyDescent="0.3">
      <c r="A230" s="313" t="s">
        <v>351</v>
      </c>
      <c r="B230" s="313"/>
      <c r="C230" s="313"/>
      <c r="D230" s="313"/>
      <c r="E230" s="31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</row>
    <row r="231" spans="1:85" ht="12.65" customHeight="1" x14ac:dyDescent="0.3">
      <c r="A231" s="297" t="s">
        <v>352</v>
      </c>
      <c r="B231" s="308" t="s">
        <v>256</v>
      </c>
      <c r="C231" s="323">
        <v>1391</v>
      </c>
      <c r="D231" s="290"/>
      <c r="E231" s="29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</row>
    <row r="232" spans="1:85" ht="12.65" customHeight="1" x14ac:dyDescent="0.3">
      <c r="A232" s="297"/>
      <c r="B232" s="308"/>
      <c r="C232" s="324"/>
      <c r="D232" s="290"/>
      <c r="E232" s="29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</row>
    <row r="233" spans="1:85" ht="12.65" customHeight="1" x14ac:dyDescent="0.3">
      <c r="A233" s="297" t="s">
        <v>353</v>
      </c>
      <c r="B233" s="308" t="s">
        <v>256</v>
      </c>
      <c r="C233" s="323">
        <v>382468.23</v>
      </c>
      <c r="D233" s="290"/>
      <c r="E233" s="29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</row>
    <row r="234" spans="1:85" ht="12.65" customHeight="1" x14ac:dyDescent="0.3">
      <c r="A234" s="297" t="s">
        <v>354</v>
      </c>
      <c r="B234" s="308" t="s">
        <v>256</v>
      </c>
      <c r="C234" s="323">
        <v>2751177.57</v>
      </c>
      <c r="D234" s="290"/>
      <c r="E234" s="29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</row>
    <row r="235" spans="1:85" ht="12.65" customHeight="1" x14ac:dyDescent="0.3">
      <c r="A235" s="290"/>
      <c r="B235" s="290"/>
      <c r="C235" s="298"/>
      <c r="D235" s="290"/>
      <c r="E235" s="29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</row>
    <row r="236" spans="1:85" ht="12.65" customHeight="1" x14ac:dyDescent="0.3">
      <c r="A236" s="297" t="s">
        <v>355</v>
      </c>
      <c r="B236" s="290"/>
      <c r="C236" s="298"/>
      <c r="D236" s="290">
        <f>SUM(C233:C235)</f>
        <v>3133645.8</v>
      </c>
      <c r="E236" s="29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</row>
    <row r="237" spans="1:85" ht="12.65" customHeight="1" x14ac:dyDescent="0.3">
      <c r="A237" s="313" t="s">
        <v>356</v>
      </c>
      <c r="B237" s="313"/>
      <c r="C237" s="313"/>
      <c r="D237" s="313"/>
      <c r="E237" s="31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</row>
    <row r="238" spans="1:85" ht="12.65" customHeight="1" x14ac:dyDescent="0.3">
      <c r="A238" s="290" t="s">
        <v>357</v>
      </c>
      <c r="B238" s="308" t="s">
        <v>256</v>
      </c>
      <c r="C238" s="187"/>
      <c r="D238" s="290"/>
      <c r="E238" s="29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</row>
    <row r="239" spans="1:85" ht="12.65" customHeight="1" x14ac:dyDescent="0.3">
      <c r="A239" s="290" t="s">
        <v>356</v>
      </c>
      <c r="B239" s="308" t="s">
        <v>256</v>
      </c>
      <c r="C239" s="187">
        <v>21507076</v>
      </c>
      <c r="D239" s="290"/>
      <c r="E239" s="29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</row>
    <row r="240" spans="1:85" ht="12.65" customHeight="1" x14ac:dyDescent="0.3">
      <c r="A240" s="290" t="s">
        <v>358</v>
      </c>
      <c r="B240" s="290"/>
      <c r="C240" s="298"/>
      <c r="D240" s="290">
        <f>SUM(C238:C239)</f>
        <v>21507076</v>
      </c>
      <c r="E240" s="29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</row>
    <row r="241" spans="1:85" ht="12.65" customHeight="1" x14ac:dyDescent="0.3">
      <c r="A241" s="290"/>
      <c r="B241" s="290"/>
      <c r="C241" s="298"/>
      <c r="D241" s="290"/>
      <c r="E241" s="29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</row>
    <row r="242" spans="1:85" ht="12.65" customHeight="1" x14ac:dyDescent="0.3">
      <c r="A242" s="290" t="s">
        <v>359</v>
      </c>
      <c r="B242" s="290"/>
      <c r="C242" s="298"/>
      <c r="D242" s="290">
        <f>D221+D229+D236+D240</f>
        <v>144245606.80000001</v>
      </c>
      <c r="E242" s="29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</row>
    <row r="243" spans="1:85" ht="12.65" customHeight="1" x14ac:dyDescent="0.3">
      <c r="A243" s="290"/>
      <c r="B243" s="290"/>
      <c r="C243" s="298"/>
      <c r="D243" s="290"/>
      <c r="E243" s="29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</row>
    <row r="244" spans="1:85" ht="12.65" customHeight="1" x14ac:dyDescent="0.3">
      <c r="A244" s="290"/>
      <c r="B244" s="290"/>
      <c r="C244" s="298"/>
      <c r="D244" s="290"/>
      <c r="E244" s="29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</row>
    <row r="245" spans="1:85" ht="12.65" customHeight="1" x14ac:dyDescent="0.3">
      <c r="A245" s="290"/>
      <c r="B245" s="290"/>
      <c r="C245" s="298"/>
      <c r="D245" s="290"/>
      <c r="E245" s="29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</row>
    <row r="246" spans="1:85" ht="21.75" customHeight="1" x14ac:dyDescent="0.3">
      <c r="A246" s="290"/>
      <c r="B246" s="290"/>
      <c r="C246" s="298"/>
      <c r="D246" s="290"/>
      <c r="E246" s="29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</row>
    <row r="247" spans="1:85" ht="12.65" customHeight="1" x14ac:dyDescent="0.3">
      <c r="A247" s="290"/>
      <c r="B247" s="290"/>
      <c r="C247" s="298"/>
      <c r="D247" s="290"/>
      <c r="E247" s="29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</row>
    <row r="248" spans="1:85" ht="11.25" customHeight="1" x14ac:dyDescent="0.3">
      <c r="A248" s="307" t="s">
        <v>360</v>
      </c>
      <c r="B248" s="307"/>
      <c r="C248" s="307"/>
      <c r="D248" s="307"/>
      <c r="E248" s="307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</row>
    <row r="249" spans="1:85" ht="12.65" customHeight="1" x14ac:dyDescent="0.3">
      <c r="A249" s="313" t="s">
        <v>361</v>
      </c>
      <c r="B249" s="313"/>
      <c r="C249" s="313"/>
      <c r="D249" s="313"/>
      <c r="E249" s="31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</row>
    <row r="250" spans="1:85" ht="12.65" customHeight="1" x14ac:dyDescent="0.3">
      <c r="A250" s="290" t="s">
        <v>362</v>
      </c>
      <c r="B250" s="308" t="s">
        <v>256</v>
      </c>
      <c r="C250" s="187">
        <v>8201804</v>
      </c>
      <c r="D250" s="290"/>
      <c r="E250" s="29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</row>
    <row r="251" spans="1:85" ht="12.65" customHeight="1" x14ac:dyDescent="0.3">
      <c r="A251" s="290" t="s">
        <v>363</v>
      </c>
      <c r="B251" s="308" t="s">
        <v>256</v>
      </c>
      <c r="C251" s="187"/>
      <c r="D251" s="290"/>
      <c r="E251" s="29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</row>
    <row r="252" spans="1:85" ht="12.65" customHeight="1" x14ac:dyDescent="0.3">
      <c r="A252" s="290" t="s">
        <v>364</v>
      </c>
      <c r="B252" s="308" t="s">
        <v>256</v>
      </c>
      <c r="C252" s="323">
        <f>15665721+4017000</f>
        <v>19682721</v>
      </c>
      <c r="D252" s="290"/>
      <c r="E252" s="29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</row>
    <row r="253" spans="1:85" ht="12.65" customHeight="1" x14ac:dyDescent="0.3">
      <c r="A253" s="290" t="s">
        <v>365</v>
      </c>
      <c r="B253" s="308" t="s">
        <v>256</v>
      </c>
      <c r="C253" s="187">
        <v>4017000</v>
      </c>
      <c r="D253" s="290"/>
      <c r="E253" s="29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</row>
    <row r="254" spans="1:85" ht="12.65" customHeight="1" x14ac:dyDescent="0.3">
      <c r="A254" s="290" t="s">
        <v>1240</v>
      </c>
      <c r="B254" s="308" t="s">
        <v>256</v>
      </c>
      <c r="C254" s="187">
        <v>4388214</v>
      </c>
      <c r="D254" s="290"/>
      <c r="E254" s="29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</row>
    <row r="255" spans="1:85" ht="12.65" customHeight="1" x14ac:dyDescent="0.3">
      <c r="A255" s="290" t="s">
        <v>366</v>
      </c>
      <c r="B255" s="308" t="s">
        <v>256</v>
      </c>
      <c r="C255" s="187">
        <v>730917</v>
      </c>
      <c r="D255" s="290"/>
      <c r="E255" s="29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</row>
    <row r="256" spans="1:85" ht="12.65" customHeight="1" x14ac:dyDescent="0.3">
      <c r="A256" s="290" t="s">
        <v>367</v>
      </c>
      <c r="B256" s="308" t="s">
        <v>256</v>
      </c>
      <c r="C256" s="187"/>
      <c r="D256" s="290"/>
      <c r="E256" s="29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</row>
    <row r="257" spans="1:85" ht="12.65" customHeight="1" x14ac:dyDescent="0.3">
      <c r="A257" s="290" t="s">
        <v>368</v>
      </c>
      <c r="B257" s="308" t="s">
        <v>256</v>
      </c>
      <c r="C257" s="187">
        <v>2423450</v>
      </c>
      <c r="D257" s="290"/>
      <c r="E257" s="29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</row>
    <row r="258" spans="1:85" ht="12.65" customHeight="1" x14ac:dyDescent="0.3">
      <c r="A258" s="290" t="s">
        <v>369</v>
      </c>
      <c r="B258" s="308" t="s">
        <v>256</v>
      </c>
      <c r="C258" s="187">
        <v>1047875</v>
      </c>
      <c r="D258" s="290"/>
      <c r="E258" s="29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</row>
    <row r="259" spans="1:85" ht="12.65" customHeight="1" x14ac:dyDescent="0.3">
      <c r="A259" s="290" t="s">
        <v>370</v>
      </c>
      <c r="B259" s="308" t="s">
        <v>256</v>
      </c>
      <c r="C259" s="187"/>
      <c r="D259" s="290"/>
      <c r="E259" s="29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</row>
    <row r="260" spans="1:85" ht="11.25" customHeight="1" x14ac:dyDescent="0.3">
      <c r="A260" s="290" t="s">
        <v>371</v>
      </c>
      <c r="B260" s="290"/>
      <c r="C260" s="298"/>
      <c r="D260" s="290">
        <f>SUM(C250:C252)-C253+SUM(C254:C259)</f>
        <v>32457981</v>
      </c>
      <c r="E260" s="29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</row>
    <row r="261" spans="1:85" ht="12.65" customHeight="1" x14ac:dyDescent="0.3">
      <c r="A261" s="313" t="s">
        <v>372</v>
      </c>
      <c r="B261" s="313"/>
      <c r="C261" s="313"/>
      <c r="D261" s="313"/>
      <c r="E261" s="31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</row>
    <row r="262" spans="1:85" ht="12.65" customHeight="1" x14ac:dyDescent="0.3">
      <c r="A262" s="290" t="s">
        <v>362</v>
      </c>
      <c r="B262" s="308" t="s">
        <v>256</v>
      </c>
      <c r="C262" s="187">
        <v>22009774</v>
      </c>
      <c r="D262" s="290"/>
      <c r="E262" s="29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</row>
    <row r="263" spans="1:85" ht="12.65" customHeight="1" x14ac:dyDescent="0.3">
      <c r="A263" s="290" t="s">
        <v>363</v>
      </c>
      <c r="B263" s="308" t="s">
        <v>256</v>
      </c>
      <c r="C263" s="187"/>
      <c r="D263" s="290"/>
      <c r="E263" s="29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</row>
    <row r="264" spans="1:85" ht="12.65" customHeight="1" x14ac:dyDescent="0.3">
      <c r="A264" s="290" t="s">
        <v>373</v>
      </c>
      <c r="B264" s="308" t="s">
        <v>256</v>
      </c>
      <c r="C264" s="187">
        <v>11249</v>
      </c>
      <c r="D264" s="290"/>
      <c r="E264" s="29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</row>
    <row r="265" spans="1:85" ht="11.25" customHeight="1" x14ac:dyDescent="0.3">
      <c r="A265" s="290" t="s">
        <v>374</v>
      </c>
      <c r="B265" s="290"/>
      <c r="C265" s="298"/>
      <c r="D265" s="290">
        <f>SUM(C262:C264)</f>
        <v>22021023</v>
      </c>
      <c r="E265" s="29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</row>
    <row r="266" spans="1:85" ht="12.65" customHeight="1" x14ac:dyDescent="0.3">
      <c r="A266" s="313" t="s">
        <v>375</v>
      </c>
      <c r="B266" s="313"/>
      <c r="C266" s="313"/>
      <c r="D266" s="313"/>
      <c r="E266" s="31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</row>
    <row r="267" spans="1:85" ht="12.65" customHeight="1" x14ac:dyDescent="0.3">
      <c r="A267" s="290" t="s">
        <v>332</v>
      </c>
      <c r="B267" s="308" t="s">
        <v>256</v>
      </c>
      <c r="C267" s="187">
        <v>1549711</v>
      </c>
      <c r="D267" s="290"/>
      <c r="E267" s="290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</row>
    <row r="268" spans="1:85" ht="12.65" customHeight="1" x14ac:dyDescent="0.3">
      <c r="A268" s="290" t="s">
        <v>333</v>
      </c>
      <c r="B268" s="308" t="s">
        <v>256</v>
      </c>
      <c r="C268" s="187">
        <v>4028158</v>
      </c>
      <c r="D268" s="290"/>
      <c r="E268" s="29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</row>
    <row r="269" spans="1:85" ht="12.65" customHeight="1" x14ac:dyDescent="0.3">
      <c r="A269" s="290" t="s">
        <v>334</v>
      </c>
      <c r="B269" s="308" t="s">
        <v>256</v>
      </c>
      <c r="C269" s="187">
        <v>40757243</v>
      </c>
      <c r="D269" s="290"/>
      <c r="E269" s="29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</row>
    <row r="270" spans="1:85" ht="12.65" customHeight="1" x14ac:dyDescent="0.3">
      <c r="A270" s="290" t="s">
        <v>376</v>
      </c>
      <c r="B270" s="308" t="s">
        <v>256</v>
      </c>
      <c r="C270" s="187"/>
      <c r="D270" s="290"/>
      <c r="E270" s="29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</row>
    <row r="271" spans="1:85" ht="12.65" customHeight="1" x14ac:dyDescent="0.3">
      <c r="A271" s="290" t="s">
        <v>377</v>
      </c>
      <c r="B271" s="308" t="s">
        <v>256</v>
      </c>
      <c r="C271" s="187"/>
      <c r="D271" s="290"/>
      <c r="E271" s="29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</row>
    <row r="272" spans="1:85" ht="12.65" customHeight="1" x14ac:dyDescent="0.3">
      <c r="A272" s="290" t="s">
        <v>378</v>
      </c>
      <c r="B272" s="308" t="s">
        <v>256</v>
      </c>
      <c r="C272" s="187">
        <f>39493280</f>
        <v>39493280</v>
      </c>
      <c r="D272" s="290"/>
      <c r="E272" s="29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</row>
    <row r="273" spans="1:85" ht="12.65" customHeight="1" x14ac:dyDescent="0.3">
      <c r="A273" s="290" t="s">
        <v>339</v>
      </c>
      <c r="B273" s="308" t="s">
        <v>256</v>
      </c>
      <c r="C273" s="187">
        <v>1361180</v>
      </c>
      <c r="D273" s="290"/>
      <c r="E273" s="29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</row>
    <row r="274" spans="1:85" ht="12.65" customHeight="1" x14ac:dyDescent="0.3">
      <c r="A274" s="290" t="s">
        <v>340</v>
      </c>
      <c r="B274" s="308" t="s">
        <v>256</v>
      </c>
      <c r="C274" s="187">
        <v>493251</v>
      </c>
      <c r="D274" s="290"/>
      <c r="E274" s="29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</row>
    <row r="275" spans="1:85" ht="12.65" customHeight="1" x14ac:dyDescent="0.3">
      <c r="A275" s="290" t="s">
        <v>379</v>
      </c>
      <c r="B275" s="290"/>
      <c r="C275" s="298"/>
      <c r="D275" s="290">
        <f>SUM(C267:C274)</f>
        <v>87682823</v>
      </c>
      <c r="E275" s="29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</row>
    <row r="276" spans="1:85" ht="12.65" customHeight="1" x14ac:dyDescent="0.3">
      <c r="A276" s="290" t="s">
        <v>380</v>
      </c>
      <c r="B276" s="308" t="s">
        <v>256</v>
      </c>
      <c r="C276" s="187">
        <v>45030131</v>
      </c>
      <c r="D276" s="290"/>
      <c r="E276" s="29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</row>
    <row r="277" spans="1:85" ht="12.65" customHeight="1" x14ac:dyDescent="0.3">
      <c r="A277" s="290" t="s">
        <v>381</v>
      </c>
      <c r="B277" s="290"/>
      <c r="C277" s="298"/>
      <c r="D277" s="290">
        <f>D275-C276</f>
        <v>42652692</v>
      </c>
      <c r="E277" s="29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</row>
    <row r="278" spans="1:85" ht="12.65" customHeight="1" x14ac:dyDescent="0.3">
      <c r="A278" s="313" t="s">
        <v>382</v>
      </c>
      <c r="B278" s="313"/>
      <c r="C278" s="313"/>
      <c r="D278" s="313"/>
      <c r="E278" s="31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</row>
    <row r="279" spans="1:85" ht="12.65" customHeight="1" x14ac:dyDescent="0.3">
      <c r="A279" s="290" t="s">
        <v>383</v>
      </c>
      <c r="B279" s="308" t="s">
        <v>256</v>
      </c>
      <c r="C279" s="187"/>
      <c r="D279" s="290"/>
      <c r="E279" s="29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</row>
    <row r="280" spans="1:85" ht="12.65" customHeight="1" x14ac:dyDescent="0.3">
      <c r="A280" s="290" t="s">
        <v>384</v>
      </c>
      <c r="B280" s="308" t="s">
        <v>256</v>
      </c>
      <c r="C280" s="187"/>
      <c r="D280" s="290"/>
      <c r="E280" s="29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</row>
    <row r="281" spans="1:85" ht="12.65" customHeight="1" x14ac:dyDescent="0.3">
      <c r="A281" s="290" t="s">
        <v>385</v>
      </c>
      <c r="B281" s="308" t="s">
        <v>256</v>
      </c>
      <c r="C281" s="187"/>
      <c r="D281" s="290"/>
      <c r="E281" s="29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</row>
    <row r="282" spans="1:85" ht="12.65" customHeight="1" x14ac:dyDescent="0.3">
      <c r="A282" s="290" t="s">
        <v>373</v>
      </c>
      <c r="B282" s="308" t="s">
        <v>256</v>
      </c>
      <c r="C282" s="187"/>
      <c r="D282" s="290"/>
      <c r="E282" s="29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</row>
    <row r="283" spans="1:85" ht="12.65" customHeight="1" x14ac:dyDescent="0.3">
      <c r="A283" s="290" t="s">
        <v>386</v>
      </c>
      <c r="B283" s="290"/>
      <c r="C283" s="298"/>
      <c r="D283" s="290">
        <f>C279-C280+C281+C282</f>
        <v>0</v>
      </c>
      <c r="E283" s="29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</row>
    <row r="284" spans="1:85" ht="12.65" customHeight="1" x14ac:dyDescent="0.3">
      <c r="A284" s="290"/>
      <c r="B284" s="290"/>
      <c r="C284" s="298"/>
      <c r="D284" s="290"/>
      <c r="E284" s="29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</row>
    <row r="285" spans="1:85" ht="12.65" customHeight="1" x14ac:dyDescent="0.3">
      <c r="A285" s="313" t="s">
        <v>387</v>
      </c>
      <c r="B285" s="313"/>
      <c r="C285" s="313"/>
      <c r="D285" s="313"/>
      <c r="E285" s="31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</row>
    <row r="286" spans="1:85" ht="12.65" customHeight="1" x14ac:dyDescent="0.3">
      <c r="A286" s="290" t="s">
        <v>388</v>
      </c>
      <c r="B286" s="308" t="s">
        <v>256</v>
      </c>
      <c r="C286" s="187"/>
      <c r="D286" s="290"/>
      <c r="E286" s="29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</row>
    <row r="287" spans="1:85" ht="12.65" customHeight="1" x14ac:dyDescent="0.3">
      <c r="A287" s="290" t="s">
        <v>389</v>
      </c>
      <c r="B287" s="308" t="s">
        <v>256</v>
      </c>
      <c r="C287" s="187"/>
      <c r="D287" s="290"/>
      <c r="E287" s="29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</row>
    <row r="288" spans="1:85" ht="12.65" customHeight="1" x14ac:dyDescent="0.3">
      <c r="A288" s="290" t="s">
        <v>390</v>
      </c>
      <c r="B288" s="308" t="s">
        <v>256</v>
      </c>
      <c r="C288" s="187"/>
      <c r="D288" s="290"/>
      <c r="E288" s="29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</row>
    <row r="289" spans="1:85" ht="12.65" customHeight="1" x14ac:dyDescent="0.3">
      <c r="A289" s="290" t="s">
        <v>391</v>
      </c>
      <c r="B289" s="308" t="s">
        <v>256</v>
      </c>
      <c r="C289" s="187"/>
      <c r="D289" s="290"/>
      <c r="E289" s="29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</row>
    <row r="290" spans="1:85" ht="12.65" customHeight="1" x14ac:dyDescent="0.3">
      <c r="A290" s="290" t="s">
        <v>392</v>
      </c>
      <c r="B290" s="290"/>
      <c r="C290" s="298"/>
      <c r="D290" s="290">
        <f>SUM(C286:C289)</f>
        <v>0</v>
      </c>
      <c r="E290" s="29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</row>
    <row r="291" spans="1:85" ht="12.65" customHeight="1" x14ac:dyDescent="0.3">
      <c r="A291" s="290"/>
      <c r="B291" s="290"/>
      <c r="C291" s="298"/>
      <c r="D291" s="290"/>
      <c r="E291" s="29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</row>
    <row r="292" spans="1:85" ht="12.65" customHeight="1" x14ac:dyDescent="0.3">
      <c r="A292" s="290" t="s">
        <v>393</v>
      </c>
      <c r="B292" s="290"/>
      <c r="C292" s="298"/>
      <c r="D292" s="290">
        <f>D260+D265+D277+D283+D290</f>
        <v>97131696</v>
      </c>
      <c r="E292" s="29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</row>
    <row r="293" spans="1:85" ht="12.65" customHeight="1" x14ac:dyDescent="0.3">
      <c r="A293" s="290"/>
      <c r="B293" s="290"/>
      <c r="C293" s="298"/>
      <c r="D293" s="290"/>
      <c r="E293" s="29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</row>
    <row r="294" spans="1:85" ht="12.65" customHeight="1" x14ac:dyDescent="0.3">
      <c r="A294" s="290"/>
      <c r="B294" s="290"/>
      <c r="C294" s="298"/>
      <c r="D294" s="290"/>
      <c r="E294" s="290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</row>
    <row r="295" spans="1:85" ht="12.65" customHeight="1" x14ac:dyDescent="0.3">
      <c r="A295" s="290"/>
      <c r="B295" s="290"/>
      <c r="C295" s="298"/>
      <c r="D295" s="290"/>
      <c r="E295" s="290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</row>
    <row r="296" spans="1:85" ht="12.65" customHeight="1" x14ac:dyDescent="0.3">
      <c r="A296" s="290"/>
      <c r="B296" s="290"/>
      <c r="C296" s="298"/>
      <c r="D296" s="290"/>
      <c r="E296" s="29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</row>
    <row r="297" spans="1:85" ht="12.65" customHeight="1" x14ac:dyDescent="0.3">
      <c r="A297" s="290"/>
      <c r="B297" s="290"/>
      <c r="C297" s="298"/>
      <c r="D297" s="290"/>
      <c r="E297" s="29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</row>
    <row r="298" spans="1:85" ht="12.65" customHeight="1" x14ac:dyDescent="0.3">
      <c r="A298" s="290"/>
      <c r="B298" s="290"/>
      <c r="C298" s="298"/>
      <c r="D298" s="290"/>
      <c r="E298" s="29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</row>
    <row r="299" spans="1:85" ht="12.65" customHeight="1" x14ac:dyDescent="0.3">
      <c r="A299" s="290"/>
      <c r="B299" s="290"/>
      <c r="C299" s="298"/>
      <c r="D299" s="290"/>
      <c r="E299" s="29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</row>
    <row r="300" spans="1:85" ht="20.25" customHeight="1" x14ac:dyDescent="0.3">
      <c r="A300" s="290"/>
      <c r="B300" s="290"/>
      <c r="C300" s="298"/>
      <c r="D300" s="290"/>
      <c r="E300" s="29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</row>
    <row r="301" spans="1:85" ht="12.65" customHeight="1" x14ac:dyDescent="0.3">
      <c r="A301" s="290"/>
      <c r="B301" s="290"/>
      <c r="C301" s="298"/>
      <c r="D301" s="290"/>
      <c r="E301" s="29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</row>
    <row r="302" spans="1:85" ht="14.25" customHeight="1" x14ac:dyDescent="0.3">
      <c r="A302" s="307" t="s">
        <v>394</v>
      </c>
      <c r="B302" s="307"/>
      <c r="C302" s="307"/>
      <c r="D302" s="307"/>
      <c r="E302" s="307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</row>
    <row r="303" spans="1:85" ht="12.65" customHeight="1" x14ac:dyDescent="0.3">
      <c r="A303" s="313" t="s">
        <v>395</v>
      </c>
      <c r="B303" s="313"/>
      <c r="C303" s="313"/>
      <c r="D303" s="313"/>
      <c r="E303" s="31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</row>
    <row r="304" spans="1:85" ht="12.65" customHeight="1" x14ac:dyDescent="0.3">
      <c r="A304" s="290" t="s">
        <v>396</v>
      </c>
      <c r="B304" s="308" t="s">
        <v>256</v>
      </c>
      <c r="C304" s="187"/>
      <c r="D304" s="290"/>
      <c r="E304" s="29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</row>
    <row r="305" spans="1:85" ht="12.65" customHeight="1" x14ac:dyDescent="0.3">
      <c r="A305" s="290" t="s">
        <v>397</v>
      </c>
      <c r="B305" s="308" t="s">
        <v>256</v>
      </c>
      <c r="C305" s="187">
        <v>1947897</v>
      </c>
      <c r="D305" s="290"/>
      <c r="E305" s="29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</row>
    <row r="306" spans="1:85" ht="12.65" customHeight="1" x14ac:dyDescent="0.3">
      <c r="A306" s="290" t="s">
        <v>398</v>
      </c>
      <c r="B306" s="308" t="s">
        <v>256</v>
      </c>
      <c r="C306" s="187">
        <v>6257515</v>
      </c>
      <c r="D306" s="290"/>
      <c r="E306" s="29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</row>
    <row r="307" spans="1:85" ht="12.65" customHeight="1" x14ac:dyDescent="0.3">
      <c r="A307" s="290" t="s">
        <v>399</v>
      </c>
      <c r="B307" s="308" t="s">
        <v>256</v>
      </c>
      <c r="C307" s="187"/>
      <c r="D307" s="290"/>
      <c r="E307" s="29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</row>
    <row r="308" spans="1:85" ht="12.65" customHeight="1" x14ac:dyDescent="0.3">
      <c r="A308" s="290" t="s">
        <v>400</v>
      </c>
      <c r="B308" s="308" t="s">
        <v>256</v>
      </c>
      <c r="C308" s="187"/>
      <c r="D308" s="290"/>
      <c r="E308" s="290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</row>
    <row r="309" spans="1:85" ht="12.65" customHeight="1" x14ac:dyDescent="0.3">
      <c r="A309" s="290" t="s">
        <v>1241</v>
      </c>
      <c r="B309" s="308" t="s">
        <v>256</v>
      </c>
      <c r="C309" s="187"/>
      <c r="D309" s="290"/>
      <c r="E309" s="29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</row>
    <row r="310" spans="1:85" ht="12.65" customHeight="1" x14ac:dyDescent="0.3">
      <c r="A310" s="290" t="s">
        <v>401</v>
      </c>
      <c r="B310" s="308" t="s">
        <v>256</v>
      </c>
      <c r="C310" s="187"/>
      <c r="D310" s="290"/>
      <c r="E310" s="29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</row>
    <row r="311" spans="1:85" ht="12.65" customHeight="1" x14ac:dyDescent="0.3">
      <c r="A311" s="290" t="s">
        <v>402</v>
      </c>
      <c r="B311" s="308" t="s">
        <v>256</v>
      </c>
      <c r="C311" s="187"/>
      <c r="D311" s="290"/>
      <c r="E311" s="29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</row>
    <row r="312" spans="1:85" ht="12.65" customHeight="1" x14ac:dyDescent="0.3">
      <c r="A312" s="290" t="s">
        <v>403</v>
      </c>
      <c r="B312" s="308" t="s">
        <v>256</v>
      </c>
      <c r="C312" s="187">
        <v>589168</v>
      </c>
      <c r="D312" s="290"/>
      <c r="E312" s="29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</row>
    <row r="313" spans="1:85" ht="12.65" customHeight="1" x14ac:dyDescent="0.3">
      <c r="A313" s="290" t="s">
        <v>404</v>
      </c>
      <c r="B313" s="308" t="s">
        <v>256</v>
      </c>
      <c r="C313" s="187"/>
      <c r="D313" s="290"/>
      <c r="E313" s="29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</row>
    <row r="314" spans="1:85" ht="12.65" customHeight="1" x14ac:dyDescent="0.3">
      <c r="A314" s="290" t="s">
        <v>405</v>
      </c>
      <c r="B314" s="290"/>
      <c r="C314" s="298"/>
      <c r="D314" s="290">
        <f>SUM(C304:C313)</f>
        <v>8794580</v>
      </c>
      <c r="E314" s="29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</row>
    <row r="315" spans="1:85" ht="12.65" customHeight="1" x14ac:dyDescent="0.3">
      <c r="A315" s="313" t="s">
        <v>406</v>
      </c>
      <c r="B315" s="313"/>
      <c r="C315" s="313"/>
      <c r="D315" s="313"/>
      <c r="E315" s="31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</row>
    <row r="316" spans="1:85" ht="12.65" customHeight="1" x14ac:dyDescent="0.3">
      <c r="A316" s="290" t="s">
        <v>407</v>
      </c>
      <c r="B316" s="308" t="s">
        <v>256</v>
      </c>
      <c r="C316" s="187"/>
      <c r="D316" s="290"/>
      <c r="E316" s="29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</row>
    <row r="317" spans="1:85" ht="12.65" customHeight="1" x14ac:dyDescent="0.3">
      <c r="A317" s="290" t="s">
        <v>408</v>
      </c>
      <c r="B317" s="308" t="s">
        <v>256</v>
      </c>
      <c r="C317" s="187"/>
      <c r="D317" s="290"/>
      <c r="E317" s="29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</row>
    <row r="318" spans="1:85" ht="12.65" customHeight="1" x14ac:dyDescent="0.3">
      <c r="A318" s="290" t="s">
        <v>409</v>
      </c>
      <c r="B318" s="308" t="s">
        <v>256</v>
      </c>
      <c r="C318" s="187"/>
      <c r="D318" s="290"/>
      <c r="E318" s="29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</row>
    <row r="319" spans="1:85" ht="12.65" customHeight="1" x14ac:dyDescent="0.3">
      <c r="A319" s="290" t="s">
        <v>410</v>
      </c>
      <c r="B319" s="290"/>
      <c r="C319" s="298"/>
      <c r="D319" s="290">
        <f>SUM(C316:C318)</f>
        <v>0</v>
      </c>
      <c r="E319" s="29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</row>
    <row r="320" spans="1:85" ht="12.65" customHeight="1" x14ac:dyDescent="0.3">
      <c r="A320" s="313" t="s">
        <v>411</v>
      </c>
      <c r="B320" s="313"/>
      <c r="C320" s="313"/>
      <c r="D320" s="313"/>
      <c r="E320" s="31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</row>
    <row r="321" spans="1:85" ht="12.65" customHeight="1" x14ac:dyDescent="0.3">
      <c r="A321" s="290" t="s">
        <v>412</v>
      </c>
      <c r="B321" s="308" t="s">
        <v>256</v>
      </c>
      <c r="C321" s="187"/>
      <c r="D321" s="290"/>
      <c r="E321" s="29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</row>
    <row r="322" spans="1:85" ht="12.65" customHeight="1" x14ac:dyDescent="0.3">
      <c r="A322" s="290" t="s">
        <v>413</v>
      </c>
      <c r="B322" s="308" t="s">
        <v>256</v>
      </c>
      <c r="C322" s="187"/>
      <c r="D322" s="290"/>
      <c r="E322" s="290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</row>
    <row r="323" spans="1:85" ht="12.65" customHeight="1" x14ac:dyDescent="0.3">
      <c r="A323" s="290" t="s">
        <v>414</v>
      </c>
      <c r="B323" s="308" t="s">
        <v>256</v>
      </c>
      <c r="C323" s="187">
        <v>3544313</v>
      </c>
      <c r="D323" s="290"/>
      <c r="E323" s="290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</row>
    <row r="324" spans="1:85" ht="12.65" customHeight="1" x14ac:dyDescent="0.3">
      <c r="A324" s="297" t="s">
        <v>415</v>
      </c>
      <c r="B324" s="308" t="s">
        <v>256</v>
      </c>
      <c r="C324" s="187"/>
      <c r="D324" s="290"/>
      <c r="E324" s="29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</row>
    <row r="325" spans="1:85" ht="12.65" customHeight="1" x14ac:dyDescent="0.3">
      <c r="A325" s="290" t="s">
        <v>416</v>
      </c>
      <c r="B325" s="308" t="s">
        <v>256</v>
      </c>
      <c r="C325" s="323">
        <f>1252146+23682312</f>
        <v>24934458</v>
      </c>
      <c r="D325" s="290"/>
      <c r="E325" s="29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</row>
    <row r="326" spans="1:85" ht="12.65" customHeight="1" x14ac:dyDescent="0.3">
      <c r="A326" s="297" t="s">
        <v>417</v>
      </c>
      <c r="B326" s="308" t="s">
        <v>256</v>
      </c>
      <c r="C326" s="187"/>
      <c r="D326" s="290"/>
      <c r="E326" s="29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</row>
    <row r="327" spans="1:85" ht="19.5" customHeight="1" x14ac:dyDescent="0.3">
      <c r="A327" s="290" t="s">
        <v>418</v>
      </c>
      <c r="B327" s="308" t="s">
        <v>256</v>
      </c>
      <c r="C327" s="187"/>
      <c r="D327" s="290"/>
      <c r="E327" s="29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</row>
    <row r="328" spans="1:85" ht="12.65" customHeight="1" x14ac:dyDescent="0.3">
      <c r="A328" s="290" t="s">
        <v>203</v>
      </c>
      <c r="B328" s="290"/>
      <c r="C328" s="298"/>
      <c r="D328" s="290">
        <f>SUM(C321:C327)</f>
        <v>28478771</v>
      </c>
      <c r="E328" s="29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</row>
    <row r="329" spans="1:85" ht="12.65" customHeight="1" x14ac:dyDescent="0.3">
      <c r="A329" s="290" t="s">
        <v>419</v>
      </c>
      <c r="B329" s="290"/>
      <c r="C329" s="298"/>
      <c r="D329" s="290">
        <f>C313</f>
        <v>0</v>
      </c>
      <c r="E329" s="29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</row>
    <row r="330" spans="1:85" ht="12.65" customHeight="1" x14ac:dyDescent="0.3">
      <c r="A330" s="290" t="s">
        <v>420</v>
      </c>
      <c r="B330" s="290"/>
      <c r="C330" s="298"/>
      <c r="D330" s="290">
        <f>D328-D329</f>
        <v>28478771</v>
      </c>
      <c r="E330" s="29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</row>
    <row r="331" spans="1:85" ht="12.65" customHeight="1" x14ac:dyDescent="0.3">
      <c r="A331" s="290"/>
      <c r="B331" s="290"/>
      <c r="C331" s="298"/>
      <c r="D331" s="290"/>
      <c r="E331" s="29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</row>
    <row r="332" spans="1:85" ht="12.65" customHeight="1" x14ac:dyDescent="0.3">
      <c r="A332" s="290" t="s">
        <v>421</v>
      </c>
      <c r="B332" s="308" t="s">
        <v>256</v>
      </c>
      <c r="C332" s="219">
        <v>59858345</v>
      </c>
      <c r="D332" s="290"/>
      <c r="E332" s="29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</row>
    <row r="333" spans="1:85" ht="12.65" customHeight="1" x14ac:dyDescent="0.3">
      <c r="A333" s="290"/>
      <c r="B333" s="308"/>
      <c r="C333" s="226"/>
      <c r="D333" s="290"/>
      <c r="E333" s="29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</row>
    <row r="334" spans="1:85" ht="12.65" customHeight="1" x14ac:dyDescent="0.3">
      <c r="A334" s="290" t="s">
        <v>1142</v>
      </c>
      <c r="B334" s="308" t="s">
        <v>256</v>
      </c>
      <c r="C334" s="219"/>
      <c r="D334" s="290"/>
      <c r="E334" s="29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</row>
    <row r="335" spans="1:85" ht="12.65" customHeight="1" x14ac:dyDescent="0.3">
      <c r="A335" s="290" t="s">
        <v>1143</v>
      </c>
      <c r="B335" s="308" t="s">
        <v>256</v>
      </c>
      <c r="C335" s="219"/>
      <c r="D335" s="290"/>
      <c r="E335" s="29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</row>
    <row r="336" spans="1:85" ht="12.65" customHeight="1" x14ac:dyDescent="0.3">
      <c r="A336" s="290" t="s">
        <v>423</v>
      </c>
      <c r="B336" s="308" t="s">
        <v>256</v>
      </c>
      <c r="C336" s="219"/>
      <c r="D336" s="290"/>
      <c r="E336" s="29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</row>
    <row r="337" spans="1:85" ht="12.65" customHeight="1" x14ac:dyDescent="0.3">
      <c r="A337" s="290" t="s">
        <v>422</v>
      </c>
      <c r="B337" s="308" t="s">
        <v>256</v>
      </c>
      <c r="C337" s="187"/>
      <c r="D337" s="290"/>
      <c r="E337" s="29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</row>
    <row r="338" spans="1:85" ht="12.65" customHeight="1" x14ac:dyDescent="0.3">
      <c r="A338" s="290" t="s">
        <v>1252</v>
      </c>
      <c r="B338" s="308" t="s">
        <v>256</v>
      </c>
      <c r="C338" s="187"/>
      <c r="D338" s="290"/>
      <c r="E338" s="29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</row>
    <row r="339" spans="1:85" ht="12.65" customHeight="1" x14ac:dyDescent="0.3">
      <c r="A339" s="290" t="s">
        <v>424</v>
      </c>
      <c r="B339" s="290"/>
      <c r="C339" s="298"/>
      <c r="D339" s="290">
        <f>D314+D319+D330+C332+C336+C337</f>
        <v>97131696</v>
      </c>
      <c r="E339" s="29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</row>
    <row r="340" spans="1:85" ht="12.65" customHeight="1" x14ac:dyDescent="0.3">
      <c r="A340" s="290"/>
      <c r="B340" s="290"/>
      <c r="C340" s="298"/>
      <c r="D340" s="290"/>
      <c r="E340" s="29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</row>
    <row r="341" spans="1:85" ht="12.65" customHeight="1" x14ac:dyDescent="0.3">
      <c r="A341" s="290" t="s">
        <v>425</v>
      </c>
      <c r="B341" s="290"/>
      <c r="C341" s="298"/>
      <c r="D341" s="290">
        <f>D292</f>
        <v>97131696</v>
      </c>
      <c r="E341" s="29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</row>
    <row r="342" spans="1:85" ht="12.65" customHeight="1" x14ac:dyDescent="0.3">
      <c r="A342" s="290"/>
      <c r="B342" s="290"/>
      <c r="C342" s="298"/>
      <c r="D342" s="290"/>
      <c r="E342" s="29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</row>
    <row r="343" spans="1:85" ht="12.65" customHeight="1" x14ac:dyDescent="0.3">
      <c r="A343" s="290"/>
      <c r="B343" s="290"/>
      <c r="C343" s="298"/>
      <c r="D343" s="290"/>
      <c r="E343" s="29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</row>
    <row r="344" spans="1:85" ht="12.65" customHeight="1" x14ac:dyDescent="0.3">
      <c r="A344" s="290"/>
      <c r="B344" s="290"/>
      <c r="C344" s="298"/>
      <c r="D344" s="290"/>
      <c r="E344" s="29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</row>
    <row r="345" spans="1:85" ht="12.65" customHeight="1" x14ac:dyDescent="0.3">
      <c r="A345" s="290"/>
      <c r="B345" s="290"/>
      <c r="C345" s="298"/>
      <c r="D345" s="290"/>
      <c r="E345" s="29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</row>
    <row r="346" spans="1:85" ht="12.65" customHeight="1" x14ac:dyDescent="0.3">
      <c r="A346" s="290"/>
      <c r="B346" s="290"/>
      <c r="C346" s="298"/>
      <c r="D346" s="290"/>
      <c r="E346" s="29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</row>
    <row r="347" spans="1:85" ht="12.65" customHeight="1" x14ac:dyDescent="0.3">
      <c r="A347" s="290"/>
      <c r="B347" s="290"/>
      <c r="C347" s="298"/>
      <c r="D347" s="290"/>
      <c r="E347" s="29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</row>
    <row r="348" spans="1:85" ht="12.65" customHeight="1" x14ac:dyDescent="0.3">
      <c r="A348" s="290"/>
      <c r="B348" s="290"/>
      <c r="C348" s="298"/>
      <c r="D348" s="290"/>
      <c r="E348" s="29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</row>
    <row r="349" spans="1:85" ht="12.65" customHeight="1" x14ac:dyDescent="0.3">
      <c r="A349" s="290"/>
      <c r="B349" s="290"/>
      <c r="C349" s="298"/>
      <c r="D349" s="290"/>
      <c r="E349" s="29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</row>
    <row r="350" spans="1:85" ht="12.65" customHeight="1" x14ac:dyDescent="0.3">
      <c r="A350" s="290"/>
      <c r="B350" s="290"/>
      <c r="C350" s="298"/>
      <c r="D350" s="290"/>
      <c r="E350" s="290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</row>
    <row r="351" spans="1:85" ht="12.65" customHeight="1" x14ac:dyDescent="0.3">
      <c r="A351" s="290"/>
      <c r="B351" s="290"/>
      <c r="C351" s="298"/>
      <c r="D351" s="290"/>
      <c r="E351" s="290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</row>
    <row r="352" spans="1:85" ht="12.65" customHeight="1" x14ac:dyDescent="0.3">
      <c r="A352" s="290"/>
      <c r="B352" s="290"/>
      <c r="C352" s="298"/>
      <c r="D352" s="290"/>
      <c r="E352" s="29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</row>
    <row r="353" spans="1:85" ht="12.65" customHeight="1" x14ac:dyDescent="0.3">
      <c r="A353" s="290"/>
      <c r="B353" s="290"/>
      <c r="C353" s="298"/>
      <c r="D353" s="290"/>
      <c r="E353" s="29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</row>
    <row r="354" spans="1:85" ht="12.65" customHeight="1" x14ac:dyDescent="0.3">
      <c r="A354" s="290"/>
      <c r="B354" s="290"/>
      <c r="C354" s="298"/>
      <c r="D354" s="290"/>
      <c r="E354" s="29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</row>
    <row r="355" spans="1:85" ht="20.25" customHeight="1" x14ac:dyDescent="0.3">
      <c r="A355" s="290"/>
      <c r="B355" s="290"/>
      <c r="C355" s="298"/>
      <c r="D355" s="290"/>
      <c r="E355" s="29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</row>
    <row r="356" spans="1:85" ht="12.65" customHeight="1" x14ac:dyDescent="0.3">
      <c r="A356" s="290"/>
      <c r="B356" s="290"/>
      <c r="C356" s="298"/>
      <c r="D356" s="290"/>
      <c r="E356" s="290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</row>
    <row r="357" spans="1:85" ht="12.65" customHeight="1" x14ac:dyDescent="0.3">
      <c r="A357" s="307" t="s">
        <v>426</v>
      </c>
      <c r="B357" s="307"/>
      <c r="C357" s="307"/>
      <c r="D357" s="307"/>
      <c r="E357" s="307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</row>
    <row r="358" spans="1:85" ht="12.65" customHeight="1" x14ac:dyDescent="0.3">
      <c r="A358" s="313" t="s">
        <v>427</v>
      </c>
      <c r="B358" s="313"/>
      <c r="C358" s="313"/>
      <c r="D358" s="313"/>
      <c r="E358" s="31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</row>
    <row r="359" spans="1:85" ht="12.65" customHeight="1" x14ac:dyDescent="0.3">
      <c r="A359" s="290" t="s">
        <v>428</v>
      </c>
      <c r="B359" s="308" t="s">
        <v>256</v>
      </c>
      <c r="C359" s="187">
        <v>45443363</v>
      </c>
      <c r="D359" s="290"/>
      <c r="E359" s="29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</row>
    <row r="360" spans="1:85" ht="12.65" customHeight="1" x14ac:dyDescent="0.3">
      <c r="A360" s="290" t="s">
        <v>429</v>
      </c>
      <c r="B360" s="308" t="s">
        <v>256</v>
      </c>
      <c r="C360" s="187">
        <v>215960869</v>
      </c>
      <c r="D360" s="290"/>
      <c r="E360" s="290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</row>
    <row r="361" spans="1:85" ht="12.65" customHeight="1" x14ac:dyDescent="0.3">
      <c r="A361" s="290" t="s">
        <v>430</v>
      </c>
      <c r="B361" s="290"/>
      <c r="C361" s="298"/>
      <c r="D361" s="290">
        <f>SUM(C359:C360)</f>
        <v>261404232</v>
      </c>
      <c r="E361" s="29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</row>
    <row r="362" spans="1:85" ht="12.65" customHeight="1" x14ac:dyDescent="0.3">
      <c r="A362" s="313" t="s">
        <v>431</v>
      </c>
      <c r="B362" s="313"/>
      <c r="C362" s="313"/>
      <c r="D362" s="313"/>
      <c r="E362" s="31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</row>
    <row r="363" spans="1:85" ht="12.65" customHeight="1" x14ac:dyDescent="0.3">
      <c r="A363" s="290" t="s">
        <v>1254</v>
      </c>
      <c r="B363" s="313"/>
      <c r="C363" s="187">
        <v>4156476</v>
      </c>
      <c r="D363" s="290"/>
      <c r="E363" s="31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</row>
    <row r="364" spans="1:85" ht="12.65" customHeight="1" x14ac:dyDescent="0.3">
      <c r="A364" s="290" t="s">
        <v>432</v>
      </c>
      <c r="B364" s="308" t="s">
        <v>256</v>
      </c>
      <c r="C364" s="187">
        <v>115448409</v>
      </c>
      <c r="D364" s="290"/>
      <c r="E364" s="290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</row>
    <row r="365" spans="1:85" ht="12.65" customHeight="1" x14ac:dyDescent="0.3">
      <c r="A365" s="290" t="s">
        <v>433</v>
      </c>
      <c r="B365" s="308" t="s">
        <v>256</v>
      </c>
      <c r="C365" s="187">
        <v>3133646</v>
      </c>
      <c r="D365" s="290"/>
      <c r="E365" s="290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</row>
    <row r="366" spans="1:85" ht="12.65" customHeight="1" x14ac:dyDescent="0.3">
      <c r="A366" s="290" t="s">
        <v>434</v>
      </c>
      <c r="B366" s="308" t="s">
        <v>256</v>
      </c>
      <c r="C366" s="187">
        <v>21507076</v>
      </c>
      <c r="D366" s="290"/>
      <c r="E366" s="29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</row>
    <row r="367" spans="1:85" ht="12.65" customHeight="1" x14ac:dyDescent="0.3">
      <c r="A367" s="290" t="s">
        <v>359</v>
      </c>
      <c r="B367" s="290"/>
      <c r="C367" s="298"/>
      <c r="D367" s="290">
        <f>SUM(C363:C366)</f>
        <v>144245607</v>
      </c>
      <c r="E367" s="29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</row>
    <row r="368" spans="1:85" ht="12.65" customHeight="1" x14ac:dyDescent="0.3">
      <c r="A368" s="290" t="s">
        <v>435</v>
      </c>
      <c r="B368" s="290"/>
      <c r="C368" s="298"/>
      <c r="D368" s="290">
        <f>D361-D367</f>
        <v>117158625</v>
      </c>
      <c r="E368" s="29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</row>
    <row r="369" spans="1:85" ht="12.65" customHeight="1" x14ac:dyDescent="0.3">
      <c r="A369" s="313" t="s">
        <v>436</v>
      </c>
      <c r="B369" s="313"/>
      <c r="C369" s="313"/>
      <c r="D369" s="313"/>
      <c r="E369" s="31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</row>
    <row r="370" spans="1:85" ht="12.65" customHeight="1" x14ac:dyDescent="0.3">
      <c r="A370" s="290" t="s">
        <v>437</v>
      </c>
      <c r="B370" s="308" t="s">
        <v>256</v>
      </c>
      <c r="C370" s="187">
        <f>3758360+88943+2163756-472196</f>
        <v>5538863</v>
      </c>
      <c r="D370" s="290"/>
      <c r="E370" s="290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</row>
    <row r="371" spans="1:85" ht="12.65" customHeight="1" x14ac:dyDescent="0.3">
      <c r="A371" s="290" t="s">
        <v>438</v>
      </c>
      <c r="B371" s="308" t="s">
        <v>256</v>
      </c>
      <c r="C371" s="187">
        <v>472196</v>
      </c>
      <c r="D371" s="290"/>
      <c r="E371" s="290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</row>
    <row r="372" spans="1:85" ht="12.65" customHeight="1" x14ac:dyDescent="0.3">
      <c r="A372" s="290" t="s">
        <v>439</v>
      </c>
      <c r="B372" s="290"/>
      <c r="C372" s="298"/>
      <c r="D372" s="290">
        <f>SUM(C370:C371)</f>
        <v>6011059</v>
      </c>
      <c r="E372" s="290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</row>
    <row r="373" spans="1:85" ht="12.65" customHeight="1" x14ac:dyDescent="0.3">
      <c r="A373" s="290" t="s">
        <v>440</v>
      </c>
      <c r="B373" s="290"/>
      <c r="C373" s="298"/>
      <c r="D373" s="290">
        <f>D368+D372</f>
        <v>123169684</v>
      </c>
      <c r="E373" s="290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</row>
    <row r="374" spans="1:85" ht="12.65" customHeight="1" x14ac:dyDescent="0.3">
      <c r="A374" s="290"/>
      <c r="B374" s="290"/>
      <c r="C374" s="298"/>
      <c r="D374" s="290"/>
      <c r="E374" s="290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</row>
    <row r="375" spans="1:85" ht="12.65" customHeight="1" x14ac:dyDescent="0.3">
      <c r="A375" s="290"/>
      <c r="B375" s="290"/>
      <c r="C375" s="298"/>
      <c r="D375" s="290"/>
      <c r="E375" s="29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</row>
    <row r="376" spans="1:85" ht="12.65" customHeight="1" x14ac:dyDescent="0.3">
      <c r="A376" s="290"/>
      <c r="B376" s="290"/>
      <c r="C376" s="298"/>
      <c r="D376" s="290"/>
      <c r="E376" s="29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</row>
    <row r="377" spans="1:85" ht="12.65" customHeight="1" x14ac:dyDescent="0.3">
      <c r="A377" s="313" t="s">
        <v>441</v>
      </c>
      <c r="B377" s="313"/>
      <c r="C377" s="313"/>
      <c r="D377" s="313"/>
      <c r="E377" s="31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</row>
    <row r="378" spans="1:85" ht="12.65" customHeight="1" x14ac:dyDescent="0.3">
      <c r="A378" s="290" t="s">
        <v>442</v>
      </c>
      <c r="B378" s="308" t="s">
        <v>256</v>
      </c>
      <c r="C378" s="187">
        <v>57874283</v>
      </c>
      <c r="D378" s="290"/>
      <c r="E378" s="290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</row>
    <row r="379" spans="1:85" ht="12.65" customHeight="1" x14ac:dyDescent="0.3">
      <c r="A379" s="290" t="s">
        <v>3</v>
      </c>
      <c r="B379" s="308" t="s">
        <v>256</v>
      </c>
      <c r="C379" s="187">
        <v>13754925</v>
      </c>
      <c r="D379" s="290"/>
      <c r="E379" s="290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</row>
    <row r="380" spans="1:85" ht="12.65" customHeight="1" x14ac:dyDescent="0.3">
      <c r="A380" s="290" t="s">
        <v>236</v>
      </c>
      <c r="B380" s="308" t="s">
        <v>256</v>
      </c>
      <c r="C380" s="187">
        <v>6575946</v>
      </c>
      <c r="D380" s="290"/>
      <c r="E380" s="29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</row>
    <row r="381" spans="1:85" ht="12.65" customHeight="1" x14ac:dyDescent="0.3">
      <c r="A381" s="290" t="s">
        <v>443</v>
      </c>
      <c r="B381" s="308" t="s">
        <v>256</v>
      </c>
      <c r="C381" s="187">
        <v>23375062</v>
      </c>
      <c r="D381" s="290"/>
      <c r="E381" s="29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</row>
    <row r="382" spans="1:85" ht="12.65" customHeight="1" x14ac:dyDescent="0.3">
      <c r="A382" s="290" t="s">
        <v>444</v>
      </c>
      <c r="B382" s="308" t="s">
        <v>256</v>
      </c>
      <c r="C382" s="187">
        <v>1175553</v>
      </c>
      <c r="D382" s="290"/>
      <c r="E382" s="29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</row>
    <row r="383" spans="1:85" ht="12.65" customHeight="1" x14ac:dyDescent="0.3">
      <c r="A383" s="290" t="s">
        <v>445</v>
      </c>
      <c r="B383" s="308" t="s">
        <v>256</v>
      </c>
      <c r="C383" s="187">
        <v>6534407</v>
      </c>
      <c r="D383" s="290"/>
      <c r="E383" s="29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</row>
    <row r="384" spans="1:85" ht="12.65" customHeight="1" x14ac:dyDescent="0.3">
      <c r="A384" s="290" t="s">
        <v>6</v>
      </c>
      <c r="B384" s="308" t="s">
        <v>256</v>
      </c>
      <c r="C384" s="187">
        <v>4743342</v>
      </c>
      <c r="D384" s="290"/>
      <c r="E384" s="29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</row>
    <row r="385" spans="1:85" ht="12.65" customHeight="1" x14ac:dyDescent="0.3">
      <c r="A385" s="290" t="s">
        <v>446</v>
      </c>
      <c r="B385" s="308" t="s">
        <v>256</v>
      </c>
      <c r="C385" s="187">
        <v>1631572</v>
      </c>
      <c r="D385" s="290"/>
      <c r="E385" s="29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</row>
    <row r="386" spans="1:85" ht="12.65" customHeight="1" x14ac:dyDescent="0.3">
      <c r="A386" s="290" t="s">
        <v>447</v>
      </c>
      <c r="B386" s="308" t="s">
        <v>256</v>
      </c>
      <c r="C386" s="187">
        <v>697227</v>
      </c>
      <c r="D386" s="290"/>
      <c r="E386" s="29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</row>
    <row r="387" spans="1:85" ht="12.65" customHeight="1" x14ac:dyDescent="0.3">
      <c r="A387" s="290" t="s">
        <v>448</v>
      </c>
      <c r="B387" s="308" t="s">
        <v>256</v>
      </c>
      <c r="C387" s="187">
        <v>743041</v>
      </c>
      <c r="D387" s="290"/>
      <c r="E387" s="29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</row>
    <row r="388" spans="1:85" ht="12.65" customHeight="1" x14ac:dyDescent="0.3">
      <c r="A388" s="290" t="s">
        <v>449</v>
      </c>
      <c r="B388" s="308" t="s">
        <v>256</v>
      </c>
      <c r="C388" s="187">
        <v>1008452</v>
      </c>
      <c r="D388" s="290"/>
      <c r="E388" s="29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</row>
    <row r="389" spans="1:85" ht="12.65" customHeight="1" x14ac:dyDescent="0.3">
      <c r="A389" s="290" t="s">
        <v>451</v>
      </c>
      <c r="B389" s="308" t="s">
        <v>256</v>
      </c>
      <c r="C389" s="187">
        <f>2442598+677721</f>
        <v>3120319</v>
      </c>
      <c r="D389" s="290"/>
      <c r="E389" s="29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</row>
    <row r="390" spans="1:85" ht="12.65" customHeight="1" x14ac:dyDescent="0.3">
      <c r="A390" s="290" t="s">
        <v>452</v>
      </c>
      <c r="B390" s="290"/>
      <c r="C390" s="298"/>
      <c r="D390" s="290">
        <f>SUM(C378:C389)</f>
        <v>121234129</v>
      </c>
      <c r="E390" s="29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</row>
    <row r="391" spans="1:85" ht="12.65" customHeight="1" x14ac:dyDescent="0.3">
      <c r="A391" s="290" t="s">
        <v>453</v>
      </c>
      <c r="B391" s="290"/>
      <c r="C391" s="298"/>
      <c r="D391" s="290">
        <f>D373-D390</f>
        <v>1935555</v>
      </c>
      <c r="E391" s="29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</row>
    <row r="392" spans="1:85" ht="12.65" customHeight="1" x14ac:dyDescent="0.3">
      <c r="A392" s="290" t="s">
        <v>454</v>
      </c>
      <c r="B392" s="308" t="s">
        <v>256</v>
      </c>
      <c r="C392" s="187">
        <f>156080+1008452+1430700</f>
        <v>2595232</v>
      </c>
      <c r="D392" s="290"/>
      <c r="E392" s="290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</row>
    <row r="393" spans="1:85" ht="12.65" customHeight="1" x14ac:dyDescent="0.3">
      <c r="A393" s="290" t="s">
        <v>455</v>
      </c>
      <c r="B393" s="290"/>
      <c r="C393" s="298"/>
      <c r="D393" s="290">
        <f>D391+C392</f>
        <v>4530787</v>
      </c>
      <c r="E393" s="290"/>
      <c r="F393" s="32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</row>
    <row r="394" spans="1:85" ht="12.65" customHeight="1" x14ac:dyDescent="0.3">
      <c r="A394" s="290" t="s">
        <v>456</v>
      </c>
      <c r="B394" s="308" t="s">
        <v>256</v>
      </c>
      <c r="C394" s="187"/>
      <c r="D394" s="290"/>
      <c r="E394" s="29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</row>
    <row r="395" spans="1:85" ht="12.65" customHeight="1" x14ac:dyDescent="0.3">
      <c r="A395" s="290" t="s">
        <v>457</v>
      </c>
      <c r="B395" s="308" t="s">
        <v>256</v>
      </c>
      <c r="C395" s="187"/>
      <c r="D395" s="290"/>
      <c r="E395" s="29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</row>
    <row r="396" spans="1:85" ht="13.5" customHeight="1" x14ac:dyDescent="0.3">
      <c r="A396" s="290" t="s">
        <v>458</v>
      </c>
      <c r="B396" s="290"/>
      <c r="C396" s="298"/>
      <c r="D396" s="290">
        <f>D393+C394-C395</f>
        <v>4530787</v>
      </c>
      <c r="E396" s="29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</row>
    <row r="397" spans="1:85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</row>
    <row r="398" spans="1:85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</row>
    <row r="399" spans="1:85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</row>
    <row r="400" spans="1:85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</row>
    <row r="401" spans="1:85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</row>
    <row r="402" spans="1:85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</row>
    <row r="403" spans="1:85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</row>
    <row r="404" spans="1:85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</row>
    <row r="405" spans="1:85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</row>
    <row r="406" spans="1:85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</row>
    <row r="407" spans="1:85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</row>
    <row r="408" spans="1:85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</row>
    <row r="409" spans="1:85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</row>
    <row r="410" spans="1:85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</row>
    <row r="411" spans="1:85" ht="12.65" customHeight="1" x14ac:dyDescent="0.3">
      <c r="A411" s="2"/>
      <c r="B411" s="2"/>
      <c r="C411" s="326" t="s">
        <v>459</v>
      </c>
      <c r="D411" s="2"/>
      <c r="E411" s="327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</row>
    <row r="412" spans="1:85" ht="12.65" customHeight="1" x14ac:dyDescent="0.3">
      <c r="A412" s="2" t="str">
        <f>C84&amp;"   "&amp;"H-"&amp;FIXED(C83,0,TRUE)&amp;"     FYE "&amp;C82</f>
        <v>Jefferson County Public Hospital District No 2   H-0     FYE 12/31/2019</v>
      </c>
      <c r="B412" s="2"/>
      <c r="C412" s="2"/>
      <c r="D412" s="2"/>
      <c r="E412" s="327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</row>
    <row r="413" spans="1:85" ht="12.65" customHeight="1" x14ac:dyDescent="0.3">
      <c r="A413" s="2" t="s">
        <v>460</v>
      </c>
      <c r="B413" s="326" t="s">
        <v>461</v>
      </c>
      <c r="C413" s="326" t="s">
        <v>1242</v>
      </c>
      <c r="D413" s="326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</row>
    <row r="414" spans="1:85" ht="12.65" customHeight="1" x14ac:dyDescent="0.3">
      <c r="A414" s="2" t="s">
        <v>463</v>
      </c>
      <c r="B414" s="2">
        <f>C111</f>
        <v>1519</v>
      </c>
      <c r="C414" s="2">
        <f>E138</f>
        <v>1519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</row>
    <row r="415" spans="1:85" ht="12.65" customHeight="1" x14ac:dyDescent="0.3">
      <c r="A415" s="2" t="s">
        <v>464</v>
      </c>
      <c r="B415" s="2">
        <f>D111</f>
        <v>4127</v>
      </c>
      <c r="C415" s="2">
        <f>E139</f>
        <v>4127</v>
      </c>
      <c r="D415" s="2">
        <f>SUM(C59:H59)+N59</f>
        <v>4127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</row>
    <row r="416" spans="1:85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</row>
    <row r="417" spans="1:85" ht="12.65" customHeight="1" x14ac:dyDescent="0.3">
      <c r="A417" s="2" t="s">
        <v>465</v>
      </c>
      <c r="B417" s="2">
        <f>C112</f>
        <v>24</v>
      </c>
      <c r="C417" s="2">
        <f>E144</f>
        <v>24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</row>
    <row r="418" spans="1:85" ht="12.65" customHeight="1" x14ac:dyDescent="0.3">
      <c r="A418" s="2" t="s">
        <v>466</v>
      </c>
      <c r="B418" s="2">
        <f>D112</f>
        <v>188</v>
      </c>
      <c r="C418" s="2">
        <f>E145</f>
        <v>188</v>
      </c>
      <c r="D418" s="2">
        <f>K59+L59</f>
        <v>188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</row>
    <row r="419" spans="1:85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</row>
    <row r="420" spans="1:85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</row>
    <row r="421" spans="1:85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</row>
    <row r="422" spans="1:85" ht="12.65" customHeight="1" x14ac:dyDescent="0.3">
      <c r="A422" s="328"/>
      <c r="B422" s="328"/>
      <c r="C422" s="32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</row>
    <row r="423" spans="1:85" ht="12.65" customHeight="1" x14ac:dyDescent="0.3">
      <c r="A423" s="2" t="s">
        <v>469</v>
      </c>
      <c r="B423" s="2">
        <f>C114</f>
        <v>112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</row>
    <row r="424" spans="1:85" ht="12.65" customHeight="1" x14ac:dyDescent="0.3">
      <c r="A424" s="2" t="s">
        <v>1243</v>
      </c>
      <c r="B424" s="2">
        <f>D114</f>
        <v>238</v>
      </c>
      <c r="C424" s="2"/>
      <c r="D424" s="2">
        <f>J59</f>
        <v>238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</row>
    <row r="425" spans="1:85" ht="12.65" customHeight="1" x14ac:dyDescent="0.3">
      <c r="A425" s="328"/>
      <c r="B425" s="328"/>
      <c r="C425" s="328"/>
      <c r="D425" s="328"/>
      <c r="E425" s="2"/>
      <c r="F425" s="328"/>
      <c r="G425" s="32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</row>
    <row r="426" spans="1:85" ht="12.65" customHeight="1" x14ac:dyDescent="0.3">
      <c r="A426" s="2" t="s">
        <v>470</v>
      </c>
      <c r="B426" s="326" t="s">
        <v>471</v>
      </c>
      <c r="C426" s="326" t="s">
        <v>462</v>
      </c>
      <c r="D426" s="326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</row>
    <row r="427" spans="1:85" ht="12.65" customHeight="1" x14ac:dyDescent="0.3">
      <c r="A427" s="2" t="s">
        <v>473</v>
      </c>
      <c r="B427" s="2">
        <f t="shared" ref="B427:B437" si="12">C378</f>
        <v>57874283</v>
      </c>
      <c r="C427" s="2">
        <f t="shared" ref="C427:C434" si="13">CE61</f>
        <v>57874283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</row>
    <row r="428" spans="1:85" ht="12.65" customHeight="1" x14ac:dyDescent="0.3">
      <c r="A428" s="2" t="s">
        <v>3</v>
      </c>
      <c r="B428" s="2">
        <f t="shared" si="12"/>
        <v>13754925</v>
      </c>
      <c r="C428" s="2">
        <f t="shared" si="13"/>
        <v>13754927</v>
      </c>
      <c r="D428" s="2">
        <f>D173</f>
        <v>13754925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</row>
    <row r="429" spans="1:85" ht="12.65" customHeight="1" x14ac:dyDescent="0.3">
      <c r="A429" s="2" t="s">
        <v>236</v>
      </c>
      <c r="B429" s="2">
        <f t="shared" si="12"/>
        <v>6575946</v>
      </c>
      <c r="C429" s="2">
        <f t="shared" si="13"/>
        <v>6575946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</row>
    <row r="430" spans="1:85" ht="12.65" customHeight="1" x14ac:dyDescent="0.3">
      <c r="A430" s="2" t="s">
        <v>237</v>
      </c>
      <c r="B430" s="2">
        <f t="shared" si="12"/>
        <v>23375062</v>
      </c>
      <c r="C430" s="2">
        <f t="shared" si="13"/>
        <v>23375062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</row>
    <row r="431" spans="1:85" ht="12.65" customHeight="1" x14ac:dyDescent="0.3">
      <c r="A431" s="2" t="s">
        <v>444</v>
      </c>
      <c r="B431" s="2">
        <f t="shared" si="12"/>
        <v>1175553</v>
      </c>
      <c r="C431" s="2">
        <f t="shared" si="13"/>
        <v>1175553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</row>
    <row r="432" spans="1:85" ht="12.65" customHeight="1" x14ac:dyDescent="0.3">
      <c r="A432" s="2" t="s">
        <v>445</v>
      </c>
      <c r="B432" s="2">
        <f t="shared" si="12"/>
        <v>6534407</v>
      </c>
      <c r="C432" s="2">
        <f t="shared" si="13"/>
        <v>6534407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</row>
    <row r="433" spans="1:85" ht="12.65" customHeight="1" x14ac:dyDescent="0.3">
      <c r="A433" s="2" t="s">
        <v>6</v>
      </c>
      <c r="B433" s="2">
        <f t="shared" si="12"/>
        <v>4743342</v>
      </c>
      <c r="C433" s="2">
        <f t="shared" si="13"/>
        <v>4743347</v>
      </c>
      <c r="D433" s="2">
        <f>C217</f>
        <v>4743342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</row>
    <row r="434" spans="1:85" ht="12.65" customHeight="1" x14ac:dyDescent="0.3">
      <c r="A434" s="2" t="s">
        <v>474</v>
      </c>
      <c r="B434" s="2">
        <f t="shared" si="12"/>
        <v>1631572</v>
      </c>
      <c r="C434" s="2">
        <f t="shared" si="13"/>
        <v>1631572</v>
      </c>
      <c r="D434" s="2">
        <f>D177</f>
        <v>1631572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</row>
    <row r="435" spans="1:85" ht="12.65" customHeight="1" x14ac:dyDescent="0.3">
      <c r="A435" s="2" t="s">
        <v>447</v>
      </c>
      <c r="B435" s="2">
        <f t="shared" si="12"/>
        <v>697227</v>
      </c>
      <c r="C435" s="2"/>
      <c r="D435" s="2">
        <f>D181</f>
        <v>697227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</row>
    <row r="436" spans="1:85" ht="12.65" customHeight="1" x14ac:dyDescent="0.3">
      <c r="A436" s="2" t="s">
        <v>475</v>
      </c>
      <c r="B436" s="2">
        <f t="shared" si="12"/>
        <v>743041</v>
      </c>
      <c r="C436" s="2"/>
      <c r="D436" s="2">
        <f>D186</f>
        <v>743041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</row>
    <row r="437" spans="1:85" ht="12.65" customHeight="1" x14ac:dyDescent="0.3">
      <c r="A437" s="2" t="s">
        <v>449</v>
      </c>
      <c r="B437" s="2">
        <f t="shared" si="12"/>
        <v>1008452</v>
      </c>
      <c r="C437" s="2"/>
      <c r="D437" s="2">
        <f>D190</f>
        <v>1008452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</row>
    <row r="438" spans="1:85" ht="12.65" customHeight="1" x14ac:dyDescent="0.3">
      <c r="A438" s="2" t="s">
        <v>476</v>
      </c>
      <c r="B438" s="2">
        <f>C386+C387+C388</f>
        <v>2448720</v>
      </c>
      <c r="C438" s="2">
        <f>CD69</f>
        <v>2448720</v>
      </c>
      <c r="D438" s="2">
        <f>D181+D186+D190</f>
        <v>2448720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</row>
    <row r="439" spans="1:85" ht="12.65" customHeight="1" x14ac:dyDescent="0.3">
      <c r="A439" s="2" t="s">
        <v>451</v>
      </c>
      <c r="B439" s="2">
        <f>C389</f>
        <v>3120319</v>
      </c>
      <c r="C439" s="2">
        <f>SUM(C69:CC69)</f>
        <v>3120319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</row>
    <row r="440" spans="1:85" ht="12.65" customHeight="1" x14ac:dyDescent="0.3">
      <c r="A440" s="2" t="s">
        <v>477</v>
      </c>
      <c r="B440" s="2">
        <f>B438+B439</f>
        <v>5569039</v>
      </c>
      <c r="C440" s="2">
        <f>CE69</f>
        <v>5569039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</row>
    <row r="441" spans="1:85" ht="12.65" customHeight="1" x14ac:dyDescent="0.3">
      <c r="A441" s="2" t="s">
        <v>478</v>
      </c>
      <c r="B441" s="2">
        <f>D390</f>
        <v>121234129</v>
      </c>
      <c r="C441" s="2">
        <f>SUM(C427:C437)+C440</f>
        <v>121234136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</row>
    <row r="442" spans="1:85" ht="12.65" customHeight="1" x14ac:dyDescent="0.3">
      <c r="A442" s="328"/>
      <c r="B442" s="328"/>
      <c r="C442" s="328"/>
      <c r="D442" s="328"/>
      <c r="E442" s="2"/>
      <c r="F442" s="328"/>
      <c r="G442" s="328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</row>
    <row r="443" spans="1:85" ht="12.65" customHeight="1" x14ac:dyDescent="0.3">
      <c r="A443" s="2" t="s">
        <v>479</v>
      </c>
      <c r="B443" s="326" t="s">
        <v>480</v>
      </c>
      <c r="C443" s="326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</row>
    <row r="444" spans="1:85" ht="12.65" customHeight="1" x14ac:dyDescent="0.3">
      <c r="A444" s="2" t="s">
        <v>1256</v>
      </c>
      <c r="B444" s="2">
        <f>D221</f>
        <v>4156476</v>
      </c>
      <c r="C444" s="2">
        <f>C363</f>
        <v>4156476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</row>
    <row r="445" spans="1:85" ht="12.65" customHeight="1" x14ac:dyDescent="0.3">
      <c r="A445" s="2" t="s">
        <v>343</v>
      </c>
      <c r="B445" s="2">
        <f>D229</f>
        <v>115448409</v>
      </c>
      <c r="C445" s="2">
        <f>C364</f>
        <v>115448409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</row>
    <row r="446" spans="1:85" ht="12.65" customHeight="1" x14ac:dyDescent="0.3">
      <c r="A446" s="2" t="s">
        <v>351</v>
      </c>
      <c r="B446" s="2">
        <f>D236</f>
        <v>3133645.8</v>
      </c>
      <c r="C446" s="2">
        <f>C365</f>
        <v>3133646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</row>
    <row r="447" spans="1:85" ht="12.65" customHeight="1" x14ac:dyDescent="0.3">
      <c r="A447" s="2" t="s">
        <v>356</v>
      </c>
      <c r="B447" s="2">
        <f>D240</f>
        <v>21507076</v>
      </c>
      <c r="C447" s="2">
        <f>C366</f>
        <v>21507076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</row>
    <row r="448" spans="1:85" ht="12.65" customHeight="1" x14ac:dyDescent="0.3">
      <c r="A448" s="2" t="s">
        <v>358</v>
      </c>
      <c r="B448" s="2">
        <f>D242</f>
        <v>144245606.80000001</v>
      </c>
      <c r="C448" s="2">
        <f>D367</f>
        <v>144245607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</row>
    <row r="449" spans="1:85" ht="12.65" customHeight="1" x14ac:dyDescent="0.3">
      <c r="A449" s="328"/>
      <c r="B449" s="328"/>
      <c r="C449" s="328"/>
      <c r="D449" s="328"/>
      <c r="E449" s="2"/>
      <c r="F449" s="328"/>
      <c r="G449" s="328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</row>
    <row r="450" spans="1:85" ht="12.65" customHeight="1" x14ac:dyDescent="0.3">
      <c r="A450" s="2" t="s">
        <v>481</v>
      </c>
      <c r="B450" s="326" t="s">
        <v>482</v>
      </c>
      <c r="C450" s="328"/>
      <c r="D450" s="328"/>
      <c r="E450" s="2"/>
      <c r="F450" s="328"/>
      <c r="G450" s="328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</row>
    <row r="451" spans="1:85" ht="12.65" customHeight="1" x14ac:dyDescent="0.3">
      <c r="A451" s="2"/>
      <c r="B451" s="326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</row>
    <row r="452" spans="1:85" ht="12.65" customHeight="1" x14ac:dyDescent="0.3">
      <c r="A452" s="2"/>
      <c r="B452" s="326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</row>
    <row r="453" spans="1:85" ht="12.65" customHeight="1" x14ac:dyDescent="0.3">
      <c r="A453" s="319" t="s">
        <v>484</v>
      </c>
      <c r="B453" s="2">
        <f>C231</f>
        <v>1391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</row>
    <row r="454" spans="1:85" ht="12.65" customHeight="1" x14ac:dyDescent="0.3">
      <c r="A454" s="2" t="s">
        <v>168</v>
      </c>
      <c r="B454" s="2">
        <f>C233</f>
        <v>382468.23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</row>
    <row r="455" spans="1:85" ht="12.65" customHeight="1" x14ac:dyDescent="0.3">
      <c r="A455" s="2" t="s">
        <v>131</v>
      </c>
      <c r="B455" s="2">
        <f>C234</f>
        <v>2751177.57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</row>
    <row r="456" spans="1:85" ht="12.65" customHeight="1" x14ac:dyDescent="0.3">
      <c r="A456" s="328"/>
      <c r="B456" s="328"/>
      <c r="C456" s="328"/>
      <c r="D456" s="328"/>
      <c r="E456" s="2"/>
      <c r="F456" s="328"/>
      <c r="G456" s="328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</row>
    <row r="457" spans="1:85" ht="12.65" customHeight="1" x14ac:dyDescent="0.3">
      <c r="A457" s="2" t="s">
        <v>485</v>
      </c>
      <c r="B457" s="326" t="s">
        <v>471</v>
      </c>
      <c r="C457" s="326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</row>
    <row r="458" spans="1:85" ht="12.65" customHeight="1" x14ac:dyDescent="0.3">
      <c r="A458" s="2" t="s">
        <v>487</v>
      </c>
      <c r="B458" s="2">
        <f>C370</f>
        <v>5538863</v>
      </c>
      <c r="C458" s="2">
        <f>CE70</f>
        <v>5538863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</row>
    <row r="459" spans="1:85" ht="12.65" customHeight="1" x14ac:dyDescent="0.3">
      <c r="A459" s="2" t="s">
        <v>244</v>
      </c>
      <c r="B459" s="2">
        <f>C371</f>
        <v>472196</v>
      </c>
      <c r="C459" s="2">
        <f>CE72</f>
        <v>472196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</row>
    <row r="460" spans="1:85" ht="12.65" customHeight="1" x14ac:dyDescent="0.3">
      <c r="A460" s="328"/>
      <c r="B460" s="328"/>
      <c r="C460" s="328"/>
      <c r="D460" s="328"/>
      <c r="E460" s="2"/>
      <c r="F460" s="328"/>
      <c r="G460" s="328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</row>
    <row r="461" spans="1:85" ht="12.65" customHeight="1" x14ac:dyDescent="0.3">
      <c r="A461" s="2" t="s">
        <v>488</v>
      </c>
      <c r="B461" s="326"/>
      <c r="C461" s="326"/>
      <c r="D461" s="326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</row>
    <row r="462" spans="1:85" ht="12.65" customHeight="1" x14ac:dyDescent="0.3">
      <c r="A462" s="2"/>
      <c r="B462" s="326" t="s">
        <v>471</v>
      </c>
      <c r="C462" s="326" t="s">
        <v>486</v>
      </c>
      <c r="D462" s="326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</row>
    <row r="463" spans="1:85" ht="12.65" customHeight="1" x14ac:dyDescent="0.3">
      <c r="A463" s="2" t="s">
        <v>245</v>
      </c>
      <c r="B463" s="2">
        <f>C359</f>
        <v>45443363</v>
      </c>
      <c r="C463" s="2">
        <f>CE73</f>
        <v>45443363</v>
      </c>
      <c r="D463" s="2">
        <f>E141+E147+E153</f>
        <v>45443363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</row>
    <row r="464" spans="1:85" ht="12.65" customHeight="1" x14ac:dyDescent="0.3">
      <c r="A464" s="2" t="s">
        <v>246</v>
      </c>
      <c r="B464" s="2">
        <f>C360</f>
        <v>215960869</v>
      </c>
      <c r="C464" s="2">
        <f>CE74</f>
        <v>215960869</v>
      </c>
      <c r="D464" s="2">
        <f>E142+E148+E154</f>
        <v>215960869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</row>
    <row r="465" spans="1:85" ht="12.65" customHeight="1" x14ac:dyDescent="0.3">
      <c r="A465" s="2" t="s">
        <v>247</v>
      </c>
      <c r="B465" s="2">
        <f>D361</f>
        <v>261404232</v>
      </c>
      <c r="C465" s="2">
        <f>CE75</f>
        <v>261404232</v>
      </c>
      <c r="D465" s="2">
        <f>D463+D464</f>
        <v>261404232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</row>
    <row r="466" spans="1:85" ht="12.65" customHeight="1" x14ac:dyDescent="0.3">
      <c r="A466" s="328"/>
      <c r="B466" s="328"/>
      <c r="C466" s="328"/>
      <c r="D466" s="328"/>
      <c r="E466" s="2"/>
      <c r="F466" s="328"/>
      <c r="G466" s="328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</row>
    <row r="467" spans="1:85" ht="12.65" customHeight="1" x14ac:dyDescent="0.3">
      <c r="A467" s="2" t="s">
        <v>491</v>
      </c>
      <c r="B467" s="326" t="s">
        <v>492</v>
      </c>
      <c r="C467" s="326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</row>
    <row r="468" spans="1:85" ht="12.65" customHeight="1" x14ac:dyDescent="0.3">
      <c r="A468" s="2" t="s">
        <v>332</v>
      </c>
      <c r="B468" s="2">
        <f t="shared" ref="B468:B475" si="14">C267</f>
        <v>1549711</v>
      </c>
      <c r="C468" s="2">
        <f>E195</f>
        <v>1549711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</row>
    <row r="469" spans="1:85" ht="12.65" customHeight="1" x14ac:dyDescent="0.3">
      <c r="A469" s="2" t="s">
        <v>333</v>
      </c>
      <c r="B469" s="2">
        <f t="shared" si="14"/>
        <v>4028158</v>
      </c>
      <c r="C469" s="2">
        <f>E196</f>
        <v>4028158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</row>
    <row r="470" spans="1:85" ht="12.65" customHeight="1" x14ac:dyDescent="0.3">
      <c r="A470" s="2" t="s">
        <v>334</v>
      </c>
      <c r="B470" s="2">
        <f t="shared" si="14"/>
        <v>40757243</v>
      </c>
      <c r="C470" s="2">
        <f>E197</f>
        <v>40757241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</row>
    <row r="471" spans="1:85" ht="12.65" customHeight="1" x14ac:dyDescent="0.3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</row>
    <row r="472" spans="1:85" ht="12.65" customHeight="1" x14ac:dyDescent="0.3">
      <c r="A472" s="2" t="s">
        <v>377</v>
      </c>
      <c r="B472" s="2">
        <f t="shared" si="14"/>
        <v>0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</row>
    <row r="473" spans="1:85" ht="12.65" customHeight="1" x14ac:dyDescent="0.3">
      <c r="A473" s="2" t="s">
        <v>495</v>
      </c>
      <c r="B473" s="2">
        <f t="shared" si="14"/>
        <v>39493280</v>
      </c>
      <c r="C473" s="2">
        <f>SUM(E200:E201)</f>
        <v>39493280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</row>
    <row r="474" spans="1:85" ht="12.65" customHeight="1" x14ac:dyDescent="0.3">
      <c r="A474" s="2" t="s">
        <v>339</v>
      </c>
      <c r="B474" s="2">
        <f t="shared" si="14"/>
        <v>1361180</v>
      </c>
      <c r="C474" s="2">
        <f>E202</f>
        <v>1361180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</row>
    <row r="475" spans="1:85" ht="12.65" customHeight="1" x14ac:dyDescent="0.3">
      <c r="A475" s="2" t="s">
        <v>340</v>
      </c>
      <c r="B475" s="2">
        <f t="shared" si="14"/>
        <v>493251</v>
      </c>
      <c r="C475" s="2">
        <f>E203</f>
        <v>493251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</row>
    <row r="476" spans="1:85" ht="12.65" customHeight="1" x14ac:dyDescent="0.3">
      <c r="A476" s="2" t="s">
        <v>203</v>
      </c>
      <c r="B476" s="2">
        <f>D275</f>
        <v>87682823</v>
      </c>
      <c r="C476" s="2">
        <f>E204</f>
        <v>87682821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</row>
    <row r="477" spans="1:85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</row>
    <row r="478" spans="1:85" ht="12.65" customHeight="1" x14ac:dyDescent="0.3">
      <c r="A478" s="2" t="s">
        <v>496</v>
      </c>
      <c r="B478" s="2">
        <f>C276</f>
        <v>45030131</v>
      </c>
      <c r="C478" s="2">
        <f>E217</f>
        <v>45030129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</row>
    <row r="479" spans="1:85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</row>
    <row r="480" spans="1:85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</row>
    <row r="481" spans="1:85" ht="12.65" customHeight="1" x14ac:dyDescent="0.3">
      <c r="A481" s="2" t="s">
        <v>498</v>
      </c>
      <c r="B481" s="2"/>
      <c r="C481" s="2">
        <f>D341</f>
        <v>97131696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</row>
    <row r="482" spans="1:85" ht="12.65" customHeight="1" x14ac:dyDescent="0.3">
      <c r="A482" s="2" t="s">
        <v>499</v>
      </c>
      <c r="B482" s="2"/>
      <c r="C482" s="2">
        <f>D339</f>
        <v>97131696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</row>
    <row r="483" spans="1:85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</row>
    <row r="484" spans="1:85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</row>
    <row r="485" spans="1:85" ht="12.65" customHeight="1" x14ac:dyDescent="0.3">
      <c r="A485" s="319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</row>
    <row r="486" spans="1:85" ht="12.65" customHeight="1" x14ac:dyDescent="0.3">
      <c r="A486" s="319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</row>
    <row r="487" spans="1:85" ht="12.65" customHeight="1" x14ac:dyDescent="0.3">
      <c r="A487" s="319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</row>
    <row r="488" spans="1:85" ht="12.65" customHeight="1" x14ac:dyDescent="0.3">
      <c r="A488" s="319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</row>
    <row r="489" spans="1:85" ht="12.65" customHeight="1" x14ac:dyDescent="0.3">
      <c r="A489" s="329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</row>
    <row r="490" spans="1:85" ht="12.65" customHeight="1" x14ac:dyDescent="0.3">
      <c r="A490" s="319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</row>
    <row r="491" spans="1:85" ht="12.65" customHeight="1" x14ac:dyDescent="0.3">
      <c r="A491" s="319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</row>
    <row r="492" spans="1:85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</row>
    <row r="493" spans="1:85" ht="12.65" customHeight="1" x14ac:dyDescent="0.3">
      <c r="A493" s="2" t="str">
        <f>C83</f>
        <v>085</v>
      </c>
      <c r="B493" s="330" t="str">
        <f>RIGHT('[1]Prior Year'!C82,4)</f>
        <v>2018</v>
      </c>
      <c r="C493" s="330" t="str">
        <f>RIGHT(C82,4)</f>
        <v>2019</v>
      </c>
      <c r="D493" s="330" t="str">
        <f>RIGHT('[1]Prior Year'!C82,4)</f>
        <v>2018</v>
      </c>
      <c r="E493" s="330" t="str">
        <f>RIGHT(C82,4)</f>
        <v>2019</v>
      </c>
      <c r="F493" s="330" t="str">
        <f>RIGHT('[1]Prior Year'!C82,4)</f>
        <v>2018</v>
      </c>
      <c r="G493" s="330" t="str">
        <f>RIGHT(C82,4)</f>
        <v>2019</v>
      </c>
      <c r="H493" s="330"/>
      <c r="I493" s="2"/>
      <c r="J493" s="2"/>
      <c r="K493" s="330"/>
      <c r="L493" s="33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</row>
    <row r="494" spans="1:85" ht="12.65" customHeight="1" x14ac:dyDescent="0.3">
      <c r="A494" s="329"/>
      <c r="B494" s="326" t="s">
        <v>505</v>
      </c>
      <c r="C494" s="326" t="s">
        <v>505</v>
      </c>
      <c r="D494" s="331" t="s">
        <v>506</v>
      </c>
      <c r="E494" s="331" t="s">
        <v>506</v>
      </c>
      <c r="F494" s="330" t="s">
        <v>507</v>
      </c>
      <c r="G494" s="330" t="s">
        <v>507</v>
      </c>
      <c r="H494" s="330" t="s">
        <v>508</v>
      </c>
      <c r="I494" s="2"/>
      <c r="J494" s="2"/>
      <c r="K494" s="330"/>
      <c r="L494" s="33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</row>
    <row r="495" spans="1:85" ht="12.65" customHeight="1" x14ac:dyDescent="0.3">
      <c r="A495" s="2"/>
      <c r="B495" s="326" t="s">
        <v>303</v>
      </c>
      <c r="C495" s="326" t="s">
        <v>303</v>
      </c>
      <c r="D495" s="326" t="s">
        <v>509</v>
      </c>
      <c r="E495" s="326" t="s">
        <v>509</v>
      </c>
      <c r="F495" s="330" t="s">
        <v>510</v>
      </c>
      <c r="G495" s="330" t="s">
        <v>510</v>
      </c>
      <c r="H495" s="330" t="s">
        <v>511</v>
      </c>
      <c r="I495" s="2"/>
      <c r="J495" s="2"/>
      <c r="K495" s="330"/>
      <c r="L495" s="33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</row>
    <row r="496" spans="1:85" ht="12.65" customHeight="1" x14ac:dyDescent="0.3">
      <c r="A496" s="2" t="s">
        <v>512</v>
      </c>
      <c r="B496" s="332">
        <f>'[1]Prior Year'!C71</f>
        <v>1656725</v>
      </c>
      <c r="C496" s="332">
        <f>C71</f>
        <v>1602597</v>
      </c>
      <c r="D496" s="332">
        <f>'[1]Prior Year'!C59</f>
        <v>208</v>
      </c>
      <c r="E496" s="2">
        <f>C59</f>
        <v>263</v>
      </c>
      <c r="F496" s="333">
        <f t="shared" ref="F496:G511" si="15">IF(B496=0,"",IF(D496=0,"",B496/D496))</f>
        <v>7965.0240384615381</v>
      </c>
      <c r="G496" s="333">
        <f t="shared" si="15"/>
        <v>6093.5247148288972</v>
      </c>
      <c r="H496" s="334" t="str">
        <f>IF(B496=0,"",IF(C496=0,"",IF(D496=0,"",IF(E496=0,"",IF(G496/F496-1&lt;-0.25,G496/F496-1,IF(G496/F496-1&gt;0.25,G496/F496-1,""))))))</f>
        <v/>
      </c>
      <c r="I496" s="262"/>
      <c r="J496" s="2"/>
      <c r="K496" s="330"/>
      <c r="L496" s="33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</row>
    <row r="497" spans="1:85" ht="12.65" customHeight="1" x14ac:dyDescent="0.3">
      <c r="A497" s="2" t="s">
        <v>513</v>
      </c>
      <c r="B497" s="332">
        <f>'[1]Prior Year'!D71</f>
        <v>0</v>
      </c>
      <c r="C497" s="332">
        <f>D71</f>
        <v>0</v>
      </c>
      <c r="D497" s="332">
        <f>'[1]Prior Year'!D59</f>
        <v>0</v>
      </c>
      <c r="E497" s="2">
        <f>D59</f>
        <v>0</v>
      </c>
      <c r="F497" s="333" t="str">
        <f t="shared" si="15"/>
        <v/>
      </c>
      <c r="G497" s="333" t="str">
        <f t="shared" si="15"/>
        <v/>
      </c>
      <c r="H497" s="334" t="str">
        <f t="shared" ref="H497:H550" si="16">IF(B497=0,"",IF(C497=0,"",IF(D497=0,"",IF(E497=0,"",IF(G497/F497-1&lt;-0.25,G497/F497-1,IF(G497/F497-1&gt;0.25,G497/F497-1,""))))))</f>
        <v/>
      </c>
      <c r="I497" s="262"/>
      <c r="J497" s="2"/>
      <c r="K497" s="330"/>
      <c r="L497" s="33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</row>
    <row r="498" spans="1:85" ht="12.65" customHeight="1" x14ac:dyDescent="0.3">
      <c r="A498" s="2" t="s">
        <v>514</v>
      </c>
      <c r="B498" s="332">
        <f>'[1]Prior Year'!E71</f>
        <v>4121972</v>
      </c>
      <c r="C498" s="332">
        <f>E71</f>
        <v>4120145</v>
      </c>
      <c r="D498" s="332">
        <f>'[1]Prior Year'!E59</f>
        <v>4390</v>
      </c>
      <c r="E498" s="2">
        <f>E59</f>
        <v>3864</v>
      </c>
      <c r="F498" s="333">
        <f t="shared" si="15"/>
        <v>938.94578587699311</v>
      </c>
      <c r="G498" s="333">
        <f t="shared" si="15"/>
        <v>1066.2901138716356</v>
      </c>
      <c r="H498" s="334" t="str">
        <f t="shared" si="16"/>
        <v/>
      </c>
      <c r="I498" s="262"/>
      <c r="J498" s="2"/>
      <c r="K498" s="330"/>
      <c r="L498" s="33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</row>
    <row r="499" spans="1:85" ht="12.65" customHeight="1" x14ac:dyDescent="0.3">
      <c r="A499" s="2" t="s">
        <v>515</v>
      </c>
      <c r="B499" s="332">
        <f>'[1]Prior Year'!F71</f>
        <v>0</v>
      </c>
      <c r="C499" s="332">
        <f>F71</f>
        <v>0</v>
      </c>
      <c r="D499" s="332">
        <f>'[1]Prior Year'!F59</f>
        <v>0</v>
      </c>
      <c r="E499" s="2">
        <f>F59</f>
        <v>0</v>
      </c>
      <c r="F499" s="333" t="str">
        <f t="shared" si="15"/>
        <v/>
      </c>
      <c r="G499" s="333" t="str">
        <f t="shared" si="15"/>
        <v/>
      </c>
      <c r="H499" s="334" t="str">
        <f t="shared" si="16"/>
        <v/>
      </c>
      <c r="I499" s="262"/>
      <c r="J499" s="2"/>
      <c r="K499" s="330"/>
      <c r="L499" s="33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</row>
    <row r="500" spans="1:85" ht="12.65" customHeight="1" x14ac:dyDescent="0.3">
      <c r="A500" s="2" t="s">
        <v>516</v>
      </c>
      <c r="B500" s="332">
        <f>'[1]Prior Year'!G71</f>
        <v>0</v>
      </c>
      <c r="C500" s="332">
        <f>G71</f>
        <v>0</v>
      </c>
      <c r="D500" s="332">
        <f>'[1]Prior Year'!G59</f>
        <v>0</v>
      </c>
      <c r="E500" s="2">
        <f>G59</f>
        <v>0</v>
      </c>
      <c r="F500" s="333" t="str">
        <f t="shared" si="15"/>
        <v/>
      </c>
      <c r="G500" s="333" t="str">
        <f t="shared" si="15"/>
        <v/>
      </c>
      <c r="H500" s="334" t="str">
        <f t="shared" si="16"/>
        <v/>
      </c>
      <c r="I500" s="262"/>
      <c r="J500" s="2"/>
      <c r="K500" s="330"/>
      <c r="L500" s="33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</row>
    <row r="501" spans="1:85" ht="12.65" customHeight="1" x14ac:dyDescent="0.3">
      <c r="A501" s="2" t="s">
        <v>517</v>
      </c>
      <c r="B501" s="332">
        <f>'[1]Prior Year'!H71</f>
        <v>0</v>
      </c>
      <c r="C501" s="332">
        <f>H71</f>
        <v>0</v>
      </c>
      <c r="D501" s="332">
        <f>'[1]Prior Year'!H59</f>
        <v>0</v>
      </c>
      <c r="E501" s="2">
        <f>H59</f>
        <v>0</v>
      </c>
      <c r="F501" s="333" t="str">
        <f t="shared" si="15"/>
        <v/>
      </c>
      <c r="G501" s="333" t="str">
        <f t="shared" si="15"/>
        <v/>
      </c>
      <c r="H501" s="334" t="str">
        <f t="shared" si="16"/>
        <v/>
      </c>
      <c r="I501" s="262"/>
      <c r="J501" s="2"/>
      <c r="K501" s="330"/>
      <c r="L501" s="33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</row>
    <row r="502" spans="1:85" ht="12.65" customHeight="1" x14ac:dyDescent="0.3">
      <c r="A502" s="2" t="s">
        <v>518</v>
      </c>
      <c r="B502" s="332">
        <f>'[1]Prior Year'!I71</f>
        <v>0</v>
      </c>
      <c r="C502" s="332">
        <f>I71</f>
        <v>0</v>
      </c>
      <c r="D502" s="332">
        <f>'[1]Prior Year'!I59</f>
        <v>0</v>
      </c>
      <c r="E502" s="2">
        <f>I59</f>
        <v>0</v>
      </c>
      <c r="F502" s="333" t="str">
        <f t="shared" si="15"/>
        <v/>
      </c>
      <c r="G502" s="333" t="str">
        <f t="shared" si="15"/>
        <v/>
      </c>
      <c r="H502" s="334" t="str">
        <f t="shared" si="16"/>
        <v/>
      </c>
      <c r="I502" s="262"/>
      <c r="J502" s="2"/>
      <c r="K502" s="330"/>
      <c r="L502" s="33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</row>
    <row r="503" spans="1:85" ht="12.65" customHeight="1" x14ac:dyDescent="0.3">
      <c r="A503" s="2" t="s">
        <v>519</v>
      </c>
      <c r="B503" s="332">
        <f>'[1]Prior Year'!J71</f>
        <v>2385</v>
      </c>
      <c r="C503" s="332">
        <f>J71</f>
        <v>1797</v>
      </c>
      <c r="D503" s="332">
        <f>'[1]Prior Year'!J59</f>
        <v>278</v>
      </c>
      <c r="E503" s="2">
        <f>J59</f>
        <v>238</v>
      </c>
      <c r="F503" s="333">
        <f t="shared" si="15"/>
        <v>8.5791366906474824</v>
      </c>
      <c r="G503" s="333">
        <f t="shared" si="15"/>
        <v>7.5504201680672267</v>
      </c>
      <c r="H503" s="334" t="str">
        <f t="shared" si="16"/>
        <v/>
      </c>
      <c r="I503" s="262"/>
      <c r="J503" s="2"/>
      <c r="K503" s="330"/>
      <c r="L503" s="33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</row>
    <row r="504" spans="1:85" ht="12.65" customHeight="1" x14ac:dyDescent="0.3">
      <c r="A504" s="2" t="s">
        <v>520</v>
      </c>
      <c r="B504" s="332">
        <f>'[1]Prior Year'!K71</f>
        <v>0</v>
      </c>
      <c r="C504" s="332">
        <f>K71</f>
        <v>0</v>
      </c>
      <c r="D504" s="332">
        <f>'[1]Prior Year'!K59</f>
        <v>0</v>
      </c>
      <c r="E504" s="2">
        <f>K59</f>
        <v>0</v>
      </c>
      <c r="F504" s="333" t="str">
        <f t="shared" si="15"/>
        <v/>
      </c>
      <c r="G504" s="333" t="str">
        <f t="shared" si="15"/>
        <v/>
      </c>
      <c r="H504" s="334" t="str">
        <f t="shared" si="16"/>
        <v/>
      </c>
      <c r="I504" s="262"/>
      <c r="J504" s="2"/>
      <c r="K504" s="330"/>
      <c r="L504" s="33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</row>
    <row r="505" spans="1:85" ht="12.65" customHeight="1" x14ac:dyDescent="0.3">
      <c r="A505" s="2" t="s">
        <v>521</v>
      </c>
      <c r="B505" s="332">
        <f>'[1]Prior Year'!L71</f>
        <v>60446</v>
      </c>
      <c r="C505" s="332">
        <f>L71</f>
        <v>45870</v>
      </c>
      <c r="D505" s="332">
        <f>'[1]Prior Year'!L59</f>
        <v>124</v>
      </c>
      <c r="E505" s="2">
        <f>L59</f>
        <v>188</v>
      </c>
      <c r="F505" s="333">
        <f>IF(B505=0,"",IF(D505=0,"",B505/D505))</f>
        <v>487.46774193548384</v>
      </c>
      <c r="G505" s="333">
        <f t="shared" si="15"/>
        <v>243.98936170212767</v>
      </c>
      <c r="H505" s="334">
        <f>IF(B505=0,"",IF(C505=0,"",IF(D505=0,"",IF(E505=0,"",IF(G505/F505-1&lt;-0.25,G505/F505-1,IF(G505/F505-1&gt;0.25,G505/F505-1,""))))))</f>
        <v>-0.49947588176117808</v>
      </c>
      <c r="I505" s="262" t="s">
        <v>1278</v>
      </c>
      <c r="J505" s="2"/>
      <c r="K505" s="330"/>
      <c r="L505" s="33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</row>
    <row r="506" spans="1:85" ht="12.65" customHeight="1" x14ac:dyDescent="0.3">
      <c r="A506" s="2" t="s">
        <v>522</v>
      </c>
      <c r="B506" s="332">
        <f>'[1]Prior Year'!M71</f>
        <v>0</v>
      </c>
      <c r="C506" s="332">
        <f>M71</f>
        <v>0</v>
      </c>
      <c r="D506" s="332">
        <f>'[1]Prior Year'!M59</f>
        <v>0</v>
      </c>
      <c r="E506" s="2">
        <f>M59</f>
        <v>0</v>
      </c>
      <c r="F506" s="333" t="str">
        <f t="shared" si="15"/>
        <v/>
      </c>
      <c r="G506" s="333" t="str">
        <f t="shared" si="15"/>
        <v/>
      </c>
      <c r="H506" s="334" t="str">
        <f t="shared" si="16"/>
        <v/>
      </c>
      <c r="I506" s="262"/>
      <c r="J506" s="2"/>
      <c r="K506" s="330"/>
      <c r="L506" s="33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</row>
    <row r="507" spans="1:85" ht="12.65" customHeight="1" x14ac:dyDescent="0.3">
      <c r="A507" s="2" t="s">
        <v>523</v>
      </c>
      <c r="B507" s="332">
        <f>'[1]Prior Year'!N71</f>
        <v>2124093</v>
      </c>
      <c r="C507" s="332">
        <f>N71</f>
        <v>2336577</v>
      </c>
      <c r="D507" s="332">
        <f>'[1]Prior Year'!N59</f>
        <v>0</v>
      </c>
      <c r="E507" s="2">
        <f>N59</f>
        <v>0</v>
      </c>
      <c r="F507" s="333" t="str">
        <f t="shared" si="15"/>
        <v/>
      </c>
      <c r="G507" s="333" t="str">
        <f t="shared" si="15"/>
        <v/>
      </c>
      <c r="H507" s="334" t="str">
        <f t="shared" si="16"/>
        <v/>
      </c>
      <c r="I507" s="262"/>
      <c r="J507" s="2"/>
      <c r="K507" s="330"/>
      <c r="L507" s="33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</row>
    <row r="508" spans="1:85" ht="12.65" customHeight="1" x14ac:dyDescent="0.3">
      <c r="A508" s="2" t="s">
        <v>524</v>
      </c>
      <c r="B508" s="332">
        <f>'[1]Prior Year'!O71</f>
        <v>1674152</v>
      </c>
      <c r="C508" s="332">
        <f>O71</f>
        <v>1523217</v>
      </c>
      <c r="D508" s="332">
        <f>'[1]Prior Year'!O59</f>
        <v>119</v>
      </c>
      <c r="E508" s="2">
        <f>O59</f>
        <v>112</v>
      </c>
      <c r="F508" s="333">
        <f t="shared" si="15"/>
        <v>14068.504201680673</v>
      </c>
      <c r="G508" s="333">
        <f t="shared" si="15"/>
        <v>13600.151785714286</v>
      </c>
      <c r="H508" s="334" t="str">
        <f t="shared" si="16"/>
        <v/>
      </c>
      <c r="I508" s="262"/>
      <c r="J508" s="2"/>
      <c r="K508" s="330"/>
      <c r="L508" s="33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</row>
    <row r="509" spans="1:85" ht="12.65" customHeight="1" x14ac:dyDescent="0.3">
      <c r="A509" s="2" t="s">
        <v>525</v>
      </c>
      <c r="B509" s="332">
        <f>'[1]Prior Year'!P71</f>
        <v>3412620</v>
      </c>
      <c r="C509" s="332">
        <f>P71</f>
        <v>4117300</v>
      </c>
      <c r="D509" s="332">
        <f>'[1]Prior Year'!P59</f>
        <v>114752</v>
      </c>
      <c r="E509" s="2">
        <f>P59</f>
        <v>174972</v>
      </c>
      <c r="F509" s="333">
        <f t="shared" si="15"/>
        <v>29.7390895147797</v>
      </c>
      <c r="G509" s="333">
        <f t="shared" si="15"/>
        <v>23.531193562398556</v>
      </c>
      <c r="H509" s="334" t="str">
        <f t="shared" si="16"/>
        <v/>
      </c>
      <c r="I509" s="262"/>
      <c r="J509" s="2"/>
      <c r="K509" s="330"/>
      <c r="L509" s="33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</row>
    <row r="510" spans="1:85" ht="12.65" customHeight="1" x14ac:dyDescent="0.3">
      <c r="A510" s="2" t="s">
        <v>526</v>
      </c>
      <c r="B510" s="332">
        <f>'[1]Prior Year'!Q71</f>
        <v>114271</v>
      </c>
      <c r="C510" s="332">
        <f>Q71</f>
        <v>66165</v>
      </c>
      <c r="D510" s="332">
        <f>'[1]Prior Year'!Q59</f>
        <v>37772</v>
      </c>
      <c r="E510" s="2">
        <f>Q59</f>
        <v>37402</v>
      </c>
      <c r="F510" s="333">
        <f t="shared" si="15"/>
        <v>3.0252832786190829</v>
      </c>
      <c r="G510" s="333">
        <f t="shared" si="15"/>
        <v>1.7690230468958879</v>
      </c>
      <c r="H510" s="334">
        <f t="shared" si="16"/>
        <v>-0.4152537518062196</v>
      </c>
      <c r="I510" s="262" t="s">
        <v>1279</v>
      </c>
      <c r="J510" s="2"/>
      <c r="K510" s="330"/>
      <c r="L510" s="33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</row>
    <row r="511" spans="1:85" ht="12.65" customHeight="1" x14ac:dyDescent="0.3">
      <c r="A511" s="2" t="s">
        <v>527</v>
      </c>
      <c r="B511" s="332">
        <f>'[1]Prior Year'!R71</f>
        <v>1405534</v>
      </c>
      <c r="C511" s="332">
        <f>R71</f>
        <v>1509489</v>
      </c>
      <c r="D511" s="332">
        <f>'[1]Prior Year'!R59</f>
        <v>160555</v>
      </c>
      <c r="E511" s="2">
        <f>R59</f>
        <v>173729</v>
      </c>
      <c r="F511" s="333">
        <f t="shared" si="15"/>
        <v>8.754221294883374</v>
      </c>
      <c r="G511" s="333">
        <f t="shared" si="15"/>
        <v>8.6887566267002061</v>
      </c>
      <c r="H511" s="334" t="str">
        <f t="shared" si="16"/>
        <v/>
      </c>
      <c r="I511" s="262"/>
      <c r="J511" s="2"/>
      <c r="K511" s="330"/>
      <c r="L511" s="33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</row>
    <row r="512" spans="1:85" ht="12.65" customHeight="1" x14ac:dyDescent="0.3">
      <c r="A512" s="2" t="s">
        <v>528</v>
      </c>
      <c r="B512" s="332">
        <f>'[1]Prior Year'!S71</f>
        <v>1654540</v>
      </c>
      <c r="C512" s="332">
        <f>S71</f>
        <v>1927429</v>
      </c>
      <c r="D512" s="326" t="s">
        <v>529</v>
      </c>
      <c r="E512" s="326" t="s">
        <v>529</v>
      </c>
      <c r="F512" s="333" t="str">
        <f t="shared" ref="F512:G527" si="17">IF(B512=0,"",IF(D512=0,"",B512/D512))</f>
        <v/>
      </c>
      <c r="G512" s="333" t="str">
        <f t="shared" si="17"/>
        <v/>
      </c>
      <c r="H512" s="334" t="str">
        <f t="shared" si="16"/>
        <v/>
      </c>
      <c r="I512" s="262"/>
      <c r="J512" s="2"/>
      <c r="K512" s="330"/>
      <c r="L512" s="33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</row>
    <row r="513" spans="1:85" ht="12.65" customHeight="1" x14ac:dyDescent="0.3">
      <c r="A513" s="2" t="s">
        <v>1245</v>
      </c>
      <c r="B513" s="332">
        <f>'[1]Prior Year'!T71</f>
        <v>0</v>
      </c>
      <c r="C513" s="332">
        <f>T71</f>
        <v>0</v>
      </c>
      <c r="D513" s="326" t="s">
        <v>529</v>
      </c>
      <c r="E513" s="326" t="s">
        <v>529</v>
      </c>
      <c r="F513" s="333" t="str">
        <f t="shared" si="17"/>
        <v/>
      </c>
      <c r="G513" s="333" t="str">
        <f t="shared" si="17"/>
        <v/>
      </c>
      <c r="H513" s="334" t="str">
        <f t="shared" si="16"/>
        <v/>
      </c>
      <c r="I513" s="262"/>
      <c r="J513" s="2"/>
      <c r="K513" s="330"/>
      <c r="L513" s="33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</row>
    <row r="514" spans="1:85" ht="12.65" customHeight="1" x14ac:dyDescent="0.3">
      <c r="A514" s="2" t="s">
        <v>530</v>
      </c>
      <c r="B514" s="332">
        <f>'[1]Prior Year'!U71</f>
        <v>4742102</v>
      </c>
      <c r="C514" s="332">
        <f>U71</f>
        <v>4880091</v>
      </c>
      <c r="D514" s="332">
        <f>'[1]Prior Year'!U59</f>
        <v>211095</v>
      </c>
      <c r="E514" s="2">
        <f>U59</f>
        <v>221752</v>
      </c>
      <c r="F514" s="333">
        <f t="shared" si="17"/>
        <v>22.464302802055947</v>
      </c>
      <c r="G514" s="333">
        <f t="shared" si="17"/>
        <v>22.006976261769903</v>
      </c>
      <c r="H514" s="334" t="str">
        <f t="shared" si="16"/>
        <v/>
      </c>
      <c r="I514" s="262"/>
      <c r="J514" s="2"/>
      <c r="K514" s="330"/>
      <c r="L514" s="33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</row>
    <row r="515" spans="1:85" ht="12.65" customHeight="1" x14ac:dyDescent="0.3">
      <c r="A515" s="2" t="s">
        <v>531</v>
      </c>
      <c r="B515" s="332">
        <f>'[1]Prior Year'!V71</f>
        <v>156299</v>
      </c>
      <c r="C515" s="332">
        <f>V71</f>
        <v>0</v>
      </c>
      <c r="D515" s="332">
        <f>'[1]Prior Year'!V59</f>
        <v>1226</v>
      </c>
      <c r="E515" s="2">
        <f>V59</f>
        <v>1223</v>
      </c>
      <c r="F515" s="333">
        <f t="shared" si="17"/>
        <v>127.48694942903752</v>
      </c>
      <c r="G515" s="333" t="str">
        <f t="shared" si="17"/>
        <v/>
      </c>
      <c r="H515" s="334" t="str">
        <f t="shared" si="16"/>
        <v/>
      </c>
      <c r="I515" s="262"/>
      <c r="J515" s="2"/>
      <c r="K515" s="330"/>
      <c r="L515" s="33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</row>
    <row r="516" spans="1:85" ht="12.65" customHeight="1" x14ac:dyDescent="0.3">
      <c r="A516" s="2" t="s">
        <v>532</v>
      </c>
      <c r="B516" s="332">
        <f>'[1]Prior Year'!W71</f>
        <v>600036</v>
      </c>
      <c r="C516" s="332">
        <f>W71</f>
        <v>622375</v>
      </c>
      <c r="D516" s="332">
        <f>'[1]Prior Year'!W59</f>
        <v>1953</v>
      </c>
      <c r="E516" s="2">
        <f>W59</f>
        <v>2246</v>
      </c>
      <c r="F516" s="333">
        <f t="shared" si="17"/>
        <v>307.23809523809524</v>
      </c>
      <c r="G516" s="333">
        <f t="shared" si="17"/>
        <v>277.10373998219058</v>
      </c>
      <c r="H516" s="334" t="str">
        <f t="shared" si="16"/>
        <v/>
      </c>
      <c r="I516" s="262"/>
      <c r="J516" s="2"/>
      <c r="K516" s="330"/>
      <c r="L516" s="33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</row>
    <row r="517" spans="1:85" ht="12.65" customHeight="1" x14ac:dyDescent="0.3">
      <c r="A517" s="2" t="s">
        <v>533</v>
      </c>
      <c r="B517" s="332">
        <f>'[1]Prior Year'!X71</f>
        <v>398212</v>
      </c>
      <c r="C517" s="332">
        <f>X71</f>
        <v>435563</v>
      </c>
      <c r="D517" s="332">
        <f>'[1]Prior Year'!X59</f>
        <v>5015</v>
      </c>
      <c r="E517" s="2">
        <f>X59</f>
        <v>5720</v>
      </c>
      <c r="F517" s="333">
        <f t="shared" si="17"/>
        <v>79.404187437686943</v>
      </c>
      <c r="G517" s="333">
        <f t="shared" si="17"/>
        <v>76.147377622377618</v>
      </c>
      <c r="H517" s="334" t="str">
        <f t="shared" si="16"/>
        <v/>
      </c>
      <c r="I517" s="262"/>
      <c r="J517" s="2"/>
      <c r="K517" s="330"/>
      <c r="L517" s="33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</row>
    <row r="518" spans="1:85" ht="12.65" customHeight="1" x14ac:dyDescent="0.3">
      <c r="A518" s="2" t="s">
        <v>534</v>
      </c>
      <c r="B518" s="332">
        <f>'[1]Prior Year'!Y71</f>
        <v>2668299</v>
      </c>
      <c r="C518" s="332">
        <f>Y71</f>
        <v>2702972</v>
      </c>
      <c r="D518" s="332">
        <f>'[1]Prior Year'!Y59</f>
        <v>16773</v>
      </c>
      <c r="E518" s="2">
        <f>Y59</f>
        <v>17752</v>
      </c>
      <c r="F518" s="333">
        <f t="shared" si="17"/>
        <v>159.08299052047934</v>
      </c>
      <c r="G518" s="333">
        <f t="shared" si="17"/>
        <v>152.2629562866156</v>
      </c>
      <c r="H518" s="334" t="str">
        <f t="shared" si="16"/>
        <v/>
      </c>
      <c r="I518" s="262"/>
      <c r="J518" s="2"/>
      <c r="K518" s="330"/>
      <c r="L518" s="33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</row>
    <row r="519" spans="1:85" ht="12.65" customHeight="1" x14ac:dyDescent="0.3">
      <c r="A519" s="2" t="s">
        <v>535</v>
      </c>
      <c r="B519" s="332">
        <f>'[1]Prior Year'!Z71</f>
        <v>0</v>
      </c>
      <c r="C519" s="332">
        <f>Z71</f>
        <v>0</v>
      </c>
      <c r="D519" s="332">
        <f>'[1]Prior Year'!Z59</f>
        <v>0</v>
      </c>
      <c r="E519" s="2">
        <f>Z59</f>
        <v>0</v>
      </c>
      <c r="F519" s="333" t="str">
        <f t="shared" si="17"/>
        <v/>
      </c>
      <c r="G519" s="333" t="str">
        <f t="shared" si="17"/>
        <v/>
      </c>
      <c r="H519" s="334" t="str">
        <f t="shared" si="16"/>
        <v/>
      </c>
      <c r="I519" s="262"/>
      <c r="J519" s="2"/>
      <c r="K519" s="330"/>
      <c r="L519" s="33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</row>
    <row r="520" spans="1:85" ht="12.65" customHeight="1" x14ac:dyDescent="0.3">
      <c r="A520" s="2" t="s">
        <v>536</v>
      </c>
      <c r="B520" s="332">
        <f>'[1]Prior Year'!AA71</f>
        <v>209426</v>
      </c>
      <c r="C520" s="332">
        <f>AA71</f>
        <v>287027</v>
      </c>
      <c r="D520" s="332">
        <f>'[1]Prior Year'!AA59</f>
        <v>348</v>
      </c>
      <c r="E520" s="2">
        <f>AA59</f>
        <v>436</v>
      </c>
      <c r="F520" s="333">
        <f t="shared" si="17"/>
        <v>601.79885057471267</v>
      </c>
      <c r="G520" s="333">
        <f t="shared" si="17"/>
        <v>658.31880733944956</v>
      </c>
      <c r="H520" s="334" t="str">
        <f t="shared" si="16"/>
        <v/>
      </c>
      <c r="I520" s="262"/>
      <c r="J520" s="2"/>
      <c r="K520" s="330"/>
      <c r="L520" s="33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</row>
    <row r="521" spans="1:85" ht="12.65" customHeight="1" x14ac:dyDescent="0.3">
      <c r="A521" s="2" t="s">
        <v>537</v>
      </c>
      <c r="B521" s="332">
        <f>'[1]Prior Year'!AB71</f>
        <v>12518311</v>
      </c>
      <c r="C521" s="332">
        <f>AB71</f>
        <v>16135833</v>
      </c>
      <c r="D521" s="326" t="s">
        <v>529</v>
      </c>
      <c r="E521" s="326" t="s">
        <v>529</v>
      </c>
      <c r="F521" s="333" t="str">
        <f t="shared" si="17"/>
        <v/>
      </c>
      <c r="G521" s="333" t="str">
        <f t="shared" si="17"/>
        <v/>
      </c>
      <c r="H521" s="334" t="str">
        <f t="shared" si="16"/>
        <v/>
      </c>
      <c r="I521" s="262"/>
      <c r="J521" s="2"/>
      <c r="K521" s="330"/>
      <c r="L521" s="33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</row>
    <row r="522" spans="1:85" ht="12.65" customHeight="1" x14ac:dyDescent="0.3">
      <c r="A522" s="2" t="s">
        <v>538</v>
      </c>
      <c r="B522" s="332">
        <f>'[1]Prior Year'!AC71</f>
        <v>1034694</v>
      </c>
      <c r="C522" s="332">
        <f>AC71</f>
        <v>1083157</v>
      </c>
      <c r="D522" s="332">
        <f>'[1]Prior Year'!AC59</f>
        <v>36548</v>
      </c>
      <c r="E522" s="2">
        <f>AC59</f>
        <v>42603</v>
      </c>
      <c r="F522" s="333">
        <f t="shared" si="17"/>
        <v>28.310550508919778</v>
      </c>
      <c r="G522" s="333">
        <f t="shared" si="17"/>
        <v>25.424430204445695</v>
      </c>
      <c r="H522" s="334" t="str">
        <f t="shared" si="16"/>
        <v/>
      </c>
      <c r="I522" s="262"/>
      <c r="J522" s="2"/>
      <c r="K522" s="330"/>
      <c r="L522" s="33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</row>
    <row r="523" spans="1:85" ht="12.65" customHeight="1" x14ac:dyDescent="0.3">
      <c r="A523" s="2" t="s">
        <v>539</v>
      </c>
      <c r="B523" s="332">
        <f>'[1]Prior Year'!AD71</f>
        <v>0</v>
      </c>
      <c r="C523" s="332">
        <f>AD71</f>
        <v>0</v>
      </c>
      <c r="D523" s="332">
        <f>'[1]Prior Year'!AD59</f>
        <v>0</v>
      </c>
      <c r="E523" s="2">
        <f>AD59</f>
        <v>0</v>
      </c>
      <c r="F523" s="333" t="str">
        <f t="shared" si="17"/>
        <v/>
      </c>
      <c r="G523" s="333" t="str">
        <f t="shared" si="17"/>
        <v/>
      </c>
      <c r="H523" s="334" t="str">
        <f t="shared" si="16"/>
        <v/>
      </c>
      <c r="I523" s="262"/>
      <c r="J523" s="2"/>
      <c r="K523" s="330"/>
      <c r="L523" s="33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</row>
    <row r="524" spans="1:85" ht="12.65" customHeight="1" x14ac:dyDescent="0.3">
      <c r="A524" s="2" t="s">
        <v>540</v>
      </c>
      <c r="B524" s="332">
        <f>'[1]Prior Year'!AE71</f>
        <v>3805268</v>
      </c>
      <c r="C524" s="332">
        <f>AE71</f>
        <v>3899632</v>
      </c>
      <c r="D524" s="332">
        <f>'[1]Prior Year'!AE59</f>
        <v>85834</v>
      </c>
      <c r="E524" s="2">
        <f>AE59</f>
        <v>98895</v>
      </c>
      <c r="F524" s="333">
        <f t="shared" si="17"/>
        <v>44.332875084465364</v>
      </c>
      <c r="G524" s="333">
        <f t="shared" si="17"/>
        <v>39.432044087163156</v>
      </c>
      <c r="H524" s="334" t="str">
        <f t="shared" si="16"/>
        <v/>
      </c>
      <c r="I524" s="262"/>
      <c r="J524" s="2"/>
      <c r="K524" s="330"/>
      <c r="L524" s="33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</row>
    <row r="525" spans="1:85" ht="12.65" customHeight="1" x14ac:dyDescent="0.3">
      <c r="A525" s="2" t="s">
        <v>541</v>
      </c>
      <c r="B525" s="332">
        <f>'[1]Prior Year'!AF71</f>
        <v>0</v>
      </c>
      <c r="C525" s="332">
        <f>AF71</f>
        <v>0</v>
      </c>
      <c r="D525" s="332">
        <f>'[1]Prior Year'!AF59</f>
        <v>0</v>
      </c>
      <c r="E525" s="2">
        <f>AF59</f>
        <v>0</v>
      </c>
      <c r="F525" s="333" t="str">
        <f t="shared" si="17"/>
        <v/>
      </c>
      <c r="G525" s="333" t="str">
        <f t="shared" si="17"/>
        <v/>
      </c>
      <c r="H525" s="334" t="str">
        <f t="shared" si="16"/>
        <v/>
      </c>
      <c r="I525" s="262"/>
      <c r="J525" s="2"/>
      <c r="K525" s="330"/>
      <c r="L525" s="33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</row>
    <row r="526" spans="1:85" ht="12.65" customHeight="1" x14ac:dyDescent="0.3">
      <c r="A526" s="2" t="s">
        <v>542</v>
      </c>
      <c r="B526" s="332">
        <f>'[1]Prior Year'!AG71</f>
        <v>5469978</v>
      </c>
      <c r="C526" s="332">
        <f>AG71</f>
        <v>5782429</v>
      </c>
      <c r="D526" s="332">
        <f>'[1]Prior Year'!AG59</f>
        <v>12259</v>
      </c>
      <c r="E526" s="2">
        <f>AG59</f>
        <v>12684</v>
      </c>
      <c r="F526" s="333">
        <f t="shared" si="17"/>
        <v>446.2009951872094</v>
      </c>
      <c r="G526" s="333">
        <f t="shared" si="17"/>
        <v>455.88371176285085</v>
      </c>
      <c r="H526" s="334" t="str">
        <f t="shared" si="16"/>
        <v/>
      </c>
      <c r="I526" s="262"/>
      <c r="J526" s="2"/>
      <c r="K526" s="330"/>
      <c r="L526" s="33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</row>
    <row r="527" spans="1:85" ht="12.65" customHeight="1" x14ac:dyDescent="0.3">
      <c r="A527" s="2" t="s">
        <v>543</v>
      </c>
      <c r="B527" s="332">
        <f>'[1]Prior Year'!AH71</f>
        <v>0</v>
      </c>
      <c r="C527" s="332">
        <f>AH71</f>
        <v>0</v>
      </c>
      <c r="D527" s="332">
        <f>'[1]Prior Year'!AH59</f>
        <v>0</v>
      </c>
      <c r="E527" s="2">
        <f>AH59</f>
        <v>0</v>
      </c>
      <c r="F527" s="333" t="str">
        <f t="shared" si="17"/>
        <v/>
      </c>
      <c r="G527" s="333" t="str">
        <f t="shared" si="17"/>
        <v/>
      </c>
      <c r="H527" s="334" t="str">
        <f t="shared" si="16"/>
        <v/>
      </c>
      <c r="I527" s="262"/>
      <c r="J527" s="2"/>
      <c r="K527" s="330"/>
      <c r="L527" s="33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</row>
    <row r="528" spans="1:85" ht="12.65" customHeight="1" x14ac:dyDescent="0.3">
      <c r="A528" s="2" t="s">
        <v>544</v>
      </c>
      <c r="B528" s="332">
        <f>'[1]Prior Year'!AI71</f>
        <v>3366077</v>
      </c>
      <c r="C528" s="332">
        <f>AI71</f>
        <v>3988961</v>
      </c>
      <c r="D528" s="332">
        <f>'[1]Prior Year'!AI59</f>
        <v>15242</v>
      </c>
      <c r="E528" s="2">
        <f>AI59</f>
        <v>17642</v>
      </c>
      <c r="F528" s="333">
        <f t="shared" ref="F528:G540" si="18">IF(B528=0,"",IF(D528=0,"",B528/D528))</f>
        <v>220.84221230809604</v>
      </c>
      <c r="G528" s="333">
        <f t="shared" si="18"/>
        <v>226.10594036957261</v>
      </c>
      <c r="H528" s="334" t="str">
        <f t="shared" si="16"/>
        <v/>
      </c>
      <c r="I528" s="262"/>
      <c r="J528" s="2"/>
      <c r="K528" s="330"/>
      <c r="L528" s="33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</row>
    <row r="529" spans="1:85" ht="12.65" customHeight="1" x14ac:dyDescent="0.3">
      <c r="A529" s="2" t="s">
        <v>545</v>
      </c>
      <c r="B529" s="332">
        <f>'[1]Prior Year'!AJ71</f>
        <v>24110060</v>
      </c>
      <c r="C529" s="332">
        <f>AJ71</f>
        <v>26878314</v>
      </c>
      <c r="D529" s="332">
        <f>'[1]Prior Year'!AJ59</f>
        <v>96754</v>
      </c>
      <c r="E529" s="2">
        <f>AJ59</f>
        <v>102544</v>
      </c>
      <c r="F529" s="333">
        <f t="shared" si="18"/>
        <v>249.18928416396221</v>
      </c>
      <c r="G529" s="333">
        <f t="shared" si="18"/>
        <v>262.1149360274614</v>
      </c>
      <c r="H529" s="334" t="str">
        <f t="shared" si="16"/>
        <v/>
      </c>
      <c r="I529" s="262"/>
      <c r="J529" s="2"/>
      <c r="K529" s="330"/>
      <c r="L529" s="33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</row>
    <row r="530" spans="1:85" ht="12.65" customHeight="1" x14ac:dyDescent="0.3">
      <c r="A530" s="2" t="s">
        <v>546</v>
      </c>
      <c r="B530" s="332">
        <f>'[1]Prior Year'!AK71</f>
        <v>0</v>
      </c>
      <c r="C530" s="332">
        <f>AK71</f>
        <v>0</v>
      </c>
      <c r="D530" s="332">
        <f>'[1]Prior Year'!AK59</f>
        <v>0</v>
      </c>
      <c r="E530" s="2">
        <f>AK59</f>
        <v>0</v>
      </c>
      <c r="F530" s="333" t="str">
        <f t="shared" si="18"/>
        <v/>
      </c>
      <c r="G530" s="333" t="str">
        <f t="shared" si="18"/>
        <v/>
      </c>
      <c r="H530" s="334" t="str">
        <f t="shared" si="16"/>
        <v/>
      </c>
      <c r="I530" s="262"/>
      <c r="J530" s="2"/>
      <c r="K530" s="330"/>
      <c r="L530" s="33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</row>
    <row r="531" spans="1:85" ht="12.65" customHeight="1" x14ac:dyDescent="0.3">
      <c r="A531" s="2" t="s">
        <v>547</v>
      </c>
      <c r="B531" s="332">
        <f>'[1]Prior Year'!AL71</f>
        <v>0</v>
      </c>
      <c r="C531" s="332">
        <f>AL71</f>
        <v>0</v>
      </c>
      <c r="D531" s="332">
        <f>'[1]Prior Year'!AL59</f>
        <v>0</v>
      </c>
      <c r="E531" s="2">
        <f>AL59</f>
        <v>0</v>
      </c>
      <c r="F531" s="333" t="str">
        <f t="shared" si="18"/>
        <v/>
      </c>
      <c r="G531" s="333" t="str">
        <f t="shared" si="18"/>
        <v/>
      </c>
      <c r="H531" s="334" t="str">
        <f t="shared" si="16"/>
        <v/>
      </c>
      <c r="I531" s="262"/>
      <c r="J531" s="2"/>
      <c r="K531" s="330"/>
      <c r="L531" s="33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</row>
    <row r="532" spans="1:85" ht="12.65" customHeight="1" x14ac:dyDescent="0.3">
      <c r="A532" s="2" t="s">
        <v>548</v>
      </c>
      <c r="B532" s="332">
        <f>'[1]Prior Year'!AM71</f>
        <v>0</v>
      </c>
      <c r="C532" s="332">
        <f>AM71</f>
        <v>0</v>
      </c>
      <c r="D532" s="332">
        <f>'[1]Prior Year'!AM59</f>
        <v>0</v>
      </c>
      <c r="E532" s="2">
        <f>AM59</f>
        <v>0</v>
      </c>
      <c r="F532" s="333" t="str">
        <f t="shared" si="18"/>
        <v/>
      </c>
      <c r="G532" s="333" t="str">
        <f t="shared" si="18"/>
        <v/>
      </c>
      <c r="H532" s="334" t="str">
        <f t="shared" si="16"/>
        <v/>
      </c>
      <c r="I532" s="262"/>
      <c r="J532" s="2"/>
      <c r="K532" s="330"/>
      <c r="L532" s="33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</row>
    <row r="533" spans="1:85" ht="12.65" customHeight="1" x14ac:dyDescent="0.3">
      <c r="A533" s="2" t="s">
        <v>1246</v>
      </c>
      <c r="B533" s="332">
        <f>'[1]Prior Year'!AN71</f>
        <v>0</v>
      </c>
      <c r="C533" s="332">
        <f>AN71</f>
        <v>0</v>
      </c>
      <c r="D533" s="332">
        <f>'[1]Prior Year'!AN59</f>
        <v>0</v>
      </c>
      <c r="E533" s="2">
        <f>AN59</f>
        <v>0</v>
      </c>
      <c r="F533" s="333" t="str">
        <f t="shared" si="18"/>
        <v/>
      </c>
      <c r="G533" s="333" t="str">
        <f t="shared" si="18"/>
        <v/>
      </c>
      <c r="H533" s="334" t="str">
        <f t="shared" si="16"/>
        <v/>
      </c>
      <c r="I533" s="262"/>
      <c r="J533" s="2"/>
      <c r="K533" s="330"/>
      <c r="L533" s="33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</row>
    <row r="534" spans="1:85" ht="12.65" customHeight="1" x14ac:dyDescent="0.3">
      <c r="A534" s="2" t="s">
        <v>549</v>
      </c>
      <c r="B534" s="332">
        <f>'[1]Prior Year'!AO71</f>
        <v>0</v>
      </c>
      <c r="C534" s="332">
        <f>AO71</f>
        <v>0</v>
      </c>
      <c r="D534" s="332">
        <f>'[1]Prior Year'!AO59</f>
        <v>0</v>
      </c>
      <c r="E534" s="2">
        <f>AO59</f>
        <v>0</v>
      </c>
      <c r="F534" s="333" t="str">
        <f t="shared" si="18"/>
        <v/>
      </c>
      <c r="G534" s="333" t="str">
        <f t="shared" si="18"/>
        <v/>
      </c>
      <c r="H534" s="334" t="str">
        <f t="shared" si="16"/>
        <v/>
      </c>
      <c r="I534" s="262"/>
      <c r="J534" s="2"/>
      <c r="K534" s="330"/>
      <c r="L534" s="33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</row>
    <row r="535" spans="1:85" ht="12.65" customHeight="1" x14ac:dyDescent="0.3">
      <c r="A535" s="2" t="s">
        <v>550</v>
      </c>
      <c r="B535" s="332">
        <f>'[1]Prior Year'!AP71</f>
        <v>0</v>
      </c>
      <c r="C535" s="332">
        <f>AP71</f>
        <v>0</v>
      </c>
      <c r="D535" s="332">
        <f>'[1]Prior Year'!AP59</f>
        <v>0</v>
      </c>
      <c r="E535" s="2">
        <f>AP59</f>
        <v>0</v>
      </c>
      <c r="F535" s="333" t="str">
        <f t="shared" si="18"/>
        <v/>
      </c>
      <c r="G535" s="333" t="str">
        <f t="shared" si="18"/>
        <v/>
      </c>
      <c r="H535" s="334" t="str">
        <f t="shared" si="16"/>
        <v/>
      </c>
      <c r="I535" s="262"/>
      <c r="J535" s="2"/>
      <c r="K535" s="330"/>
      <c r="L535" s="33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</row>
    <row r="536" spans="1:85" ht="12.65" customHeight="1" x14ac:dyDescent="0.3">
      <c r="A536" s="2" t="s">
        <v>551</v>
      </c>
      <c r="B536" s="332">
        <f>'[1]Prior Year'!AQ71</f>
        <v>0</v>
      </c>
      <c r="C536" s="332">
        <f>AQ71</f>
        <v>0</v>
      </c>
      <c r="D536" s="332">
        <f>'[1]Prior Year'!AQ59</f>
        <v>0</v>
      </c>
      <c r="E536" s="2">
        <f>AQ59</f>
        <v>0</v>
      </c>
      <c r="F536" s="333" t="str">
        <f t="shared" si="18"/>
        <v/>
      </c>
      <c r="G536" s="333" t="str">
        <f t="shared" si="18"/>
        <v/>
      </c>
      <c r="H536" s="334" t="str">
        <f t="shared" si="16"/>
        <v/>
      </c>
      <c r="I536" s="262"/>
      <c r="J536" s="2"/>
      <c r="K536" s="330"/>
      <c r="L536" s="33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</row>
    <row r="537" spans="1:85" ht="12.65" customHeight="1" x14ac:dyDescent="0.3">
      <c r="A537" s="2" t="s">
        <v>552</v>
      </c>
      <c r="B537" s="332">
        <f>'[1]Prior Year'!AR71</f>
        <v>3872074</v>
      </c>
      <c r="C537" s="332">
        <f>AR71</f>
        <v>5111999</v>
      </c>
      <c r="D537" s="332">
        <f>'[1]Prior Year'!AR59</f>
        <v>16797</v>
      </c>
      <c r="E537" s="2">
        <f>AR59</f>
        <v>17968</v>
      </c>
      <c r="F537" s="333">
        <f t="shared" si="18"/>
        <v>230.52175983806632</v>
      </c>
      <c r="G537" s="333">
        <f t="shared" si="18"/>
        <v>284.50573241317898</v>
      </c>
      <c r="H537" s="334" t="str">
        <f t="shared" si="16"/>
        <v/>
      </c>
      <c r="I537" s="262"/>
      <c r="J537" s="2"/>
      <c r="K537" s="330"/>
      <c r="L537" s="33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</row>
    <row r="538" spans="1:85" ht="12.65" customHeight="1" x14ac:dyDescent="0.3">
      <c r="A538" s="2" t="s">
        <v>553</v>
      </c>
      <c r="B538" s="332">
        <f>'[1]Prior Year'!AS71</f>
        <v>0</v>
      </c>
      <c r="C538" s="332">
        <f>AS71</f>
        <v>0</v>
      </c>
      <c r="D538" s="332">
        <f>'[1]Prior Year'!AS59</f>
        <v>0</v>
      </c>
      <c r="E538" s="2">
        <f>AS59</f>
        <v>0</v>
      </c>
      <c r="F538" s="333" t="str">
        <f t="shared" si="18"/>
        <v/>
      </c>
      <c r="G538" s="333" t="str">
        <f t="shared" si="18"/>
        <v/>
      </c>
      <c r="H538" s="334" t="str">
        <f t="shared" si="16"/>
        <v/>
      </c>
      <c r="I538" s="262"/>
      <c r="J538" s="2"/>
      <c r="K538" s="330"/>
      <c r="L538" s="33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</row>
    <row r="539" spans="1:85" ht="12.65" customHeight="1" x14ac:dyDescent="0.3">
      <c r="A539" s="2" t="s">
        <v>554</v>
      </c>
      <c r="B539" s="332">
        <f>'[1]Prior Year'!AT71</f>
        <v>0</v>
      </c>
      <c r="C539" s="332">
        <f>AT71</f>
        <v>0</v>
      </c>
      <c r="D539" s="332">
        <f>'[1]Prior Year'!AT59</f>
        <v>0</v>
      </c>
      <c r="E539" s="2">
        <f>AT59</f>
        <v>0</v>
      </c>
      <c r="F539" s="333" t="str">
        <f t="shared" si="18"/>
        <v/>
      </c>
      <c r="G539" s="333" t="str">
        <f t="shared" si="18"/>
        <v/>
      </c>
      <c r="H539" s="334" t="str">
        <f t="shared" si="16"/>
        <v/>
      </c>
      <c r="I539" s="262"/>
      <c r="J539" s="2"/>
      <c r="K539" s="330"/>
      <c r="L539" s="33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</row>
    <row r="540" spans="1:85" ht="12.65" customHeight="1" x14ac:dyDescent="0.3">
      <c r="A540" s="2" t="s">
        <v>555</v>
      </c>
      <c r="B540" s="332">
        <f>'[1]Prior Year'!AU71</f>
        <v>0</v>
      </c>
      <c r="C540" s="332">
        <f>AU71</f>
        <v>0</v>
      </c>
      <c r="D540" s="332">
        <f>'[1]Prior Year'!AU59</f>
        <v>0</v>
      </c>
      <c r="E540" s="2">
        <f>AU59</f>
        <v>0</v>
      </c>
      <c r="F540" s="333" t="str">
        <f t="shared" si="18"/>
        <v/>
      </c>
      <c r="G540" s="333" t="str">
        <f t="shared" si="18"/>
        <v/>
      </c>
      <c r="H540" s="334" t="str">
        <f t="shared" si="16"/>
        <v/>
      </c>
      <c r="I540" s="262"/>
      <c r="J540" s="2"/>
      <c r="K540" s="330"/>
      <c r="L540" s="33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</row>
    <row r="541" spans="1:85" ht="12.65" customHeight="1" x14ac:dyDescent="0.3">
      <c r="A541" s="2" t="s">
        <v>556</v>
      </c>
      <c r="B541" s="332">
        <f>'[1]Prior Year'!AV71</f>
        <v>2171543</v>
      </c>
      <c r="C541" s="332">
        <f>AV71</f>
        <v>2372548</v>
      </c>
      <c r="D541" s="326" t="s">
        <v>529</v>
      </c>
      <c r="E541" s="326" t="s">
        <v>529</v>
      </c>
      <c r="F541" s="333"/>
      <c r="G541" s="333"/>
      <c r="H541" s="334"/>
      <c r="I541" s="262"/>
      <c r="J541" s="2"/>
      <c r="K541" s="330"/>
      <c r="L541" s="33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</row>
    <row r="542" spans="1:85" ht="12.65" customHeight="1" x14ac:dyDescent="0.3">
      <c r="A542" s="2" t="s">
        <v>1247</v>
      </c>
      <c r="B542" s="332">
        <f>'[1]Prior Year'!AW71</f>
        <v>0</v>
      </c>
      <c r="C542" s="332">
        <f>AW71</f>
        <v>0</v>
      </c>
      <c r="D542" s="326" t="s">
        <v>529</v>
      </c>
      <c r="E542" s="326" t="s">
        <v>529</v>
      </c>
      <c r="F542" s="333"/>
      <c r="G542" s="333"/>
      <c r="H542" s="334"/>
      <c r="I542" s="262"/>
      <c r="J542" s="2"/>
      <c r="K542" s="330"/>
      <c r="L542" s="33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</row>
    <row r="543" spans="1:85" ht="12.65" customHeight="1" x14ac:dyDescent="0.3">
      <c r="A543" s="2" t="s">
        <v>557</v>
      </c>
      <c r="B543" s="332">
        <f>'[1]Prior Year'!AX71</f>
        <v>0</v>
      </c>
      <c r="C543" s="332">
        <f>AX71</f>
        <v>0</v>
      </c>
      <c r="D543" s="326" t="s">
        <v>529</v>
      </c>
      <c r="E543" s="326" t="s">
        <v>529</v>
      </c>
      <c r="F543" s="333"/>
      <c r="G543" s="333"/>
      <c r="H543" s="334"/>
      <c r="I543" s="262"/>
      <c r="J543" s="2"/>
      <c r="K543" s="330"/>
      <c r="L543" s="33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</row>
    <row r="544" spans="1:85" ht="12.65" customHeight="1" x14ac:dyDescent="0.3">
      <c r="A544" s="2" t="s">
        <v>558</v>
      </c>
      <c r="B544" s="332">
        <f>'[1]Prior Year'!AY71</f>
        <v>798907</v>
      </c>
      <c r="C544" s="332">
        <f>AY71</f>
        <v>664586</v>
      </c>
      <c r="D544" s="332">
        <f>'[1]Prior Year'!AY59</f>
        <v>15389</v>
      </c>
      <c r="E544" s="2">
        <f>AY59</f>
        <v>15632</v>
      </c>
      <c r="F544" s="333">
        <f t="shared" ref="F544:G550" si="19">IF(B544=0,"",IF(D544=0,"",B544/D544))</f>
        <v>51.914159464552604</v>
      </c>
      <c r="G544" s="333">
        <f t="shared" si="19"/>
        <v>42.514457523029684</v>
      </c>
      <c r="H544" s="334" t="str">
        <f t="shared" si="16"/>
        <v/>
      </c>
      <c r="I544" s="262"/>
      <c r="J544" s="2"/>
      <c r="K544" s="330"/>
      <c r="L544" s="33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</row>
    <row r="545" spans="1:85" ht="12.65" customHeight="1" x14ac:dyDescent="0.3">
      <c r="A545" s="2" t="s">
        <v>559</v>
      </c>
      <c r="B545" s="332">
        <f>'[1]Prior Year'!AZ71</f>
        <v>0</v>
      </c>
      <c r="C545" s="332">
        <f>AZ71</f>
        <v>0</v>
      </c>
      <c r="D545" s="332">
        <f>'[1]Prior Year'!AZ59</f>
        <v>0</v>
      </c>
      <c r="E545" s="2">
        <f>AZ59</f>
        <v>0</v>
      </c>
      <c r="F545" s="333" t="str">
        <f t="shared" si="19"/>
        <v/>
      </c>
      <c r="G545" s="333" t="str">
        <f t="shared" si="19"/>
        <v/>
      </c>
      <c r="H545" s="334" t="str">
        <f t="shared" si="16"/>
        <v/>
      </c>
      <c r="I545" s="262"/>
      <c r="J545" s="2"/>
      <c r="K545" s="330"/>
      <c r="L545" s="33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</row>
    <row r="546" spans="1:85" ht="12.65" customHeight="1" x14ac:dyDescent="0.3">
      <c r="A546" s="2" t="s">
        <v>560</v>
      </c>
      <c r="B546" s="332">
        <f>'[1]Prior Year'!BA71</f>
        <v>284608</v>
      </c>
      <c r="C546" s="332">
        <f>BA71</f>
        <v>355959</v>
      </c>
      <c r="D546" s="332">
        <f>'[1]Prior Year'!BA59</f>
        <v>0</v>
      </c>
      <c r="E546" s="2">
        <f>BA59</f>
        <v>0</v>
      </c>
      <c r="F546" s="333" t="str">
        <f t="shared" si="19"/>
        <v/>
      </c>
      <c r="G546" s="333" t="str">
        <f t="shared" si="19"/>
        <v/>
      </c>
      <c r="H546" s="334" t="str">
        <f t="shared" si="16"/>
        <v/>
      </c>
      <c r="I546" s="262"/>
      <c r="J546" s="2"/>
      <c r="K546" s="330"/>
      <c r="L546" s="33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</row>
    <row r="547" spans="1:85" ht="12.65" customHeight="1" x14ac:dyDescent="0.3">
      <c r="A547" s="2" t="s">
        <v>561</v>
      </c>
      <c r="B547" s="332">
        <f>'[1]Prior Year'!BB71</f>
        <v>2136</v>
      </c>
      <c r="C547" s="332">
        <f>BB71</f>
        <v>1610</v>
      </c>
      <c r="D547" s="326" t="s">
        <v>529</v>
      </c>
      <c r="E547" s="326" t="s">
        <v>529</v>
      </c>
      <c r="F547" s="333"/>
      <c r="G547" s="333"/>
      <c r="H547" s="334"/>
      <c r="I547" s="262"/>
      <c r="J547" s="2"/>
      <c r="K547" s="330"/>
      <c r="L547" s="33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</row>
    <row r="548" spans="1:85" ht="12.65" customHeight="1" x14ac:dyDescent="0.3">
      <c r="A548" s="2" t="s">
        <v>562</v>
      </c>
      <c r="B548" s="332">
        <f>'[1]Prior Year'!BC71</f>
        <v>0</v>
      </c>
      <c r="C548" s="332">
        <f>BC71</f>
        <v>0</v>
      </c>
      <c r="D548" s="326" t="s">
        <v>529</v>
      </c>
      <c r="E548" s="326" t="s">
        <v>529</v>
      </c>
      <c r="F548" s="333"/>
      <c r="G548" s="333"/>
      <c r="H548" s="334"/>
      <c r="I548" s="262"/>
      <c r="J548" s="2"/>
      <c r="K548" s="330"/>
      <c r="L548" s="33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</row>
    <row r="549" spans="1:85" ht="12.65" customHeight="1" x14ac:dyDescent="0.3">
      <c r="A549" s="2" t="s">
        <v>563</v>
      </c>
      <c r="B549" s="332">
        <f>'[1]Prior Year'!BD71</f>
        <v>694454</v>
      </c>
      <c r="C549" s="332">
        <f>BD71</f>
        <v>721398</v>
      </c>
      <c r="D549" s="326" t="s">
        <v>529</v>
      </c>
      <c r="E549" s="326" t="s">
        <v>529</v>
      </c>
      <c r="F549" s="333"/>
      <c r="G549" s="333"/>
      <c r="H549" s="334"/>
      <c r="I549" s="262"/>
      <c r="J549" s="2"/>
      <c r="K549" s="330"/>
      <c r="L549" s="33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</row>
    <row r="550" spans="1:85" ht="12.65" customHeight="1" x14ac:dyDescent="0.3">
      <c r="A550" s="2" t="s">
        <v>564</v>
      </c>
      <c r="B550" s="332">
        <f>'[1]Prior Year'!BE71</f>
        <v>3081031</v>
      </c>
      <c r="C550" s="332">
        <f>BE71</f>
        <v>3953863</v>
      </c>
      <c r="D550" s="332">
        <f>'[1]Prior Year'!BE59</f>
        <v>170421</v>
      </c>
      <c r="E550" s="2">
        <f>BE59</f>
        <v>228101</v>
      </c>
      <c r="F550" s="333">
        <f t="shared" si="19"/>
        <v>18.078939802019704</v>
      </c>
      <c r="G550" s="333">
        <f t="shared" si="19"/>
        <v>17.333825805235399</v>
      </c>
      <c r="H550" s="334" t="str">
        <f t="shared" si="16"/>
        <v/>
      </c>
      <c r="I550" s="262"/>
      <c r="J550" s="2"/>
      <c r="K550" s="330"/>
      <c r="L550" s="33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</row>
    <row r="551" spans="1:85" ht="12.65" customHeight="1" x14ac:dyDescent="0.3">
      <c r="A551" s="2" t="s">
        <v>565</v>
      </c>
      <c r="B551" s="332">
        <f>'[1]Prior Year'!BF71</f>
        <v>1490617</v>
      </c>
      <c r="C551" s="332">
        <f>BF71</f>
        <v>1552512</v>
      </c>
      <c r="D551" s="326" t="s">
        <v>529</v>
      </c>
      <c r="E551" s="326" t="s">
        <v>529</v>
      </c>
      <c r="F551" s="333"/>
      <c r="G551" s="333"/>
      <c r="H551" s="334"/>
      <c r="I551" s="262"/>
      <c r="J551" s="319"/>
      <c r="K551" s="2"/>
      <c r="L551" s="2"/>
      <c r="M551" s="334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</row>
    <row r="552" spans="1:85" ht="12.65" customHeight="1" x14ac:dyDescent="0.3">
      <c r="A552" s="2" t="s">
        <v>566</v>
      </c>
      <c r="B552" s="332">
        <f>'[1]Prior Year'!BG71</f>
        <v>259648</v>
      </c>
      <c r="C552" s="332">
        <f>BG71</f>
        <v>252910</v>
      </c>
      <c r="D552" s="326" t="s">
        <v>529</v>
      </c>
      <c r="E552" s="326" t="s">
        <v>529</v>
      </c>
      <c r="F552" s="333"/>
      <c r="G552" s="333"/>
      <c r="H552" s="334"/>
      <c r="I552" s="2"/>
      <c r="J552" s="319"/>
      <c r="K552" s="2"/>
      <c r="L552" s="2"/>
      <c r="M552" s="334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</row>
    <row r="553" spans="1:85" ht="12.65" customHeight="1" x14ac:dyDescent="0.3">
      <c r="A553" s="2" t="s">
        <v>567</v>
      </c>
      <c r="B553" s="332">
        <f>'[1]Prior Year'!BH71</f>
        <v>3102039</v>
      </c>
      <c r="C553" s="332">
        <f>BH71</f>
        <v>3829356</v>
      </c>
      <c r="D553" s="326" t="s">
        <v>529</v>
      </c>
      <c r="E553" s="326" t="s">
        <v>529</v>
      </c>
      <c r="F553" s="333"/>
      <c r="G553" s="333"/>
      <c r="H553" s="334"/>
      <c r="I553" s="2"/>
      <c r="J553" s="319"/>
      <c r="K553" s="2"/>
      <c r="L553" s="2"/>
      <c r="M553" s="334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</row>
    <row r="554" spans="1:85" ht="12.65" customHeight="1" x14ac:dyDescent="0.3">
      <c r="A554" s="2" t="s">
        <v>568</v>
      </c>
      <c r="B554" s="332">
        <f>'[1]Prior Year'!BI71</f>
        <v>0</v>
      </c>
      <c r="C554" s="332">
        <f>BI71</f>
        <v>0</v>
      </c>
      <c r="D554" s="326" t="s">
        <v>529</v>
      </c>
      <c r="E554" s="326" t="s">
        <v>529</v>
      </c>
      <c r="F554" s="333"/>
      <c r="G554" s="333"/>
      <c r="H554" s="334"/>
      <c r="I554" s="2"/>
      <c r="J554" s="319"/>
      <c r="K554" s="2"/>
      <c r="L554" s="2"/>
      <c r="M554" s="334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</row>
    <row r="555" spans="1:85" ht="12.65" customHeight="1" x14ac:dyDescent="0.3">
      <c r="A555" s="2" t="s">
        <v>569</v>
      </c>
      <c r="B555" s="332">
        <f>'[1]Prior Year'!BJ71</f>
        <v>1113263</v>
      </c>
      <c r="C555" s="332">
        <f>BJ71</f>
        <v>1098511</v>
      </c>
      <c r="D555" s="326" t="s">
        <v>529</v>
      </c>
      <c r="E555" s="326" t="s">
        <v>529</v>
      </c>
      <c r="F555" s="333"/>
      <c r="G555" s="333"/>
      <c r="H555" s="334"/>
      <c r="I555" s="2"/>
      <c r="J555" s="319"/>
      <c r="K555" s="2"/>
      <c r="L555" s="2"/>
      <c r="M555" s="334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</row>
    <row r="556" spans="1:85" ht="12.65" customHeight="1" x14ac:dyDescent="0.3">
      <c r="A556" s="2" t="s">
        <v>570</v>
      </c>
      <c r="B556" s="332">
        <f>'[1]Prior Year'!BK71</f>
        <v>1364320</v>
      </c>
      <c r="C556" s="332">
        <f>BK71</f>
        <v>1430940</v>
      </c>
      <c r="D556" s="326" t="s">
        <v>529</v>
      </c>
      <c r="E556" s="326" t="s">
        <v>529</v>
      </c>
      <c r="F556" s="333"/>
      <c r="G556" s="333"/>
      <c r="H556" s="334"/>
      <c r="I556" s="2"/>
      <c r="J556" s="319"/>
      <c r="K556" s="2"/>
      <c r="L556" s="2"/>
      <c r="M556" s="334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</row>
    <row r="557" spans="1:85" ht="12.65" customHeight="1" x14ac:dyDescent="0.3">
      <c r="A557" s="2" t="s">
        <v>571</v>
      </c>
      <c r="B557" s="332">
        <f>'[1]Prior Year'!BL71</f>
        <v>827572</v>
      </c>
      <c r="C557" s="332">
        <f>BL71</f>
        <v>915973</v>
      </c>
      <c r="D557" s="326" t="s">
        <v>529</v>
      </c>
      <c r="E557" s="326" t="s">
        <v>529</v>
      </c>
      <c r="F557" s="333"/>
      <c r="G557" s="333"/>
      <c r="H557" s="334"/>
      <c r="I557" s="2"/>
      <c r="J557" s="319"/>
      <c r="K557" s="2"/>
      <c r="L557" s="2"/>
      <c r="M557" s="334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</row>
    <row r="558" spans="1:85" ht="12.65" customHeight="1" x14ac:dyDescent="0.3">
      <c r="A558" s="2" t="s">
        <v>572</v>
      </c>
      <c r="B558" s="332">
        <f>'[1]Prior Year'!BM71</f>
        <v>620369</v>
      </c>
      <c r="C558" s="332">
        <f>BM71</f>
        <v>481741</v>
      </c>
      <c r="D558" s="326" t="s">
        <v>529</v>
      </c>
      <c r="E558" s="326" t="s">
        <v>529</v>
      </c>
      <c r="F558" s="333"/>
      <c r="G558" s="333"/>
      <c r="H558" s="334"/>
      <c r="I558" s="2"/>
      <c r="J558" s="319"/>
      <c r="K558" s="2"/>
      <c r="L558" s="2"/>
      <c r="M558" s="334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</row>
    <row r="559" spans="1:85" ht="12.65" customHeight="1" x14ac:dyDescent="0.3">
      <c r="A559" s="2" t="s">
        <v>573</v>
      </c>
      <c r="B559" s="332">
        <f>'[1]Prior Year'!BN71</f>
        <v>2246562</v>
      </c>
      <c r="C559" s="332">
        <f>BN71</f>
        <v>2414602</v>
      </c>
      <c r="D559" s="326" t="s">
        <v>529</v>
      </c>
      <c r="E559" s="326" t="s">
        <v>529</v>
      </c>
      <c r="F559" s="333"/>
      <c r="G559" s="333"/>
      <c r="H559" s="334"/>
      <c r="I559" s="2"/>
      <c r="J559" s="319"/>
      <c r="K559" s="2"/>
      <c r="L559" s="2"/>
      <c r="M559" s="334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</row>
    <row r="560" spans="1:85" ht="12.65" customHeight="1" x14ac:dyDescent="0.3">
      <c r="A560" s="2" t="s">
        <v>574</v>
      </c>
      <c r="B560" s="332">
        <f>'[1]Prior Year'!BO71</f>
        <v>143607</v>
      </c>
      <c r="C560" s="332">
        <f>BO71</f>
        <v>85308</v>
      </c>
      <c r="D560" s="326" t="s">
        <v>529</v>
      </c>
      <c r="E560" s="326" t="s">
        <v>529</v>
      </c>
      <c r="F560" s="333"/>
      <c r="G560" s="333"/>
      <c r="H560" s="334"/>
      <c r="I560" s="2"/>
      <c r="J560" s="319"/>
      <c r="K560" s="2"/>
      <c r="L560" s="2"/>
      <c r="M560" s="334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</row>
    <row r="561" spans="1:85" ht="12.65" customHeight="1" x14ac:dyDescent="0.3">
      <c r="A561" s="2" t="s">
        <v>575</v>
      </c>
      <c r="B561" s="332">
        <f>'[1]Prior Year'!BP71</f>
        <v>403042</v>
      </c>
      <c r="C561" s="332">
        <f>BP71</f>
        <v>387033</v>
      </c>
      <c r="D561" s="326" t="s">
        <v>529</v>
      </c>
      <c r="E561" s="326" t="s">
        <v>529</v>
      </c>
      <c r="F561" s="333"/>
      <c r="G561" s="333"/>
      <c r="H561" s="334"/>
      <c r="I561" s="2"/>
      <c r="J561" s="319"/>
      <c r="K561" s="2"/>
      <c r="L561" s="2"/>
      <c r="M561" s="334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</row>
    <row r="562" spans="1:85" ht="12.65" customHeight="1" x14ac:dyDescent="0.3">
      <c r="A562" s="2" t="s">
        <v>576</v>
      </c>
      <c r="B562" s="332">
        <f>'[1]Prior Year'!BQ71</f>
        <v>0</v>
      </c>
      <c r="C562" s="332">
        <f>BQ71</f>
        <v>0</v>
      </c>
      <c r="D562" s="326" t="s">
        <v>529</v>
      </c>
      <c r="E562" s="326" t="s">
        <v>529</v>
      </c>
      <c r="F562" s="333"/>
      <c r="G562" s="333"/>
      <c r="H562" s="334"/>
      <c r="I562" s="2"/>
      <c r="J562" s="319"/>
      <c r="K562" s="2"/>
      <c r="L562" s="2"/>
      <c r="M562" s="334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</row>
    <row r="563" spans="1:85" ht="12.65" customHeight="1" x14ac:dyDescent="0.3">
      <c r="A563" s="2" t="s">
        <v>577</v>
      </c>
      <c r="B563" s="332">
        <f>'[1]Prior Year'!BR71</f>
        <v>1088075</v>
      </c>
      <c r="C563" s="332">
        <f>BR71</f>
        <v>1195135</v>
      </c>
      <c r="D563" s="326" t="s">
        <v>529</v>
      </c>
      <c r="E563" s="326" t="s">
        <v>529</v>
      </c>
      <c r="F563" s="333"/>
      <c r="G563" s="333"/>
      <c r="H563" s="334"/>
      <c r="I563" s="2"/>
      <c r="J563" s="319"/>
      <c r="K563" s="2"/>
      <c r="L563" s="2"/>
      <c r="M563" s="334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</row>
    <row r="564" spans="1:85" ht="12.65" customHeight="1" x14ac:dyDescent="0.3">
      <c r="A564" s="2" t="s">
        <v>1248</v>
      </c>
      <c r="B564" s="332">
        <f>'[1]Prior Year'!BS71</f>
        <v>89560</v>
      </c>
      <c r="C564" s="332">
        <f>BS71</f>
        <v>108255</v>
      </c>
      <c r="D564" s="326" t="s">
        <v>529</v>
      </c>
      <c r="E564" s="326" t="s">
        <v>529</v>
      </c>
      <c r="F564" s="333"/>
      <c r="G564" s="333"/>
      <c r="H564" s="334"/>
      <c r="I564" s="2"/>
      <c r="J564" s="319"/>
      <c r="K564" s="2"/>
      <c r="L564" s="2"/>
      <c r="M564" s="334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</row>
    <row r="565" spans="1:85" ht="12.65" customHeight="1" x14ac:dyDescent="0.3">
      <c r="A565" s="2" t="s">
        <v>578</v>
      </c>
      <c r="B565" s="332">
        <f>'[1]Prior Year'!BT71</f>
        <v>0</v>
      </c>
      <c r="C565" s="332">
        <f>BT71</f>
        <v>0</v>
      </c>
      <c r="D565" s="326" t="s">
        <v>529</v>
      </c>
      <c r="E565" s="326" t="s">
        <v>529</v>
      </c>
      <c r="F565" s="333"/>
      <c r="G565" s="333"/>
      <c r="H565" s="334"/>
      <c r="I565" s="2"/>
      <c r="J565" s="319"/>
      <c r="K565" s="2"/>
      <c r="L565" s="2"/>
      <c r="M565" s="334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</row>
    <row r="566" spans="1:85" ht="12.65" customHeight="1" x14ac:dyDescent="0.3">
      <c r="A566" s="2" t="s">
        <v>579</v>
      </c>
      <c r="B566" s="332">
        <f>'[1]Prior Year'!BU71</f>
        <v>0</v>
      </c>
      <c r="C566" s="332">
        <f>BU71</f>
        <v>0</v>
      </c>
      <c r="D566" s="326" t="s">
        <v>529</v>
      </c>
      <c r="E566" s="326" t="s">
        <v>529</v>
      </c>
      <c r="F566" s="333"/>
      <c r="G566" s="333"/>
      <c r="H566" s="334"/>
      <c r="I566" s="2"/>
      <c r="J566" s="319"/>
      <c r="K566" s="2"/>
      <c r="L566" s="2"/>
      <c r="M566" s="334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</row>
    <row r="567" spans="1:85" ht="12.65" customHeight="1" x14ac:dyDescent="0.3">
      <c r="A567" s="2" t="s">
        <v>580</v>
      </c>
      <c r="B567" s="332">
        <f>'[1]Prior Year'!BV71</f>
        <v>885107</v>
      </c>
      <c r="C567" s="332">
        <f>BV71</f>
        <v>894369</v>
      </c>
      <c r="D567" s="326" t="s">
        <v>529</v>
      </c>
      <c r="E567" s="326" t="s">
        <v>529</v>
      </c>
      <c r="F567" s="333"/>
      <c r="G567" s="333"/>
      <c r="H567" s="334"/>
      <c r="I567" s="2"/>
      <c r="J567" s="319"/>
      <c r="K567" s="2"/>
      <c r="L567" s="2"/>
      <c r="M567" s="334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</row>
    <row r="568" spans="1:85" ht="12.65" customHeight="1" x14ac:dyDescent="0.3">
      <c r="A568" s="2" t="s">
        <v>581</v>
      </c>
      <c r="B568" s="332">
        <f>'[1]Prior Year'!BW71</f>
        <v>536867</v>
      </c>
      <c r="C568" s="332">
        <f>BW71</f>
        <v>908498</v>
      </c>
      <c r="D568" s="326" t="s">
        <v>529</v>
      </c>
      <c r="E568" s="326" t="s">
        <v>529</v>
      </c>
      <c r="F568" s="333"/>
      <c r="G568" s="333"/>
      <c r="H568" s="334"/>
      <c r="I568" s="2"/>
      <c r="J568" s="319"/>
      <c r="K568" s="2"/>
      <c r="L568" s="2"/>
      <c r="M568" s="334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</row>
    <row r="569" spans="1:85" ht="12.65" customHeight="1" x14ac:dyDescent="0.3">
      <c r="A569" s="2" t="s">
        <v>582</v>
      </c>
      <c r="B569" s="332">
        <f>'[1]Prior Year'!BX71</f>
        <v>478940</v>
      </c>
      <c r="C569" s="332">
        <f>BX71</f>
        <v>538096</v>
      </c>
      <c r="D569" s="326" t="s">
        <v>529</v>
      </c>
      <c r="E569" s="326" t="s">
        <v>529</v>
      </c>
      <c r="F569" s="333"/>
      <c r="G569" s="333"/>
      <c r="H569" s="334"/>
      <c r="I569" s="2"/>
      <c r="J569" s="319"/>
      <c r="K569" s="2"/>
      <c r="L569" s="2"/>
      <c r="M569" s="334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</row>
    <row r="570" spans="1:85" ht="12.65" customHeight="1" x14ac:dyDescent="0.3">
      <c r="A570" s="2" t="s">
        <v>583</v>
      </c>
      <c r="B570" s="332">
        <f>'[1]Prior Year'!BY71</f>
        <v>1495548</v>
      </c>
      <c r="C570" s="332">
        <f>BY71</f>
        <v>1425827</v>
      </c>
      <c r="D570" s="326" t="s">
        <v>529</v>
      </c>
      <c r="E570" s="326" t="s">
        <v>529</v>
      </c>
      <c r="F570" s="333"/>
      <c r="G570" s="333"/>
      <c r="H570" s="334"/>
      <c r="I570" s="2"/>
      <c r="J570" s="319"/>
      <c r="K570" s="2"/>
      <c r="L570" s="2"/>
      <c r="M570" s="334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</row>
    <row r="571" spans="1:85" ht="12.65" customHeight="1" x14ac:dyDescent="0.3">
      <c r="A571" s="2" t="s">
        <v>584</v>
      </c>
      <c r="B571" s="332">
        <f>'[1]Prior Year'!BZ71</f>
        <v>0</v>
      </c>
      <c r="C571" s="332">
        <f>BZ71</f>
        <v>0</v>
      </c>
      <c r="D571" s="326" t="s">
        <v>529</v>
      </c>
      <c r="E571" s="326" t="s">
        <v>529</v>
      </c>
      <c r="F571" s="333"/>
      <c r="G571" s="333"/>
      <c r="H571" s="334"/>
      <c r="I571" s="2"/>
      <c r="J571" s="319"/>
      <c r="K571" s="2"/>
      <c r="L571" s="2"/>
      <c r="M571" s="334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</row>
    <row r="572" spans="1:85" ht="12.65" customHeight="1" x14ac:dyDescent="0.3">
      <c r="A572" s="2" t="s">
        <v>585</v>
      </c>
      <c r="B572" s="332">
        <f>'[1]Prior Year'!CA71</f>
        <v>0</v>
      </c>
      <c r="C572" s="332">
        <f>CA71</f>
        <v>0</v>
      </c>
      <c r="D572" s="326" t="s">
        <v>529</v>
      </c>
      <c r="E572" s="326" t="s">
        <v>529</v>
      </c>
      <c r="F572" s="333"/>
      <c r="G572" s="333"/>
      <c r="H572" s="334"/>
      <c r="I572" s="2"/>
      <c r="J572" s="319"/>
      <c r="K572" s="2"/>
      <c r="L572" s="2"/>
      <c r="M572" s="334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</row>
    <row r="573" spans="1:85" ht="12.65" customHeight="1" x14ac:dyDescent="0.3">
      <c r="A573" s="2" t="s">
        <v>586</v>
      </c>
      <c r="B573" s="332">
        <f>'[1]Prior Year'!CB71</f>
        <v>121696</v>
      </c>
      <c r="C573" s="332">
        <f>CB71</f>
        <v>103848</v>
      </c>
      <c r="D573" s="326" t="s">
        <v>529</v>
      </c>
      <c r="E573" s="326" t="s">
        <v>529</v>
      </c>
      <c r="F573" s="333"/>
      <c r="G573" s="333"/>
      <c r="H573" s="334"/>
      <c r="I573" s="2"/>
      <c r="J573" s="319"/>
      <c r="K573" s="2"/>
      <c r="L573" s="2"/>
      <c r="M573" s="334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</row>
    <row r="574" spans="1:85" ht="12.65" customHeight="1" x14ac:dyDescent="0.3">
      <c r="A574" s="2" t="s">
        <v>587</v>
      </c>
      <c r="B574" s="332">
        <f>'[1]Prior Year'!CC71</f>
        <v>1690440</v>
      </c>
      <c r="C574" s="332">
        <f>CC71</f>
        <v>2277279</v>
      </c>
      <c r="D574" s="326" t="s">
        <v>529</v>
      </c>
      <c r="E574" s="326" t="s">
        <v>529</v>
      </c>
      <c r="F574" s="333"/>
      <c r="G574" s="333"/>
      <c r="H574" s="334"/>
      <c r="I574" s="2"/>
      <c r="J574" s="319"/>
      <c r="K574" s="2"/>
      <c r="L574" s="2"/>
      <c r="M574" s="334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</row>
    <row r="575" spans="1:85" ht="12.65" customHeight="1" x14ac:dyDescent="0.3">
      <c r="A575" s="2" t="s">
        <v>588</v>
      </c>
      <c r="B575" s="332">
        <f>'[1]Prior Year'!CD71</f>
        <v>-1166625</v>
      </c>
      <c r="C575" s="332">
        <f>CD71</f>
        <v>-1333823</v>
      </c>
      <c r="D575" s="326" t="s">
        <v>529</v>
      </c>
      <c r="E575" s="326" t="s">
        <v>529</v>
      </c>
      <c r="F575" s="333"/>
      <c r="G575" s="333"/>
      <c r="H575" s="33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</row>
    <row r="576" spans="1:85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4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</row>
    <row r="577" spans="1:85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4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</row>
    <row r="578" spans="1:85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4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</row>
    <row r="579" spans="1:85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</row>
    <row r="580" spans="1:85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</row>
    <row r="581" spans="1:85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</row>
    <row r="582" spans="1:85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</row>
    <row r="583" spans="1:85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</row>
    <row r="584" spans="1:85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</row>
    <row r="585" spans="1:85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</row>
    <row r="586" spans="1:85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</row>
    <row r="587" spans="1:85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</row>
    <row r="588" spans="1:85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</row>
    <row r="589" spans="1:85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</row>
    <row r="590" spans="1:85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</row>
    <row r="591" spans="1:85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</row>
    <row r="592" spans="1:85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</row>
    <row r="593" spans="1:85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</row>
    <row r="594" spans="1:85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</row>
    <row r="595" spans="1:85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</row>
    <row r="596" spans="1:85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</row>
    <row r="597" spans="1:85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</row>
    <row r="598" spans="1:85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</row>
    <row r="599" spans="1:85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</row>
    <row r="600" spans="1:85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</row>
    <row r="601" spans="1:85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</row>
    <row r="602" spans="1:85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</row>
    <row r="603" spans="1:85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</row>
    <row r="604" spans="1:85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</row>
    <row r="605" spans="1:85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</row>
    <row r="606" spans="1:85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</row>
    <row r="607" spans="1:85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</row>
    <row r="608" spans="1:85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</row>
    <row r="609" spans="1:85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</row>
    <row r="610" spans="1:85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</row>
    <row r="611" spans="1:85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</row>
    <row r="612" spans="1:85" ht="12.65" customHeight="1" x14ac:dyDescent="0.3">
      <c r="A612" s="335"/>
      <c r="B612" s="2"/>
      <c r="C612" s="326" t="s">
        <v>589</v>
      </c>
      <c r="D612" s="2">
        <f>CE76-(BE76+CD76)</f>
        <v>168579.39999999997</v>
      </c>
      <c r="E612" s="2">
        <f>SUM(C624:D647)+SUM(C668:D713)</f>
        <v>108934267.58602555</v>
      </c>
      <c r="F612" s="2">
        <f>CE64-(AX64+BD64+BE64+BG64+BJ64+BN64+BP64+BQ64+CB64+CC64+CD64)</f>
        <v>23113466</v>
      </c>
      <c r="G612" s="2">
        <f>CE77-(AX77+AY77+BD77+BE77+BG77+BJ77+BN77+BP77+BQ77+CB77+CC77+CD77)</f>
        <v>15632</v>
      </c>
      <c r="H612" s="325">
        <f>CE60-(AX60+AY60+AZ60+BD60+BE60+BG60+BJ60+BN60+BO60+BP60+BQ60+BR60+CB60+CC60+CD60)</f>
        <v>567.71461026258612</v>
      </c>
      <c r="I612" s="2">
        <f>CE78-(AX78+AY78+AZ78+BD78+BE78+BF78+BG78+BJ78+BN78+BO78+BP78+BQ78+BR78+CB78+CC78+CD78)</f>
        <v>92428.88</v>
      </c>
      <c r="J612" s="2">
        <f>CE79-(AX79+AY79+AZ79+BA79+BD79+BE79+BF79+BG79+BJ79+BN79+BO79+BP79+BQ79+BR79+CB79+CC79+CD79)</f>
        <v>286110</v>
      </c>
      <c r="K612" s="2">
        <f>CE75-(AW75+AX75+AY75+AZ75+BA75+BB75+BC75+BD75+BE75+BF75+BG75+BH75+BI75+BJ75+BK75+BL75+BM75+BN75+BO75+BP75+BQ75+BR75+BS75+BT75+BU75+BV75+BW75+BX75+CB75+CC75+CD75)</f>
        <v>261404232</v>
      </c>
      <c r="L612" s="325">
        <f>CE80-(AW80+AX80+AY80+AZ80+BA80+BB80+BC80+BD80+BE80+BF80+BG80+BH80+BI80+BJ80+BK80+BL80+BM80+BN80+BO80+BP80+BQ80+BR80+BS80+BT80+BU80+BV80+BW80+BX80+BY80+BZ80+CA80+CB80+CC80+CD80)</f>
        <v>113.2860336538462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</row>
    <row r="613" spans="1:85" ht="12.65" customHeight="1" x14ac:dyDescent="0.3">
      <c r="A613" s="335"/>
      <c r="B613" s="2"/>
      <c r="C613" s="326" t="s">
        <v>590</v>
      </c>
      <c r="D613" s="326" t="s">
        <v>591</v>
      </c>
      <c r="E613" s="329" t="s">
        <v>592</v>
      </c>
      <c r="F613" s="326" t="s">
        <v>593</v>
      </c>
      <c r="G613" s="326" t="s">
        <v>594</v>
      </c>
      <c r="H613" s="326" t="s">
        <v>595</v>
      </c>
      <c r="I613" s="326" t="s">
        <v>596</v>
      </c>
      <c r="J613" s="326" t="s">
        <v>597</v>
      </c>
      <c r="K613" s="326" t="s">
        <v>598</v>
      </c>
      <c r="L613" s="329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</row>
    <row r="614" spans="1:85" ht="12.65" customHeight="1" x14ac:dyDescent="0.3">
      <c r="A614" s="335">
        <v>8430</v>
      </c>
      <c r="B614" s="329" t="s">
        <v>140</v>
      </c>
      <c r="C614" s="2">
        <f>BE71</f>
        <v>3953863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19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</row>
    <row r="615" spans="1:85" ht="12.65" customHeight="1" x14ac:dyDescent="0.3">
      <c r="A615" s="335"/>
      <c r="B615" s="329" t="s">
        <v>601</v>
      </c>
      <c r="C615" s="336">
        <f>CD69-CD70</f>
        <v>-1333823</v>
      </c>
      <c r="D615" s="337">
        <f>SUM(C614:C615)</f>
        <v>2620040</v>
      </c>
      <c r="E615" s="2"/>
      <c r="F615" s="2"/>
      <c r="G615" s="2"/>
      <c r="H615" s="2"/>
      <c r="I615" s="2"/>
      <c r="J615" s="2"/>
      <c r="K615" s="2"/>
      <c r="L615" s="2"/>
      <c r="M615" s="2"/>
      <c r="N615" s="319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</row>
    <row r="616" spans="1:85" ht="12.65" customHeight="1" x14ac:dyDescent="0.3">
      <c r="A616" s="335">
        <v>8310</v>
      </c>
      <c r="B616" s="338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19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</row>
    <row r="617" spans="1:85" ht="12.65" customHeight="1" x14ac:dyDescent="0.3">
      <c r="A617" s="335">
        <v>8510</v>
      </c>
      <c r="B617" s="338" t="s">
        <v>145</v>
      </c>
      <c r="C617" s="2">
        <f>BJ71</f>
        <v>1098511</v>
      </c>
      <c r="D617" s="2">
        <f>(D615/D612)*BJ76</f>
        <v>17073.682445186067</v>
      </c>
      <c r="E617" s="2"/>
      <c r="F617" s="2"/>
      <c r="G617" s="2"/>
      <c r="H617" s="2"/>
      <c r="I617" s="2"/>
      <c r="J617" s="2"/>
      <c r="K617" s="2"/>
      <c r="L617" s="2"/>
      <c r="M617" s="2"/>
      <c r="N617" s="319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</row>
    <row r="618" spans="1:85" ht="12.65" customHeight="1" x14ac:dyDescent="0.3">
      <c r="A618" s="335">
        <v>8470</v>
      </c>
      <c r="B618" s="338" t="s">
        <v>606</v>
      </c>
      <c r="C618" s="2">
        <f>BG71</f>
        <v>252910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19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</row>
    <row r="619" spans="1:85" ht="12.65" customHeight="1" x14ac:dyDescent="0.3">
      <c r="A619" s="335">
        <v>8610</v>
      </c>
      <c r="B619" s="338" t="s">
        <v>608</v>
      </c>
      <c r="C619" s="2">
        <f>BN71</f>
        <v>2414602</v>
      </c>
      <c r="D619" s="2">
        <f>(D615/D612)*BN76</f>
        <v>137095.83975938545</v>
      </c>
      <c r="E619" s="2"/>
      <c r="F619" s="2"/>
      <c r="G619" s="2"/>
      <c r="H619" s="2"/>
      <c r="I619" s="2"/>
      <c r="J619" s="2"/>
      <c r="K619" s="2"/>
      <c r="L619" s="2"/>
      <c r="M619" s="2"/>
      <c r="N619" s="319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</row>
    <row r="620" spans="1:85" ht="12.65" customHeight="1" x14ac:dyDescent="0.3">
      <c r="A620" s="335">
        <v>8790</v>
      </c>
      <c r="B620" s="338" t="s">
        <v>610</v>
      </c>
      <c r="C620" s="2">
        <f>CC71</f>
        <v>2277279</v>
      </c>
      <c r="D620" s="2">
        <f>(D615/D612)*CC76</f>
        <v>43249.218035141508</v>
      </c>
      <c r="E620" s="2"/>
      <c r="F620" s="2"/>
      <c r="G620" s="2"/>
      <c r="H620" s="2"/>
      <c r="I620" s="2"/>
      <c r="J620" s="2"/>
      <c r="K620" s="2"/>
      <c r="L620" s="2"/>
      <c r="M620" s="2"/>
      <c r="N620" s="319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</row>
    <row r="621" spans="1:85" ht="12.65" customHeight="1" x14ac:dyDescent="0.3">
      <c r="A621" s="335">
        <v>8630</v>
      </c>
      <c r="B621" s="338" t="s">
        <v>612</v>
      </c>
      <c r="C621" s="2">
        <f>BP71</f>
        <v>387033</v>
      </c>
      <c r="D621" s="2">
        <f>(D615/D612)*BP76</f>
        <v>4490.0477519791857</v>
      </c>
      <c r="E621" s="2"/>
      <c r="F621" s="2"/>
      <c r="G621" s="2"/>
      <c r="H621" s="2"/>
      <c r="I621" s="2"/>
      <c r="J621" s="2"/>
      <c r="K621" s="2"/>
      <c r="L621" s="2"/>
      <c r="M621" s="2"/>
      <c r="N621" s="319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</row>
    <row r="622" spans="1:85" ht="12.65" customHeight="1" x14ac:dyDescent="0.3">
      <c r="A622" s="335">
        <v>8770</v>
      </c>
      <c r="B622" s="329" t="s">
        <v>614</v>
      </c>
      <c r="C622" s="2">
        <f>CB71</f>
        <v>103848</v>
      </c>
      <c r="D622" s="2">
        <f>(D615/D612)*CB76</f>
        <v>24913.625982771326</v>
      </c>
      <c r="E622" s="2"/>
      <c r="F622" s="2"/>
      <c r="G622" s="2"/>
      <c r="H622" s="2"/>
      <c r="I622" s="2"/>
      <c r="J622" s="2"/>
      <c r="K622" s="2"/>
      <c r="L622" s="2"/>
      <c r="M622" s="2"/>
      <c r="N622" s="319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</row>
    <row r="623" spans="1:85" ht="12.65" customHeight="1" x14ac:dyDescent="0.3">
      <c r="A623" s="335">
        <v>8640</v>
      </c>
      <c r="B623" s="338" t="s">
        <v>616</v>
      </c>
      <c r="C623" s="2">
        <f>BQ71</f>
        <v>0</v>
      </c>
      <c r="D623" s="2">
        <f>(D615/D612)*BQ76</f>
        <v>0</v>
      </c>
      <c r="E623" s="2">
        <f>SUM(C616:D623)</f>
        <v>6761005.4139744639</v>
      </c>
      <c r="F623" s="2"/>
      <c r="G623" s="2"/>
      <c r="H623" s="2"/>
      <c r="I623" s="2"/>
      <c r="J623" s="2"/>
      <c r="K623" s="2"/>
      <c r="L623" s="2"/>
      <c r="M623" s="2"/>
      <c r="N623" s="319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</row>
    <row r="624" spans="1:85" ht="12.65" customHeight="1" x14ac:dyDescent="0.3">
      <c r="A624" s="335">
        <v>8420</v>
      </c>
      <c r="B624" s="338" t="s">
        <v>139</v>
      </c>
      <c r="C624" s="2">
        <f>BD71</f>
        <v>721398</v>
      </c>
      <c r="D624" s="2">
        <f>(D615/D612)*BD76</f>
        <v>36582.465900341333</v>
      </c>
      <c r="E624" s="2">
        <f>(E623/E612)*SUM(C624:D624)</f>
        <v>47044.058285810781</v>
      </c>
      <c r="F624" s="2">
        <f>SUM(C624:E624)</f>
        <v>805024.52418615203</v>
      </c>
      <c r="G624" s="2"/>
      <c r="H624" s="2"/>
      <c r="I624" s="2"/>
      <c r="J624" s="2"/>
      <c r="K624" s="2"/>
      <c r="L624" s="2"/>
      <c r="M624" s="2"/>
      <c r="N624" s="319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</row>
    <row r="625" spans="1:85" ht="12.65" customHeight="1" x14ac:dyDescent="0.3">
      <c r="A625" s="335">
        <v>8320</v>
      </c>
      <c r="B625" s="338" t="s">
        <v>135</v>
      </c>
      <c r="C625" s="2">
        <f>AY71</f>
        <v>664586</v>
      </c>
      <c r="D625" s="2">
        <f>(D615/D612)*AY76</f>
        <v>90023.203855275337</v>
      </c>
      <c r="E625" s="2">
        <f>(E623/E612)*SUM(C625:D625)</f>
        <v>46834.820904005115</v>
      </c>
      <c r="F625" s="2">
        <f>(F624/F612)*AY64</f>
        <v>12018.979666646703</v>
      </c>
      <c r="G625" s="2">
        <f>SUM(C625:F625)</f>
        <v>813463.00442592707</v>
      </c>
      <c r="H625" s="2"/>
      <c r="I625" s="2"/>
      <c r="J625" s="2"/>
      <c r="K625" s="2"/>
      <c r="L625" s="2"/>
      <c r="M625" s="2"/>
      <c r="N625" s="319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</row>
    <row r="626" spans="1:85" ht="12.65" customHeight="1" x14ac:dyDescent="0.3">
      <c r="A626" s="335">
        <v>8650</v>
      </c>
      <c r="B626" s="338" t="s">
        <v>152</v>
      </c>
      <c r="C626" s="2">
        <f>BR71</f>
        <v>1195135</v>
      </c>
      <c r="D626" s="2">
        <f>(D615/D612)*BR76</f>
        <v>40213.047952478191</v>
      </c>
      <c r="E626" s="2">
        <f>(E623/E612)*SUM(C626:D626)</f>
        <v>76671.877687650034</v>
      </c>
      <c r="F626" s="2">
        <f>(F624/F612)*BR64</f>
        <v>1058.1472319772156</v>
      </c>
      <c r="G626" s="2">
        <f>(G625/G612)*BR77</f>
        <v>0</v>
      </c>
      <c r="H626" s="2"/>
      <c r="I626" s="2"/>
      <c r="J626" s="2"/>
      <c r="K626" s="2"/>
      <c r="L626" s="2"/>
      <c r="M626" s="2"/>
      <c r="N626" s="319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</row>
    <row r="627" spans="1:85" ht="12.65" customHeight="1" x14ac:dyDescent="0.3">
      <c r="A627" s="335">
        <v>8620</v>
      </c>
      <c r="B627" s="329" t="s">
        <v>621</v>
      </c>
      <c r="C627" s="2">
        <f>BO71</f>
        <v>85308</v>
      </c>
      <c r="D627" s="2">
        <f>(D615/D612)*BO76</f>
        <v>3776.6756792348301</v>
      </c>
      <c r="E627" s="2">
        <f>(E623/E612)*SUM(C627:D627)</f>
        <v>5529.0404747415887</v>
      </c>
      <c r="F627" s="2">
        <f>(F624/F612)*BO64</f>
        <v>1647.318706784713</v>
      </c>
      <c r="G627" s="2">
        <f>(G625/G612)*BO77</f>
        <v>0</v>
      </c>
      <c r="H627" s="2"/>
      <c r="I627" s="2"/>
      <c r="J627" s="2"/>
      <c r="K627" s="2"/>
      <c r="L627" s="2"/>
      <c r="M627" s="2"/>
      <c r="N627" s="319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</row>
    <row r="628" spans="1:85" ht="12.65" customHeight="1" x14ac:dyDescent="0.3">
      <c r="A628" s="335">
        <v>8330</v>
      </c>
      <c r="B628" s="338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1409339.1077328664</v>
      </c>
      <c r="I628" s="2"/>
      <c r="J628" s="2"/>
      <c r="K628" s="2"/>
      <c r="L628" s="2"/>
      <c r="M628" s="2"/>
      <c r="N628" s="319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</row>
    <row r="629" spans="1:85" ht="12.65" customHeight="1" x14ac:dyDescent="0.3">
      <c r="A629" s="335">
        <v>8460</v>
      </c>
      <c r="B629" s="338" t="s">
        <v>141</v>
      </c>
      <c r="C629" s="2">
        <f>BF71</f>
        <v>1552512</v>
      </c>
      <c r="D629" s="2">
        <f>(D615/D612)*BF76</f>
        <v>42925.62324143204</v>
      </c>
      <c r="E629" s="2">
        <f>(E623/E612)*SUM(C629:D629)</f>
        <v>99020.837496112508</v>
      </c>
      <c r="F629" s="2">
        <f>(F624/F612)*BF64</f>
        <v>6074.7075908651486</v>
      </c>
      <c r="G629" s="2">
        <f>(G625/G612)*BF77</f>
        <v>0</v>
      </c>
      <c r="H629" s="2">
        <f>(H628/H612)*BF60</f>
        <v>62212.203014023929</v>
      </c>
      <c r="I629" s="2">
        <f>SUM(C629:H629)</f>
        <v>1762745.3713424336</v>
      </c>
      <c r="J629" s="2"/>
      <c r="K629" s="2"/>
      <c r="L629" s="2"/>
      <c r="M629" s="2"/>
      <c r="N629" s="319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</row>
    <row r="630" spans="1:85" ht="12.65" customHeight="1" x14ac:dyDescent="0.3">
      <c r="A630" s="335">
        <v>8350</v>
      </c>
      <c r="B630" s="338" t="s">
        <v>625</v>
      </c>
      <c r="C630" s="2">
        <f>BA71</f>
        <v>355959</v>
      </c>
      <c r="D630" s="2">
        <f>(D615/D612)*BA76</f>
        <v>0</v>
      </c>
      <c r="E630" s="2">
        <f>(E623/E612)*SUM(C630:D630)</f>
        <v>22092.595649504034</v>
      </c>
      <c r="F630" s="2">
        <f>(F624/F612)*BA64</f>
        <v>2029.6741365811606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380081.26978608518</v>
      </c>
      <c r="K630" s="2"/>
      <c r="L630" s="2"/>
      <c r="M630" s="2"/>
      <c r="N630" s="319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</row>
    <row r="631" spans="1:85" ht="12.65" customHeight="1" x14ac:dyDescent="0.3">
      <c r="A631" s="335">
        <v>8200</v>
      </c>
      <c r="B631" s="338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19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</row>
    <row r="632" spans="1:85" ht="12.65" customHeight="1" x14ac:dyDescent="0.3">
      <c r="A632" s="335">
        <v>8360</v>
      </c>
      <c r="B632" s="338" t="s">
        <v>629</v>
      </c>
      <c r="C632" s="2">
        <f>BB71</f>
        <v>1610</v>
      </c>
      <c r="D632" s="2">
        <f>(D615/D612)*BB76</f>
        <v>1202.941142274798</v>
      </c>
      <c r="E632" s="2">
        <f>(E623/E612)*SUM(C632:D632)</f>
        <v>174.58519448063149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19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</row>
    <row r="633" spans="1:85" ht="12.65" customHeight="1" x14ac:dyDescent="0.3">
      <c r="A633" s="335">
        <v>8370</v>
      </c>
      <c r="B633" s="338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19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</row>
    <row r="634" spans="1:85" ht="12.65" customHeight="1" x14ac:dyDescent="0.3">
      <c r="A634" s="335">
        <v>8490</v>
      </c>
      <c r="B634" s="338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19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</row>
    <row r="635" spans="1:85" ht="12.65" customHeight="1" x14ac:dyDescent="0.3">
      <c r="A635" s="335">
        <v>8530</v>
      </c>
      <c r="B635" s="338" t="s">
        <v>635</v>
      </c>
      <c r="C635" s="2">
        <f>BK71</f>
        <v>1430940</v>
      </c>
      <c r="D635" s="2">
        <f>(D615/D612)*BK76</f>
        <v>62465.51635015905</v>
      </c>
      <c r="E635" s="2">
        <f>(E623/E612)*SUM(C635:D635)</f>
        <v>92688.214691756191</v>
      </c>
      <c r="F635" s="2">
        <f>(F624/F612)*BK64</f>
        <v>709.33236320226365</v>
      </c>
      <c r="G635" s="2">
        <f>(G625/G612)*BK77</f>
        <v>0</v>
      </c>
      <c r="H635" s="2">
        <f>(H628/H612)*BK60</f>
        <v>35751.81467210385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19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</row>
    <row r="636" spans="1:85" ht="12.65" customHeight="1" x14ac:dyDescent="0.3">
      <c r="A636" s="335">
        <v>8480</v>
      </c>
      <c r="B636" s="338" t="s">
        <v>637</v>
      </c>
      <c r="C636" s="2">
        <f>BH71</f>
        <v>3829356</v>
      </c>
      <c r="D636" s="2">
        <f>(D615/D612)*BH76</f>
        <v>58597.014091480545</v>
      </c>
      <c r="E636" s="2">
        <f>(E623/E612)*SUM(C636:D636)</f>
        <v>241305.80725474993</v>
      </c>
      <c r="F636" s="2">
        <f>(F624/F612)*BH64</f>
        <v>13567.522640246616</v>
      </c>
      <c r="G636" s="2">
        <f>(G625/G612)*BH77</f>
        <v>0</v>
      </c>
      <c r="H636" s="2">
        <f>(H628/H612)*BH60</f>
        <v>36648.263784164359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19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</row>
    <row r="637" spans="1:85" ht="12.65" customHeight="1" x14ac:dyDescent="0.3">
      <c r="A637" s="335">
        <v>8560</v>
      </c>
      <c r="B637" s="338" t="s">
        <v>147</v>
      </c>
      <c r="C637" s="2">
        <f>BL71</f>
        <v>915973</v>
      </c>
      <c r="D637" s="2">
        <f>(D615/D612)*BL76</f>
        <v>28143.745716657362</v>
      </c>
      <c r="E637" s="2">
        <f>(E623/E612)*SUM(C637:D637)</f>
        <v>58596.606657069293</v>
      </c>
      <c r="F637" s="2">
        <f>(F624/F612)*BL64</f>
        <v>602.09312396531141</v>
      </c>
      <c r="G637" s="2">
        <f>(G625/G612)*BL77</f>
        <v>0</v>
      </c>
      <c r="H637" s="2">
        <f>(H628/H612)*BL60</f>
        <v>35137.055218586735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19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</row>
    <row r="638" spans="1:85" ht="12.65" customHeight="1" x14ac:dyDescent="0.3">
      <c r="A638" s="335">
        <v>8590</v>
      </c>
      <c r="B638" s="338" t="s">
        <v>640</v>
      </c>
      <c r="C638" s="2">
        <f>BM71</f>
        <v>481741</v>
      </c>
      <c r="D638" s="2">
        <f>(D615/D612)*BM76</f>
        <v>622.45210268870346</v>
      </c>
      <c r="E638" s="2">
        <f>(E623/E612)*SUM(C638:D638)</f>
        <v>29937.888080940804</v>
      </c>
      <c r="F638" s="2">
        <f>(F624/F612)*BM64</f>
        <v>92.193006255346745</v>
      </c>
      <c r="G638" s="2">
        <f>(G625/G612)*BM77</f>
        <v>0</v>
      </c>
      <c r="H638" s="2">
        <f>(H628/H612)*BM60</f>
        <v>11788.524830681208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19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</row>
    <row r="639" spans="1:85" ht="12.65" customHeight="1" x14ac:dyDescent="0.3">
      <c r="A639" s="335">
        <v>8660</v>
      </c>
      <c r="B639" s="338" t="s">
        <v>642</v>
      </c>
      <c r="C639" s="2">
        <f>BS71</f>
        <v>108255</v>
      </c>
      <c r="D639" s="2">
        <f>(D615/D612)*BS76</f>
        <v>8940.5932377661011</v>
      </c>
      <c r="E639" s="2">
        <f>(E623/E612)*SUM(C639:D639)</f>
        <v>7273.7445978489532</v>
      </c>
      <c r="F639" s="2">
        <f>(F624/F612)*BS64</f>
        <v>118.14079230001367</v>
      </c>
      <c r="G639" s="2">
        <f>(G625/G612)*BS77</f>
        <v>0</v>
      </c>
      <c r="H639" s="2">
        <f>(H628/H612)*BS60</f>
        <v>1828.4406274403091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19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</row>
    <row r="640" spans="1:85" ht="12.65" customHeight="1" x14ac:dyDescent="0.3">
      <c r="A640" s="335">
        <v>8670</v>
      </c>
      <c r="B640" s="338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19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</row>
    <row r="641" spans="1:85" ht="12.65" customHeight="1" x14ac:dyDescent="0.3">
      <c r="A641" s="335">
        <v>8680</v>
      </c>
      <c r="B641" s="338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19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</row>
    <row r="642" spans="1:85" ht="12.65" customHeight="1" x14ac:dyDescent="0.3">
      <c r="A642" s="335">
        <v>8690</v>
      </c>
      <c r="B642" s="338" t="s">
        <v>648</v>
      </c>
      <c r="C642" s="2">
        <f>BV71</f>
        <v>894369</v>
      </c>
      <c r="D642" s="2">
        <f>(D615/D612)*BV76</f>
        <v>17158.23024640022</v>
      </c>
      <c r="E642" s="2">
        <f>(E623/E612)*SUM(C642:D642)</f>
        <v>56573.938350613644</v>
      </c>
      <c r="F642" s="2">
        <f>(F624/F612)*BV64</f>
        <v>366.33397801047869</v>
      </c>
      <c r="G642" s="2">
        <f>(G625/G612)*BV77</f>
        <v>0</v>
      </c>
      <c r="H642" s="2">
        <f>(H628/H612)*BV60</f>
        <v>29824.361046678972</v>
      </c>
      <c r="I642" s="2">
        <f>(I629/I612)*BV78</f>
        <v>0</v>
      </c>
      <c r="J642" s="2">
        <f>(J630/J612)*BV79</f>
        <v>0</v>
      </c>
      <c r="K642" s="2"/>
      <c r="L642" s="2"/>
      <c r="M642" s="2"/>
      <c r="N642" s="319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</row>
    <row r="643" spans="1:85" ht="12.65" customHeight="1" x14ac:dyDescent="0.3">
      <c r="A643" s="335">
        <v>8700</v>
      </c>
      <c r="B643" s="338" t="s">
        <v>650</v>
      </c>
      <c r="C643" s="2">
        <f>BW71</f>
        <v>908498</v>
      </c>
      <c r="D643" s="2">
        <f>(D615/D612)*BW76</f>
        <v>5985.176148449932</v>
      </c>
      <c r="E643" s="2">
        <f>(E623/E612)*SUM(C643:D643)</f>
        <v>56757.399135636049</v>
      </c>
      <c r="F643" s="2">
        <f>(F624/F612)*BW64</f>
        <v>835.24007669417097</v>
      </c>
      <c r="G643" s="2">
        <f>(G625/G612)*BW77</f>
        <v>0</v>
      </c>
      <c r="H643" s="2">
        <f>(H628/H612)*BW60</f>
        <v>8962.06028119646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19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</row>
    <row r="644" spans="1:85" ht="12.65" customHeight="1" x14ac:dyDescent="0.3">
      <c r="A644" s="335">
        <v>8710</v>
      </c>
      <c r="B644" s="338" t="s">
        <v>652</v>
      </c>
      <c r="C644" s="2">
        <f>BX71</f>
        <v>538096</v>
      </c>
      <c r="D644" s="2">
        <f>(D615/D612)*BX76</f>
        <v>1736.8045561913264</v>
      </c>
      <c r="E644" s="2">
        <f>(E623/E612)*SUM(C644:D644)</f>
        <v>33504.72349174392</v>
      </c>
      <c r="F644" s="2">
        <f>(F624/F612)*BX64</f>
        <v>137.40136368618926</v>
      </c>
      <c r="G644" s="2">
        <f>(G625/G612)*BX77</f>
        <v>0</v>
      </c>
      <c r="H644" s="2">
        <f>(H628/H612)*BX60</f>
        <v>10497.003645190363</v>
      </c>
      <c r="I644" s="2">
        <f>(I629/I612)*BX78</f>
        <v>0</v>
      </c>
      <c r="J644" s="2">
        <f>(J630/J612)*BX79</f>
        <v>0</v>
      </c>
      <c r="K644" s="2">
        <f>SUM(C631:J644)</f>
        <v>10057369.16249731</v>
      </c>
      <c r="L644" s="2"/>
      <c r="M644" s="2"/>
      <c r="N644" s="319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</row>
    <row r="645" spans="1:85" ht="12.65" customHeight="1" x14ac:dyDescent="0.3">
      <c r="A645" s="335">
        <v>8720</v>
      </c>
      <c r="B645" s="338" t="s">
        <v>654</v>
      </c>
      <c r="C645" s="2">
        <f>BY71</f>
        <v>1425827</v>
      </c>
      <c r="D645" s="2">
        <f>(D615/D612)*BY76</f>
        <v>12076.153612481716</v>
      </c>
      <c r="E645" s="2">
        <f>(E623/E612)*SUM(C645:D645)</f>
        <v>89243.460499403693</v>
      </c>
      <c r="F645" s="2">
        <f>(F624/F612)*BY64</f>
        <v>166.55344008804994</v>
      </c>
      <c r="G645" s="2">
        <f>(G625/G612)*BY77</f>
        <v>0</v>
      </c>
      <c r="H645" s="2">
        <f>(H628/H612)*BY60</f>
        <v>20424.612737809435</v>
      </c>
      <c r="I645" s="2">
        <f>(I629/I612)*BY78</f>
        <v>0</v>
      </c>
      <c r="J645" s="2">
        <f>(J630/J612)*BY79</f>
        <v>0</v>
      </c>
      <c r="K645" s="2">
        <v>0</v>
      </c>
      <c r="L645" s="2"/>
      <c r="M645" s="2"/>
      <c r="N645" s="319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</row>
    <row r="646" spans="1:85" ht="12.65" customHeight="1" x14ac:dyDescent="0.3">
      <c r="A646" s="335">
        <v>8730</v>
      </c>
      <c r="B646" s="338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19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</row>
    <row r="647" spans="1:85" ht="12.65" customHeight="1" x14ac:dyDescent="0.3">
      <c r="A647" s="335">
        <v>8740</v>
      </c>
      <c r="B647" s="338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1547737.7802897829</v>
      </c>
      <c r="M647" s="2"/>
      <c r="N647" s="319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</row>
    <row r="648" spans="1:85" ht="12.65" customHeight="1" x14ac:dyDescent="0.3">
      <c r="A648" s="335"/>
      <c r="B648" s="335"/>
      <c r="C648" s="2">
        <f>SUM(C614:C647)</f>
        <v>24263786</v>
      </c>
      <c r="D648" s="2"/>
      <c r="E648" s="2"/>
      <c r="F648" s="2"/>
      <c r="G648" s="2"/>
      <c r="H648" s="2"/>
      <c r="I648" s="2"/>
      <c r="J648" s="2"/>
      <c r="K648" s="2"/>
      <c r="L648" s="337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</row>
    <row r="649" spans="1:85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</row>
    <row r="650" spans="1:85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</row>
    <row r="651" spans="1:85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</row>
    <row r="652" spans="1:85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</row>
    <row r="653" spans="1:85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</row>
    <row r="654" spans="1:85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</row>
    <row r="655" spans="1:85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</row>
    <row r="656" spans="1:85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</row>
    <row r="657" spans="1:85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</row>
    <row r="658" spans="1:85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</row>
    <row r="659" spans="1:85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</row>
    <row r="660" spans="1:85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</row>
    <row r="661" spans="1:85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</row>
    <row r="662" spans="1:85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</row>
    <row r="663" spans="1:85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</row>
    <row r="664" spans="1:85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</row>
    <row r="665" spans="1:85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</row>
    <row r="666" spans="1:85" ht="12.65" customHeight="1" x14ac:dyDescent="0.3">
      <c r="A666" s="2"/>
      <c r="B666" s="2"/>
      <c r="C666" s="326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6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</row>
    <row r="667" spans="1:85" ht="12.65" customHeight="1" x14ac:dyDescent="0.3">
      <c r="A667" s="2"/>
      <c r="B667" s="2"/>
      <c r="C667" s="326" t="s">
        <v>590</v>
      </c>
      <c r="D667" s="326" t="s">
        <v>591</v>
      </c>
      <c r="E667" s="329" t="s">
        <v>592</v>
      </c>
      <c r="F667" s="326" t="s">
        <v>593</v>
      </c>
      <c r="G667" s="326" t="s">
        <v>594</v>
      </c>
      <c r="H667" s="326" t="s">
        <v>595</v>
      </c>
      <c r="I667" s="326" t="s">
        <v>596</v>
      </c>
      <c r="J667" s="326" t="s">
        <v>597</v>
      </c>
      <c r="K667" s="326" t="s">
        <v>598</v>
      </c>
      <c r="L667" s="329" t="s">
        <v>599</v>
      </c>
      <c r="M667" s="326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</row>
    <row r="668" spans="1:85" ht="12.65" customHeight="1" x14ac:dyDescent="0.3">
      <c r="A668" s="335">
        <v>6010</v>
      </c>
      <c r="B668" s="329" t="s">
        <v>283</v>
      </c>
      <c r="C668" s="2">
        <f>C71</f>
        <v>1602597</v>
      </c>
      <c r="D668" s="2">
        <f>(D615/D612)*C76</f>
        <v>39728.141445514702</v>
      </c>
      <c r="E668" s="2">
        <f>(E623/E612)*SUM(C668:D668)</f>
        <v>101930.91135487591</v>
      </c>
      <c r="F668" s="2">
        <f>(F624/F612)*C64</f>
        <v>2952.6490764250175</v>
      </c>
      <c r="G668" s="2">
        <f>(G625/G612)*C77</f>
        <v>46730.410566433122</v>
      </c>
      <c r="H668" s="2">
        <f>(H628/H612)*C60</f>
        <v>31168.539412641523</v>
      </c>
      <c r="I668" s="2">
        <f>(I629/I612)*C78</f>
        <v>65763.322126836312</v>
      </c>
      <c r="J668" s="2">
        <f>(J630/J612)*C79</f>
        <v>14179.817111239288</v>
      </c>
      <c r="K668" s="2">
        <f>(K644/K612)*C75</f>
        <v>107073.27395143684</v>
      </c>
      <c r="L668" s="2">
        <f>(L647/L612)*C80</f>
        <v>122915.63494458515</v>
      </c>
      <c r="M668" s="2">
        <f t="shared" ref="M668:M713" si="20">ROUND(SUM(D668:L668),0)</f>
        <v>532443</v>
      </c>
      <c r="N668" s="329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</row>
    <row r="669" spans="1:85" ht="12.65" customHeight="1" x14ac:dyDescent="0.3">
      <c r="A669" s="335">
        <v>6030</v>
      </c>
      <c r="B669" s="329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29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</row>
    <row r="670" spans="1:85" ht="12.65" customHeight="1" x14ac:dyDescent="0.3">
      <c r="A670" s="335">
        <v>6070</v>
      </c>
      <c r="B670" s="329" t="s">
        <v>665</v>
      </c>
      <c r="C670" s="2">
        <f>E71</f>
        <v>4120145</v>
      </c>
      <c r="D670" s="2">
        <f>(D615/D612)*E76</f>
        <v>89724.022757228959</v>
      </c>
      <c r="E670" s="2">
        <f>(E623/E612)*SUM(C670:D670)</f>
        <v>261285.52461701533</v>
      </c>
      <c r="F670" s="2">
        <f>(F624/F612)*E64</f>
        <v>10727.685481940627</v>
      </c>
      <c r="G670" s="2">
        <f>(G625/G612)*E77</f>
        <v>733323.9929868324</v>
      </c>
      <c r="H670" s="2">
        <f>(H628/H612)*E60</f>
        <v>98538.448804918356</v>
      </c>
      <c r="I670" s="2">
        <f>(I629/I612)*E78</f>
        <v>325119.96520827728</v>
      </c>
      <c r="J670" s="2">
        <f>(J630/J612)*E79</f>
        <v>70102.018827065505</v>
      </c>
      <c r="K670" s="2">
        <f>(K644/K612)*E75</f>
        <v>428164.78370498179</v>
      </c>
      <c r="L670" s="2">
        <f>(L647/L612)*E80</f>
        <v>285746.60382856685</v>
      </c>
      <c r="M670" s="2">
        <f t="shared" si="20"/>
        <v>2302733</v>
      </c>
      <c r="N670" s="329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</row>
    <row r="671" spans="1:85" ht="12.65" customHeight="1" x14ac:dyDescent="0.3">
      <c r="A671" s="335">
        <v>6100</v>
      </c>
      <c r="B671" s="329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29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</row>
    <row r="672" spans="1:85" ht="12.65" customHeight="1" x14ac:dyDescent="0.3">
      <c r="A672" s="335">
        <v>6120</v>
      </c>
      <c r="B672" s="329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29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</row>
    <row r="673" spans="1:85" ht="12.65" customHeight="1" x14ac:dyDescent="0.3">
      <c r="A673" s="335">
        <v>6140</v>
      </c>
      <c r="B673" s="329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29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</row>
    <row r="674" spans="1:85" ht="12.65" customHeight="1" x14ac:dyDescent="0.3">
      <c r="A674" s="335">
        <v>6150</v>
      </c>
      <c r="B674" s="329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29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</row>
    <row r="675" spans="1:85" ht="12.65" customHeight="1" x14ac:dyDescent="0.3">
      <c r="A675" s="335">
        <v>6170</v>
      </c>
      <c r="B675" s="329" t="s">
        <v>99</v>
      </c>
      <c r="C675" s="2">
        <f>J71</f>
        <v>1797</v>
      </c>
      <c r="D675" s="2">
        <f>(D615/D612)*J76</f>
        <v>1342.8180192834955</v>
      </c>
      <c r="E675" s="2">
        <f>(E623/E612)*SUM(C675:D675)</f>
        <v>194.87280814098509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14239.642182320873</v>
      </c>
      <c r="L675" s="2">
        <f>(L647/L612)*J80</f>
        <v>0</v>
      </c>
      <c r="M675" s="2">
        <f t="shared" si="20"/>
        <v>15777</v>
      </c>
      <c r="N675" s="329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</row>
    <row r="676" spans="1:85" ht="12.65" customHeight="1" x14ac:dyDescent="0.3">
      <c r="A676" s="335">
        <v>6200</v>
      </c>
      <c r="B676" s="329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29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</row>
    <row r="677" spans="1:85" ht="12.65" customHeight="1" x14ac:dyDescent="0.3">
      <c r="A677" s="335">
        <v>6210</v>
      </c>
      <c r="B677" s="329" t="s">
        <v>289</v>
      </c>
      <c r="C677" s="2">
        <f>L71</f>
        <v>45870</v>
      </c>
      <c r="D677" s="2">
        <f>(D615/D612)*L76</f>
        <v>34038.260926305345</v>
      </c>
      <c r="E677" s="2">
        <f>(E623/E612)*SUM(C677:D677)</f>
        <v>4959.5062849932901</v>
      </c>
      <c r="F677" s="2">
        <f>(F624/F612)*L64</f>
        <v>0</v>
      </c>
      <c r="G677" s="2">
        <f>(G625/G612)*L77</f>
        <v>33408.60087266154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15028.828932216893</v>
      </c>
      <c r="L677" s="2">
        <f>(L647/L612)*L80</f>
        <v>0</v>
      </c>
      <c r="M677" s="2">
        <f t="shared" si="20"/>
        <v>87435</v>
      </c>
      <c r="N677" s="329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</row>
    <row r="678" spans="1:85" ht="12.65" customHeight="1" x14ac:dyDescent="0.3">
      <c r="A678" s="335">
        <v>6330</v>
      </c>
      <c r="B678" s="329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29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</row>
    <row r="679" spans="1:85" ht="12.65" customHeight="1" x14ac:dyDescent="0.3">
      <c r="A679" s="335">
        <v>6400</v>
      </c>
      <c r="B679" s="329" t="s">
        <v>680</v>
      </c>
      <c r="C679" s="2">
        <f>N71</f>
        <v>2336577</v>
      </c>
      <c r="D679" s="2">
        <f>(D615/D612)*N76</f>
        <v>4507.1438147246945</v>
      </c>
      <c r="E679" s="2">
        <f>(E623/E612)*SUM(C679:D679)</f>
        <v>145299.38945430249</v>
      </c>
      <c r="F679" s="2">
        <f>(F624/F612)*N64</f>
        <v>901.90324782100652</v>
      </c>
      <c r="G679" s="2">
        <f>(G625/G612)*N77</f>
        <v>0</v>
      </c>
      <c r="H679" s="2">
        <f>(H628/H612)*N60</f>
        <v>14637.723270450258</v>
      </c>
      <c r="I679" s="2">
        <f>(I629/I612)*N78</f>
        <v>0</v>
      </c>
      <c r="J679" s="2">
        <f>(J630/J612)*N79</f>
        <v>0</v>
      </c>
      <c r="K679" s="2">
        <f>(K644/K612)*N75</f>
        <v>96905.453732600537</v>
      </c>
      <c r="L679" s="2">
        <f>(L647/L612)*N80</f>
        <v>0</v>
      </c>
      <c r="M679" s="2">
        <f t="shared" si="20"/>
        <v>262252</v>
      </c>
      <c r="N679" s="329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</row>
    <row r="680" spans="1:85" ht="12.65" customHeight="1" x14ac:dyDescent="0.3">
      <c r="A680" s="335">
        <v>7010</v>
      </c>
      <c r="B680" s="329" t="s">
        <v>682</v>
      </c>
      <c r="C680" s="2">
        <f>O71</f>
        <v>1523217</v>
      </c>
      <c r="D680" s="2">
        <f>(D615/D612)*O76</f>
        <v>42642.243049862547</v>
      </c>
      <c r="E680" s="2">
        <f>(E623/E612)*SUM(C680:D680)</f>
        <v>97185.055303389076</v>
      </c>
      <c r="F680" s="2">
        <f>(F624/F612)*O64</f>
        <v>1988.2969958817453</v>
      </c>
      <c r="G680" s="2">
        <f>(G625/G612)*O77</f>
        <v>0</v>
      </c>
      <c r="H680" s="2">
        <f>(H628/H612)*O60</f>
        <v>25519.14720848365</v>
      </c>
      <c r="I680" s="2">
        <f>(I629/I612)*O78</f>
        <v>65282.75822146875</v>
      </c>
      <c r="J680" s="2">
        <f>(J630/J612)*O79</f>
        <v>14076.198436452267</v>
      </c>
      <c r="K680" s="2">
        <f>(K644/K612)*O75</f>
        <v>53927.286725380531</v>
      </c>
      <c r="L680" s="2">
        <f>(L647/L612)*O80</f>
        <v>136356.68964356085</v>
      </c>
      <c r="M680" s="2">
        <f t="shared" si="20"/>
        <v>436978</v>
      </c>
      <c r="N680" s="329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</row>
    <row r="681" spans="1:85" ht="12.65" customHeight="1" x14ac:dyDescent="0.3">
      <c r="A681" s="335">
        <v>7020</v>
      </c>
      <c r="B681" s="329" t="s">
        <v>684</v>
      </c>
      <c r="C681" s="2">
        <f>P71</f>
        <v>4117300</v>
      </c>
      <c r="D681" s="2">
        <f>(D615/D612)*P76</f>
        <v>151795.94111736069</v>
      </c>
      <c r="E681" s="2">
        <f>(E623/E612)*SUM(C681:D681)</f>
        <v>264961.4433573662</v>
      </c>
      <c r="F681" s="2">
        <f>(F624/F612)*P64</f>
        <v>54189.809155841554</v>
      </c>
      <c r="G681" s="2">
        <f>(G625/G612)*P77</f>
        <v>0</v>
      </c>
      <c r="H681" s="2">
        <f>(H628/H612)*P60</f>
        <v>36616.385423094573</v>
      </c>
      <c r="I681" s="2">
        <f>(I629/I612)*P78</f>
        <v>284376.77153910277</v>
      </c>
      <c r="J681" s="2">
        <f>(J630/J612)*P79</f>
        <v>61317.015027494082</v>
      </c>
      <c r="K681" s="2">
        <f>(K644/K612)*P75</f>
        <v>898300.55175636173</v>
      </c>
      <c r="L681" s="2">
        <f>(L647/L612)*P80</f>
        <v>131017.45788076775</v>
      </c>
      <c r="M681" s="2">
        <f t="shared" si="20"/>
        <v>1882575</v>
      </c>
      <c r="N681" s="329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</row>
    <row r="682" spans="1:85" ht="12.65" customHeight="1" x14ac:dyDescent="0.3">
      <c r="A682" s="335">
        <v>7030</v>
      </c>
      <c r="B682" s="329" t="s">
        <v>686</v>
      </c>
      <c r="C682" s="2">
        <f>Q71</f>
        <v>66165</v>
      </c>
      <c r="D682" s="2">
        <f>(D615/D612)*Q76</f>
        <v>9146.3935688464917</v>
      </c>
      <c r="E682" s="2">
        <f>(E623/E612)*SUM(C682:D682)</f>
        <v>4674.2017083910896</v>
      </c>
      <c r="F682" s="2">
        <f>(F624/F612)*Q64</f>
        <v>247.98421025238719</v>
      </c>
      <c r="G682" s="2">
        <f>(G625/G612)*Q77</f>
        <v>0</v>
      </c>
      <c r="H682" s="2">
        <f>(H628/H612)*Q60</f>
        <v>1195.7667523710479</v>
      </c>
      <c r="I682" s="2">
        <f>(I629/I612)*Q78</f>
        <v>0</v>
      </c>
      <c r="J682" s="2">
        <f>(J630/J612)*Q79</f>
        <v>0</v>
      </c>
      <c r="K682" s="2">
        <f>(K644/K612)*Q75</f>
        <v>180058.73584261021</v>
      </c>
      <c r="L682" s="2">
        <f>(L647/L612)*Q80</f>
        <v>6580.8509394397252</v>
      </c>
      <c r="M682" s="2">
        <f t="shared" si="20"/>
        <v>201904</v>
      </c>
      <c r="N682" s="329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</row>
    <row r="683" spans="1:85" ht="12.65" customHeight="1" x14ac:dyDescent="0.3">
      <c r="A683" s="335">
        <v>7040</v>
      </c>
      <c r="B683" s="329" t="s">
        <v>107</v>
      </c>
      <c r="C683" s="2">
        <f>R71</f>
        <v>1509489</v>
      </c>
      <c r="D683" s="2">
        <f>(D615/D612)*R76</f>
        <v>2113.6950303536491</v>
      </c>
      <c r="E683" s="2">
        <f>(E623/E612)*SUM(C683:D683)</f>
        <v>93817.622602620424</v>
      </c>
      <c r="F683" s="2">
        <f>(F624/F612)*R64</f>
        <v>3821.7431773278008</v>
      </c>
      <c r="G683" s="2">
        <f>(G625/G612)*R77</f>
        <v>0</v>
      </c>
      <c r="H683" s="2">
        <f>(H628/H612)*R60</f>
        <v>12412.390682362411</v>
      </c>
      <c r="I683" s="2">
        <f>(I629/I612)*R78</f>
        <v>0</v>
      </c>
      <c r="J683" s="2">
        <f>(J630/J612)*R79</f>
        <v>0</v>
      </c>
      <c r="K683" s="2">
        <f>(K644/K612)*R75</f>
        <v>382369.71401183953</v>
      </c>
      <c r="L683" s="2">
        <f>(L647/L612)*R80</f>
        <v>0</v>
      </c>
      <c r="M683" s="2">
        <f t="shared" si="20"/>
        <v>494535</v>
      </c>
      <c r="N683" s="329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</row>
    <row r="684" spans="1:85" ht="12.65" customHeight="1" x14ac:dyDescent="0.3">
      <c r="A684" s="335">
        <v>7050</v>
      </c>
      <c r="B684" s="329" t="s">
        <v>689</v>
      </c>
      <c r="C684" s="2">
        <f>S71</f>
        <v>1927429</v>
      </c>
      <c r="D684" s="2">
        <f>(D615/D612)*S76</f>
        <v>11595.793104021013</v>
      </c>
      <c r="E684" s="2">
        <f>(E623/E612)*SUM(C684:D684)</f>
        <v>120345.57549720713</v>
      </c>
      <c r="F684" s="2">
        <f>(F624/F612)*S64</f>
        <v>60041.191640507503</v>
      </c>
      <c r="G684" s="2">
        <f>(G625/G612)*S77</f>
        <v>0</v>
      </c>
      <c r="H684" s="2">
        <f>(H628/H612)*S60</f>
        <v>6738.8539913291215</v>
      </c>
      <c r="I684" s="2">
        <f>(I629/I612)*S78</f>
        <v>20695.053309353865</v>
      </c>
      <c r="J684" s="2">
        <f>(J630/J612)*S79</f>
        <v>4462.24523858467</v>
      </c>
      <c r="K684" s="2">
        <f>(K644/K612)*S75</f>
        <v>24151.723110665818</v>
      </c>
      <c r="L684" s="2">
        <f>(L647/L612)*S80</f>
        <v>0</v>
      </c>
      <c r="M684" s="2">
        <f t="shared" si="20"/>
        <v>248030</v>
      </c>
      <c r="N684" s="329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</row>
    <row r="685" spans="1:85" ht="12.65" customHeight="1" x14ac:dyDescent="0.3">
      <c r="A685" s="335">
        <v>7060</v>
      </c>
      <c r="B685" s="329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29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</row>
    <row r="686" spans="1:85" ht="12.65" customHeight="1" x14ac:dyDescent="0.3">
      <c r="A686" s="335">
        <v>7070</v>
      </c>
      <c r="B686" s="329" t="s">
        <v>109</v>
      </c>
      <c r="C686" s="2">
        <f>U71</f>
        <v>4880091</v>
      </c>
      <c r="D686" s="2">
        <f>(D615/D612)*U76</f>
        <v>60838.152498664356</v>
      </c>
      <c r="E686" s="2">
        <f>(E623/E612)*SUM(C686:D686)</f>
        <v>306658.77221533837</v>
      </c>
      <c r="F686" s="2">
        <f>(F624/F612)*U64</f>
        <v>43997.553626739405</v>
      </c>
      <c r="G686" s="2">
        <f>(G625/G612)*U77</f>
        <v>0</v>
      </c>
      <c r="H686" s="2">
        <f>(H628/H612)*U60</f>
        <v>63073.57518741567</v>
      </c>
      <c r="I686" s="2">
        <f>(I629/I612)*U78</f>
        <v>3487.1688517696603</v>
      </c>
      <c r="J686" s="2">
        <f>(J630/J612)*U79</f>
        <v>751.89961448017959</v>
      </c>
      <c r="K686" s="2">
        <f>(K644/K612)*U75</f>
        <v>631890.08056210983</v>
      </c>
      <c r="L686" s="2">
        <f>(L647/L612)*U80</f>
        <v>0</v>
      </c>
      <c r="M686" s="2">
        <f t="shared" si="20"/>
        <v>1110697</v>
      </c>
      <c r="N686" s="329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</row>
    <row r="687" spans="1:85" ht="12.65" customHeight="1" x14ac:dyDescent="0.3">
      <c r="A687" s="335">
        <v>7110</v>
      </c>
      <c r="B687" s="329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151.33568639649553</v>
      </c>
      <c r="I687" s="2">
        <f>(I629/I612)*V78</f>
        <v>0</v>
      </c>
      <c r="J687" s="2">
        <f>(J630/J612)*V79</f>
        <v>0</v>
      </c>
      <c r="K687" s="2">
        <f>(K644/K612)*V75</f>
        <v>991.40815967826677</v>
      </c>
      <c r="L687" s="2">
        <f>(L647/L612)*V80</f>
        <v>674.57170524050275</v>
      </c>
      <c r="M687" s="2">
        <f t="shared" si="20"/>
        <v>1817</v>
      </c>
      <c r="N687" s="329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</row>
    <row r="688" spans="1:85" ht="12.65" customHeight="1" x14ac:dyDescent="0.3">
      <c r="A688" s="335">
        <v>7120</v>
      </c>
      <c r="B688" s="329" t="s">
        <v>696</v>
      </c>
      <c r="C688" s="2">
        <f>W71</f>
        <v>622375</v>
      </c>
      <c r="D688" s="2">
        <f>(D615/D612)*W76</f>
        <v>17207.964247114422</v>
      </c>
      <c r="E688" s="2">
        <f>(E623/E612)*SUM(C688:D688)</f>
        <v>39695.717241094317</v>
      </c>
      <c r="F688" s="2">
        <f>(F624/F612)*W64</f>
        <v>1162.460814801078</v>
      </c>
      <c r="G688" s="2">
        <f>(G625/G612)*W77</f>
        <v>0</v>
      </c>
      <c r="H688" s="2">
        <f>(H628/H612)*W60</f>
        <v>3924.3444041034468</v>
      </c>
      <c r="I688" s="2">
        <f>(I629/I612)*W78</f>
        <v>0</v>
      </c>
      <c r="J688" s="2">
        <f>(J630/J612)*W79</f>
        <v>0</v>
      </c>
      <c r="K688" s="2">
        <f>(K644/K612)*W75</f>
        <v>200426.57934725159</v>
      </c>
      <c r="L688" s="2">
        <f>(L647/L612)*W80</f>
        <v>0</v>
      </c>
      <c r="M688" s="2">
        <f t="shared" si="20"/>
        <v>262417</v>
      </c>
      <c r="N688" s="329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</row>
    <row r="689" spans="1:85" ht="12.65" customHeight="1" x14ac:dyDescent="0.3">
      <c r="A689" s="335">
        <v>7130</v>
      </c>
      <c r="B689" s="329" t="s">
        <v>698</v>
      </c>
      <c r="C689" s="2">
        <f>X71</f>
        <v>435563</v>
      </c>
      <c r="D689" s="2">
        <f>(D615/D612)*X76</f>
        <v>8296.2529941380762</v>
      </c>
      <c r="E689" s="2">
        <f>(E623/E612)*SUM(C689:D689)</f>
        <v>27548.124929248603</v>
      </c>
      <c r="F689" s="2">
        <f>(F624/F612)*X64</f>
        <v>6024.8669441135798</v>
      </c>
      <c r="G689" s="2">
        <f>(G625/G612)*X77</f>
        <v>0</v>
      </c>
      <c r="H689" s="2">
        <f>(H628/H612)*X60</f>
        <v>3692.4475281820028</v>
      </c>
      <c r="I689" s="2">
        <f>(I629/I612)*X78</f>
        <v>0</v>
      </c>
      <c r="J689" s="2">
        <f>(J630/J612)*X79</f>
        <v>0</v>
      </c>
      <c r="K689" s="2">
        <f>(K644/K612)*X75</f>
        <v>560073.66310324869</v>
      </c>
      <c r="L689" s="2">
        <f>(L647/L612)*X80</f>
        <v>0</v>
      </c>
      <c r="M689" s="2">
        <f t="shared" si="20"/>
        <v>605635</v>
      </c>
      <c r="N689" s="329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</row>
    <row r="690" spans="1:85" ht="12.65" customHeight="1" x14ac:dyDescent="0.3">
      <c r="A690" s="335">
        <v>7140</v>
      </c>
      <c r="B690" s="329" t="s">
        <v>1249</v>
      </c>
      <c r="C690" s="2">
        <f>Y71</f>
        <v>2702972</v>
      </c>
      <c r="D690" s="2">
        <f>(D615/D612)*Y76</f>
        <v>85772.500981733276</v>
      </c>
      <c r="E690" s="2">
        <f>(E623/E612)*SUM(C690:D690)</f>
        <v>173083.42991739872</v>
      </c>
      <c r="F690" s="2">
        <f>(F624/F612)*Y64</f>
        <v>2211.3086388938291</v>
      </c>
      <c r="G690" s="2">
        <f>(G625/G612)*Y77</f>
        <v>0</v>
      </c>
      <c r="H690" s="2">
        <f>(H628/H612)*Y60</f>
        <v>47548.717866495659</v>
      </c>
      <c r="I690" s="2">
        <f>(I629/I612)*Y78</f>
        <v>193882.89151296718</v>
      </c>
      <c r="J690" s="2">
        <f>(J630/J612)*Y79</f>
        <v>41804.821498368859</v>
      </c>
      <c r="K690" s="2">
        <f>(K644/K612)*Y75</f>
        <v>499092.90437749343</v>
      </c>
      <c r="L690" s="2">
        <f>(L647/L612)*Y80</f>
        <v>0</v>
      </c>
      <c r="M690" s="2">
        <f t="shared" si="20"/>
        <v>1043397</v>
      </c>
      <c r="N690" s="329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</row>
    <row r="691" spans="1:85" ht="12.65" customHeight="1" x14ac:dyDescent="0.3">
      <c r="A691" s="335">
        <v>7150</v>
      </c>
      <c r="B691" s="329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29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</row>
    <row r="692" spans="1:85" ht="12.65" customHeight="1" x14ac:dyDescent="0.3">
      <c r="A692" s="335">
        <v>7160</v>
      </c>
      <c r="B692" s="329" t="s">
        <v>703</v>
      </c>
      <c r="C692" s="2">
        <f>AA71</f>
        <v>287027</v>
      </c>
      <c r="D692" s="2">
        <f>(D615/D612)*AA76</f>
        <v>5556.2203922899271</v>
      </c>
      <c r="E692" s="2">
        <f>(E623/E612)*SUM(C692:D692)</f>
        <v>18159.177832156467</v>
      </c>
      <c r="F692" s="2">
        <f>(F624/F612)*AA64</f>
        <v>3601.4830445137422</v>
      </c>
      <c r="G692" s="2">
        <f>(G625/G612)*AA77</f>
        <v>0</v>
      </c>
      <c r="H692" s="2">
        <f>(H628/H612)*AA60</f>
        <v>2117.0883857604385</v>
      </c>
      <c r="I692" s="2">
        <f>(I629/I612)*AA78</f>
        <v>0</v>
      </c>
      <c r="J692" s="2">
        <f>(J630/J612)*AA79</f>
        <v>0</v>
      </c>
      <c r="K692" s="2">
        <f>(K644/K612)*AA75</f>
        <v>76066.375862089117</v>
      </c>
      <c r="L692" s="2">
        <f>(L647/L612)*AA80</f>
        <v>3090.7469902718467</v>
      </c>
      <c r="M692" s="2">
        <f t="shared" si="20"/>
        <v>108591</v>
      </c>
      <c r="N692" s="329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</row>
    <row r="693" spans="1:85" ht="12.65" customHeight="1" x14ac:dyDescent="0.3">
      <c r="A693" s="335">
        <v>7170</v>
      </c>
      <c r="B693" s="329" t="s">
        <v>115</v>
      </c>
      <c r="C693" s="2">
        <f>AB71</f>
        <v>16135833</v>
      </c>
      <c r="D693" s="2">
        <f>(D615/D612)*AB76</f>
        <v>38557.838241208599</v>
      </c>
      <c r="E693" s="2">
        <f>(E623/E612)*SUM(C693:D693)</f>
        <v>1003863.5816661627</v>
      </c>
      <c r="F693" s="2">
        <f>(F624/F612)*AB64</f>
        <v>465037.37085753994</v>
      </c>
      <c r="G693" s="2">
        <f>(G625/G612)*AB77</f>
        <v>0</v>
      </c>
      <c r="H693" s="2">
        <f>(H628/H612)*AB60</f>
        <v>29492.425075854102</v>
      </c>
      <c r="I693" s="2">
        <f>(I629/I612)*AB78</f>
        <v>0</v>
      </c>
      <c r="J693" s="2">
        <f>(J630/J612)*AB79</f>
        <v>0</v>
      </c>
      <c r="K693" s="2">
        <f>(K644/K612)*AB75</f>
        <v>1616746.1665300098</v>
      </c>
      <c r="L693" s="2">
        <f>(L647/L612)*AB80</f>
        <v>0</v>
      </c>
      <c r="M693" s="2">
        <f t="shared" si="20"/>
        <v>3153697</v>
      </c>
      <c r="N693" s="329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</row>
    <row r="694" spans="1:85" ht="12.65" customHeight="1" x14ac:dyDescent="0.3">
      <c r="A694" s="335">
        <v>7180</v>
      </c>
      <c r="B694" s="329" t="s">
        <v>706</v>
      </c>
      <c r="C694" s="2">
        <f>AC71</f>
        <v>1083157</v>
      </c>
      <c r="D694" s="2">
        <f>(D615/D612)*AC76</f>
        <v>26480.247005268739</v>
      </c>
      <c r="E694" s="2">
        <f>(E623/E612)*SUM(C694:D694)</f>
        <v>68869.636715790955</v>
      </c>
      <c r="F694" s="2">
        <f>(F624/F612)*AC64</f>
        <v>3920.240276568496</v>
      </c>
      <c r="G694" s="2">
        <f>(G625/G612)*AC77</f>
        <v>0</v>
      </c>
      <c r="H694" s="2">
        <f>(H628/H612)*AC60</f>
        <v>19898.230460750015</v>
      </c>
      <c r="I694" s="2">
        <f>(I629/I612)*AC78</f>
        <v>0</v>
      </c>
      <c r="J694" s="2">
        <f>(J630/J612)*AC79</f>
        <v>0</v>
      </c>
      <c r="K694" s="2">
        <f>(K644/K612)*AC75</f>
        <v>189826.53779708085</v>
      </c>
      <c r="L694" s="2">
        <f>(L647/L612)*AC80</f>
        <v>0</v>
      </c>
      <c r="M694" s="2">
        <f t="shared" si="20"/>
        <v>308995</v>
      </c>
      <c r="N694" s="329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</row>
    <row r="695" spans="1:85" ht="12.65" customHeight="1" x14ac:dyDescent="0.3">
      <c r="A695" s="335">
        <v>7190</v>
      </c>
      <c r="B695" s="329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29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</row>
    <row r="696" spans="1:85" ht="12.65" customHeight="1" x14ac:dyDescent="0.3">
      <c r="A696" s="335">
        <v>7200</v>
      </c>
      <c r="B696" s="329" t="s">
        <v>709</v>
      </c>
      <c r="C696" s="2">
        <f>AE71</f>
        <v>3899632</v>
      </c>
      <c r="D696" s="2">
        <f>(D615/D612)*AE76</f>
        <v>100829.46969795834</v>
      </c>
      <c r="E696" s="2">
        <f>(E623/E612)*SUM(C696:D696)</f>
        <v>248288.64465137169</v>
      </c>
      <c r="F696" s="2">
        <f>(F624/F612)*AE64</f>
        <v>2546.3311274356424</v>
      </c>
      <c r="G696" s="2">
        <f>(G625/G612)*AE77</f>
        <v>0</v>
      </c>
      <c r="H696" s="2">
        <f>(H628/H612)*AE60</f>
        <v>77295.119551696611</v>
      </c>
      <c r="I696" s="2">
        <f>(I629/I612)*AE78</f>
        <v>147798.04520336108</v>
      </c>
      <c r="J696" s="2">
        <f>(J630/J612)*AE79</f>
        <v>31868.056275203231</v>
      </c>
      <c r="K696" s="2">
        <f>(K644/K612)*AE75</f>
        <v>350291.88119241403</v>
      </c>
      <c r="L696" s="2">
        <f>(L647/L612)*AE80</f>
        <v>0</v>
      </c>
      <c r="M696" s="2">
        <f t="shared" si="20"/>
        <v>958918</v>
      </c>
      <c r="N696" s="329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</row>
    <row r="697" spans="1:85" ht="12.65" customHeight="1" x14ac:dyDescent="0.3">
      <c r="A697" s="335">
        <v>7220</v>
      </c>
      <c r="B697" s="329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29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</row>
    <row r="698" spans="1:85" ht="12.65" customHeight="1" x14ac:dyDescent="0.3">
      <c r="A698" s="335">
        <v>7230</v>
      </c>
      <c r="B698" s="329" t="s">
        <v>713</v>
      </c>
      <c r="C698" s="2">
        <f>AG71</f>
        <v>5782429</v>
      </c>
      <c r="D698" s="2">
        <f>(D615/D612)*AG76</f>
        <v>104436.73893726047</v>
      </c>
      <c r="E698" s="2">
        <f>(E623/E612)*SUM(C698:D698)</f>
        <v>365368.32728842273</v>
      </c>
      <c r="F698" s="2">
        <f>(F624/F612)*AG64</f>
        <v>10405.758788771693</v>
      </c>
      <c r="G698" s="2">
        <f>(G625/G612)*AG77</f>
        <v>0</v>
      </c>
      <c r="H698" s="2">
        <f>(H628/H612)*AG60</f>
        <v>63900.35975677141</v>
      </c>
      <c r="I698" s="2">
        <f>(I629/I612)*AG78</f>
        <v>414634.23419654823</v>
      </c>
      <c r="J698" s="2">
        <f>(J630/J612)*AG79</f>
        <v>89402.989672971045</v>
      </c>
      <c r="K698" s="2">
        <f>(K644/K612)*AG75</f>
        <v>1339784.5932135254</v>
      </c>
      <c r="L698" s="2">
        <f>(L647/L612)*AG80</f>
        <v>202708.4690062195</v>
      </c>
      <c r="M698" s="2">
        <f t="shared" si="20"/>
        <v>2590641</v>
      </c>
      <c r="N698" s="329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</row>
    <row r="699" spans="1:85" ht="12.65" customHeight="1" x14ac:dyDescent="0.3">
      <c r="A699" s="335">
        <v>7240</v>
      </c>
      <c r="B699" s="329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29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</row>
    <row r="700" spans="1:85" ht="12.65" customHeight="1" x14ac:dyDescent="0.3">
      <c r="A700" s="335">
        <v>7250</v>
      </c>
      <c r="B700" s="329" t="s">
        <v>716</v>
      </c>
      <c r="C700" s="2">
        <f>AI71</f>
        <v>3988961</v>
      </c>
      <c r="D700" s="2">
        <f>(D615/D612)*AI76</f>
        <v>99017.28704693458</v>
      </c>
      <c r="E700" s="2">
        <f>(E623/E612)*SUM(C700:D700)</f>
        <v>253720.37599746053</v>
      </c>
      <c r="F700" s="2">
        <f>(F624/F612)*AI64</f>
        <v>13793.91271983096</v>
      </c>
      <c r="G700" s="2">
        <f>(G625/G612)*AI77</f>
        <v>0</v>
      </c>
      <c r="H700" s="2">
        <f>(H628/H612)*AI60</f>
        <v>61216.909764402939</v>
      </c>
      <c r="I700" s="2">
        <f>(I629/I612)*AI78</f>
        <v>60292.286896498037</v>
      </c>
      <c r="J700" s="2">
        <f>(J630/J612)*AI79</f>
        <v>13000.158352125509</v>
      </c>
      <c r="K700" s="2">
        <f>(K644/K612)*AI75</f>
        <v>319044.21035146486</v>
      </c>
      <c r="L700" s="2">
        <f>(L647/L612)*AI80</f>
        <v>140284.83825701775</v>
      </c>
      <c r="M700" s="2">
        <f t="shared" si="20"/>
        <v>960370</v>
      </c>
      <c r="N700" s="329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</row>
    <row r="701" spans="1:85" ht="12.65" customHeight="1" x14ac:dyDescent="0.3">
      <c r="A701" s="335">
        <v>7260</v>
      </c>
      <c r="B701" s="329" t="s">
        <v>121</v>
      </c>
      <c r="C701" s="2">
        <f>AJ71</f>
        <v>26878314</v>
      </c>
      <c r="D701" s="2">
        <f>(D615/D612)*AJ76</f>
        <v>966538.34081744275</v>
      </c>
      <c r="E701" s="2">
        <f>(E623/E612)*SUM(C701:D701)</f>
        <v>1728190.7851348768</v>
      </c>
      <c r="F701" s="2">
        <f>(F624/F612)*AJ64</f>
        <v>62710.017215619788</v>
      </c>
      <c r="G701" s="2">
        <f>(G625/G612)*AJ77</f>
        <v>0</v>
      </c>
      <c r="H701" s="2">
        <f>(H628/H612)*AJ60</f>
        <v>425066.74826044921</v>
      </c>
      <c r="I701" s="2">
        <f>(I629/I612)*AJ78</f>
        <v>115341.49836392191</v>
      </c>
      <c r="J701" s="2">
        <f>(J630/J612)*AJ79</f>
        <v>24869.810393433647</v>
      </c>
      <c r="K701" s="2">
        <f>(K644/K612)*AJ75</f>
        <v>1534254.7978777424</v>
      </c>
      <c r="L701" s="2">
        <f>(L647/L612)*AJ80</f>
        <v>267808.31684970728</v>
      </c>
      <c r="M701" s="2">
        <f t="shared" si="20"/>
        <v>5124780</v>
      </c>
      <c r="N701" s="329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</row>
    <row r="702" spans="1:85" ht="12.65" customHeight="1" x14ac:dyDescent="0.3">
      <c r="A702" s="335">
        <v>7310</v>
      </c>
      <c r="B702" s="329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29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</row>
    <row r="703" spans="1:85" ht="12.65" customHeight="1" x14ac:dyDescent="0.3">
      <c r="A703" s="335">
        <v>7320</v>
      </c>
      <c r="B703" s="329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29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</row>
    <row r="704" spans="1:85" ht="12.65" customHeight="1" x14ac:dyDescent="0.3">
      <c r="A704" s="335">
        <v>7330</v>
      </c>
      <c r="B704" s="329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29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</row>
    <row r="705" spans="1:85" ht="12.65" customHeight="1" x14ac:dyDescent="0.3">
      <c r="A705" s="335">
        <v>7340</v>
      </c>
      <c r="B705" s="329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29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</row>
    <row r="706" spans="1:85" ht="12.65" customHeight="1" x14ac:dyDescent="0.3">
      <c r="A706" s="335">
        <v>7350</v>
      </c>
      <c r="B706" s="329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29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</row>
    <row r="707" spans="1:85" ht="12.65" customHeight="1" x14ac:dyDescent="0.3">
      <c r="A707" s="335">
        <v>7380</v>
      </c>
      <c r="B707" s="329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29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</row>
    <row r="708" spans="1:85" ht="12.65" customHeight="1" x14ac:dyDescent="0.3">
      <c r="A708" s="335">
        <v>7390</v>
      </c>
      <c r="B708" s="329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29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</row>
    <row r="709" spans="1:85" ht="12.65" customHeight="1" x14ac:dyDescent="0.3">
      <c r="A709" s="335">
        <v>7400</v>
      </c>
      <c r="B709" s="329" t="s">
        <v>733</v>
      </c>
      <c r="C709" s="2">
        <f>AR71</f>
        <v>5111999</v>
      </c>
      <c r="D709" s="2">
        <f>(D615/D612)*AR76</f>
        <v>68897.132864395069</v>
      </c>
      <c r="E709" s="2">
        <f>(E623/E612)*SUM(C709:D709)</f>
        <v>321552.32306375791</v>
      </c>
      <c r="F709" s="2">
        <f>(F624/F612)*AR64</f>
        <v>11722.965930279423</v>
      </c>
      <c r="G709" s="2">
        <f>(G625/G612)*AR77</f>
        <v>0</v>
      </c>
      <c r="H709" s="2">
        <f>(H628/H612)*AR60</f>
        <v>88319.888500708214</v>
      </c>
      <c r="I709" s="2">
        <f>(I629/I612)*AR78</f>
        <v>0</v>
      </c>
      <c r="J709" s="2">
        <f>(J630/J612)*AR79</f>
        <v>0</v>
      </c>
      <c r="K709" s="2">
        <f>(K644/K612)*AR75</f>
        <v>198790.49425790983</v>
      </c>
      <c r="L709" s="2">
        <f>(L647/L612)*AR80</f>
        <v>200760.29015739448</v>
      </c>
      <c r="M709" s="2">
        <f t="shared" si="20"/>
        <v>890043</v>
      </c>
      <c r="N709" s="329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</row>
    <row r="710" spans="1:85" ht="12.65" customHeight="1" x14ac:dyDescent="0.3">
      <c r="A710" s="335">
        <v>7410</v>
      </c>
      <c r="B710" s="329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29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</row>
    <row r="711" spans="1:85" ht="12.65" customHeight="1" x14ac:dyDescent="0.3">
      <c r="A711" s="335">
        <v>7420</v>
      </c>
      <c r="B711" s="329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29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</row>
    <row r="712" spans="1:85" ht="12.65" customHeight="1" x14ac:dyDescent="0.3">
      <c r="A712" s="335">
        <v>7430</v>
      </c>
      <c r="B712" s="329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29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</row>
    <row r="713" spans="1:85" ht="12.65" customHeight="1" x14ac:dyDescent="0.3">
      <c r="A713" s="335">
        <v>7490</v>
      </c>
      <c r="B713" s="329" t="s">
        <v>740</v>
      </c>
      <c r="C713" s="2">
        <f>AV71</f>
        <v>2372548</v>
      </c>
      <c r="D713" s="2">
        <f>(D615/D612)*AV76</f>
        <v>13705.34363431515</v>
      </c>
      <c r="E713" s="2">
        <f>(E623/E612)*SUM(C713:D713)</f>
        <v>148102.81588101416</v>
      </c>
      <c r="F713" s="2">
        <f>(F624/F612)*AV64</f>
        <v>3595.3530977434584</v>
      </c>
      <c r="G713" s="2">
        <f>(G625/G612)*AV77</f>
        <v>0</v>
      </c>
      <c r="H713" s="2">
        <f>(H628/H612)*AV60</f>
        <v>43740.321900352945</v>
      </c>
      <c r="I713" s="2">
        <f>(I629/I612)*AV78</f>
        <v>66071.375912328323</v>
      </c>
      <c r="J713" s="2">
        <f>(J630/J612)*AV79</f>
        <v>14246.239338666866</v>
      </c>
      <c r="K713" s="2">
        <f>(K644/K612)*AV75</f>
        <v>339869.47591487737</v>
      </c>
      <c r="L713" s="2">
        <f>(L647/L612)*AV80</f>
        <v>49793.310087011167</v>
      </c>
      <c r="M713" s="2">
        <f t="shared" si="20"/>
        <v>679124</v>
      </c>
      <c r="N713" s="319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</row>
    <row r="714" spans="1:85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</row>
    <row r="715" spans="1:85" ht="12.65" customHeight="1" x14ac:dyDescent="0.3">
      <c r="A715" s="2"/>
      <c r="B715" s="2"/>
      <c r="C715" s="2">
        <f>SUM(C614:C647)+SUM(C668:C713)</f>
        <v>115695273</v>
      </c>
      <c r="D715" s="2">
        <f>SUM(D616:D647)+SUM(D668:D713)</f>
        <v>2620040.0000000005</v>
      </c>
      <c r="E715" s="2">
        <f>SUM(E624:E647)+SUM(E668:E713)</f>
        <v>6761005.4139744621</v>
      </c>
      <c r="F715" s="2">
        <f>SUM(F625:F648)+SUM(F668:F713)</f>
        <v>805024.52418615215</v>
      </c>
      <c r="G715" s="2">
        <f>SUM(G626:G647)+SUM(G668:G713)</f>
        <v>813463.00442592707</v>
      </c>
      <c r="H715" s="2">
        <f>SUM(H629:H647)+SUM(H668:H713)</f>
        <v>1409339.1077328655</v>
      </c>
      <c r="I715" s="2">
        <f>SUM(I630:I647)+SUM(I668:I713)</f>
        <v>1762745.3713424332</v>
      </c>
      <c r="J715" s="2">
        <f>SUM(J631:J647)+SUM(J668:J713)</f>
        <v>380081.26978608512</v>
      </c>
      <c r="K715" s="2">
        <f>SUM(K668:K713)</f>
        <v>10057369.162497312</v>
      </c>
      <c r="L715" s="2">
        <f>SUM(L668:L713)</f>
        <v>1547737.7802897831</v>
      </c>
      <c r="M715" s="2">
        <f>SUM(M668:M713)</f>
        <v>24263784</v>
      </c>
      <c r="N715" s="329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</row>
    <row r="716" spans="1:85" ht="12.65" customHeight="1" x14ac:dyDescent="0.3">
      <c r="A716" s="2"/>
      <c r="B716" s="2"/>
      <c r="C716" s="2">
        <f>CE71</f>
        <v>115695273</v>
      </c>
      <c r="D716" s="2">
        <f>D615</f>
        <v>2620040</v>
      </c>
      <c r="E716" s="2">
        <f>E623</f>
        <v>6761005.4139744639</v>
      </c>
      <c r="F716" s="2">
        <f>F624</f>
        <v>805024.52418615203</v>
      </c>
      <c r="G716" s="2">
        <f>G625</f>
        <v>813463.00442592707</v>
      </c>
      <c r="H716" s="2">
        <f>H628</f>
        <v>1409339.1077328664</v>
      </c>
      <c r="I716" s="2">
        <f>I629</f>
        <v>1762745.3713424336</v>
      </c>
      <c r="J716" s="2">
        <f>J630</f>
        <v>380081.26978608518</v>
      </c>
      <c r="K716" s="2">
        <f>K644</f>
        <v>10057369.16249731</v>
      </c>
      <c r="L716" s="2">
        <f>L647</f>
        <v>1547737.7802897829</v>
      </c>
      <c r="M716" s="2">
        <f>C648</f>
        <v>24263786</v>
      </c>
      <c r="N716" s="329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</row>
    <row r="717" spans="1:85" ht="12.65" customHeight="1" x14ac:dyDescent="0.3">
      <c r="O717" s="196"/>
    </row>
    <row r="718" spans="1:85" ht="12.65" customHeight="1" x14ac:dyDescent="0.3">
      <c r="O718" s="196"/>
    </row>
    <row r="719" spans="1:85" ht="12.65" customHeight="1" x14ac:dyDescent="0.3">
      <c r="A719" s="199" t="s">
        <v>744</v>
      </c>
      <c r="B719" s="199"/>
      <c r="C719" s="199"/>
      <c r="D719" s="199"/>
      <c r="E719" s="199"/>
      <c r="F719" s="199"/>
      <c r="G719" s="199"/>
      <c r="H719" s="199"/>
      <c r="I719" s="277"/>
      <c r="J719" s="277"/>
      <c r="K719" s="277"/>
      <c r="L719" s="277"/>
      <c r="M719" s="277"/>
      <c r="N719" s="277"/>
      <c r="O719" s="200"/>
      <c r="P719" s="277"/>
      <c r="Q719" s="277"/>
      <c r="R719" s="277"/>
      <c r="S719" s="277"/>
      <c r="T719" s="277"/>
      <c r="U719" s="277"/>
      <c r="V719" s="277"/>
      <c r="W719" s="277"/>
      <c r="X719" s="277"/>
      <c r="Y719" s="277"/>
      <c r="Z719" s="277"/>
      <c r="AA719" s="277"/>
      <c r="AB719" s="277"/>
      <c r="AC719" s="277"/>
      <c r="AD719" s="277"/>
      <c r="AE719" s="277"/>
      <c r="AF719" s="277"/>
      <c r="AG719" s="277"/>
      <c r="AH719" s="277"/>
      <c r="AI719" s="277"/>
      <c r="AJ719" s="277"/>
      <c r="AK719" s="277"/>
      <c r="AL719" s="277"/>
      <c r="AM719" s="277"/>
      <c r="AN719" s="277"/>
      <c r="AO719" s="277"/>
      <c r="AP719" s="277"/>
      <c r="AQ719" s="277"/>
      <c r="AR719" s="277"/>
      <c r="AS719" s="277"/>
      <c r="AT719" s="277"/>
      <c r="AU719" s="277"/>
      <c r="AV719" s="277"/>
      <c r="AW719" s="277"/>
      <c r="AX719" s="277"/>
      <c r="AY719" s="277"/>
      <c r="AZ719" s="277"/>
      <c r="BA719" s="277"/>
      <c r="BB719" s="277"/>
      <c r="BC719" s="277"/>
      <c r="BD719" s="277"/>
      <c r="BE719" s="277"/>
      <c r="BF719" s="277"/>
      <c r="BG719" s="277"/>
      <c r="BH719" s="277"/>
      <c r="BI719" s="277"/>
      <c r="BJ719" s="277"/>
      <c r="BK719" s="277"/>
      <c r="BL719" s="277"/>
      <c r="BM719" s="277"/>
      <c r="BN719" s="277"/>
      <c r="BO719" s="277"/>
      <c r="BP719" s="277"/>
      <c r="BQ719" s="277"/>
      <c r="BR719" s="277"/>
      <c r="BS719" s="277"/>
      <c r="BT719" s="277"/>
      <c r="BU719" s="277"/>
      <c r="BV719" s="277"/>
      <c r="BW719" s="277"/>
      <c r="BX719" s="277"/>
      <c r="BY719" s="277"/>
      <c r="BZ719" s="277"/>
      <c r="CA719" s="277"/>
      <c r="CB719" s="277"/>
      <c r="CC719" s="277"/>
      <c r="CD719" s="277"/>
    </row>
    <row r="720" spans="1:85" ht="12.65" customHeight="1" x14ac:dyDescent="0.3">
      <c r="A720" s="201" t="s">
        <v>745</v>
      </c>
      <c r="B720" s="201" t="s">
        <v>746</v>
      </c>
      <c r="C720" s="201" t="s">
        <v>747</v>
      </c>
      <c r="D720" s="201" t="s">
        <v>748</v>
      </c>
      <c r="E720" s="201" t="s">
        <v>749</v>
      </c>
      <c r="F720" s="201" t="s">
        <v>750</v>
      </c>
      <c r="G720" s="201" t="s">
        <v>751</v>
      </c>
      <c r="H720" s="201" t="s">
        <v>752</v>
      </c>
      <c r="I720" s="201" t="s">
        <v>753</v>
      </c>
      <c r="J720" s="201" t="s">
        <v>754</v>
      </c>
      <c r="K720" s="201" t="s">
        <v>755</v>
      </c>
      <c r="L720" s="201" t="s">
        <v>756</v>
      </c>
      <c r="M720" s="201" t="s">
        <v>757</v>
      </c>
      <c r="N720" s="201" t="s">
        <v>758</v>
      </c>
      <c r="O720" s="201" t="s">
        <v>759</v>
      </c>
      <c r="P720" s="201" t="s">
        <v>760</v>
      </c>
      <c r="Q720" s="201" t="s">
        <v>761</v>
      </c>
      <c r="R720" s="201" t="s">
        <v>762</v>
      </c>
      <c r="S720" s="201" t="s">
        <v>763</v>
      </c>
      <c r="T720" s="201" t="s">
        <v>764</v>
      </c>
      <c r="U720" s="201" t="s">
        <v>765</v>
      </c>
      <c r="V720" s="201" t="s">
        <v>766</v>
      </c>
      <c r="W720" s="201" t="s">
        <v>767</v>
      </c>
      <c r="X720" s="201" t="s">
        <v>768</v>
      </c>
      <c r="Y720" s="201" t="s">
        <v>769</v>
      </c>
      <c r="Z720" s="201" t="s">
        <v>770</v>
      </c>
      <c r="AA720" s="201" t="s">
        <v>771</v>
      </c>
      <c r="AB720" s="201" t="s">
        <v>772</v>
      </c>
      <c r="AC720" s="201" t="s">
        <v>773</v>
      </c>
      <c r="AD720" s="201" t="s">
        <v>774</v>
      </c>
      <c r="AE720" s="201" t="s">
        <v>775</v>
      </c>
      <c r="AF720" s="201" t="s">
        <v>776</v>
      </c>
      <c r="AG720" s="201" t="s">
        <v>777</v>
      </c>
      <c r="AH720" s="201" t="s">
        <v>778</v>
      </c>
      <c r="AI720" s="201" t="s">
        <v>779</v>
      </c>
      <c r="AJ720" s="201" t="s">
        <v>780</v>
      </c>
      <c r="AK720" s="201" t="s">
        <v>781</v>
      </c>
      <c r="AL720" s="201" t="s">
        <v>782</v>
      </c>
      <c r="AM720" s="201" t="s">
        <v>783</v>
      </c>
      <c r="AN720" s="201" t="s">
        <v>784</v>
      </c>
      <c r="AO720" s="201" t="s">
        <v>785</v>
      </c>
      <c r="AP720" s="201" t="s">
        <v>786</v>
      </c>
      <c r="AQ720" s="201" t="s">
        <v>787</v>
      </c>
      <c r="AR720" s="201" t="s">
        <v>788</v>
      </c>
      <c r="AS720" s="201" t="s">
        <v>789</v>
      </c>
      <c r="AT720" s="201" t="s">
        <v>790</v>
      </c>
      <c r="AU720" s="201" t="s">
        <v>791</v>
      </c>
      <c r="AV720" s="201" t="s">
        <v>792</v>
      </c>
      <c r="AW720" s="201" t="s">
        <v>793</v>
      </c>
      <c r="AX720" s="201" t="s">
        <v>794</v>
      </c>
      <c r="AY720" s="201" t="s">
        <v>795</v>
      </c>
      <c r="AZ720" s="201" t="s">
        <v>796</v>
      </c>
      <c r="BA720" s="201" t="s">
        <v>797</v>
      </c>
      <c r="BB720" s="201" t="s">
        <v>798</v>
      </c>
      <c r="BC720" s="201" t="s">
        <v>799</v>
      </c>
      <c r="BD720" s="201" t="s">
        <v>800</v>
      </c>
      <c r="BE720" s="201" t="s">
        <v>801</v>
      </c>
      <c r="BF720" s="201" t="s">
        <v>802</v>
      </c>
      <c r="BG720" s="201" t="s">
        <v>803</v>
      </c>
      <c r="BH720" s="201" t="s">
        <v>804</v>
      </c>
      <c r="BI720" s="201" t="s">
        <v>805</v>
      </c>
      <c r="BJ720" s="201" t="s">
        <v>806</v>
      </c>
      <c r="BK720" s="201" t="s">
        <v>807</v>
      </c>
      <c r="BL720" s="201" t="s">
        <v>808</v>
      </c>
      <c r="BM720" s="201" t="s">
        <v>809</v>
      </c>
      <c r="BN720" s="201" t="s">
        <v>810</v>
      </c>
      <c r="BO720" s="201" t="s">
        <v>811</v>
      </c>
      <c r="BP720" s="201" t="s">
        <v>812</v>
      </c>
      <c r="BQ720" s="201" t="s">
        <v>813</v>
      </c>
      <c r="BR720" s="201" t="s">
        <v>814</v>
      </c>
      <c r="BS720" s="201" t="s">
        <v>815</v>
      </c>
      <c r="BT720" s="201" t="s">
        <v>816</v>
      </c>
      <c r="BU720" s="201" t="s">
        <v>817</v>
      </c>
      <c r="BV720" s="201" t="s">
        <v>818</v>
      </c>
      <c r="BW720" s="201" t="s">
        <v>819</v>
      </c>
      <c r="BX720" s="201" t="s">
        <v>820</v>
      </c>
      <c r="BY720" s="201" t="s">
        <v>821</v>
      </c>
      <c r="BZ720" s="278" t="s">
        <v>822</v>
      </c>
      <c r="CA720" s="201" t="s">
        <v>823</v>
      </c>
      <c r="CB720" s="201" t="s">
        <v>824</v>
      </c>
      <c r="CC720" s="201" t="s">
        <v>825</v>
      </c>
    </row>
    <row r="721" spans="1:84" ht="12.65" customHeight="1" x14ac:dyDescent="0.3">
      <c r="A721" s="279" t="str">
        <f>RIGHT(C84,3)&amp;"*"&amp;RIGHT(C83,4)&amp;"*"&amp;"A"</f>
        <v>o 2*085*A</v>
      </c>
      <c r="B721" s="277">
        <f>ROUND(C166,0)</f>
        <v>83254</v>
      </c>
      <c r="C721" s="277">
        <f>ROUND(C167,0)</f>
        <v>284287</v>
      </c>
      <c r="D721" s="277">
        <f>ROUND(C168,0)</f>
        <v>7167386</v>
      </c>
      <c r="E721" s="277">
        <f>ROUND(C169,0)</f>
        <v>111090</v>
      </c>
      <c r="F721" s="277">
        <f>ROUND(C170,0)</f>
        <v>2271298</v>
      </c>
      <c r="G721" s="277">
        <f>ROUND(C171,0)</f>
        <v>12676</v>
      </c>
      <c r="H721" s="277">
        <f>ROUND(C172+C173,0)</f>
        <v>7760</v>
      </c>
      <c r="I721" s="277">
        <f>ROUND(C176,0)</f>
        <v>963029</v>
      </c>
      <c r="J721" s="277">
        <f>ROUND(C177,0)</f>
        <v>0</v>
      </c>
      <c r="K721" s="277">
        <f>ROUND(C180,0)</f>
        <v>228579</v>
      </c>
      <c r="L721" s="277">
        <f>ROUND(C181,0)</f>
        <v>0</v>
      </c>
      <c r="M721" s="277">
        <f>ROUND(C184,0)</f>
        <v>106251</v>
      </c>
      <c r="N721" s="277">
        <f>ROUND(C185,0)</f>
        <v>636790</v>
      </c>
      <c r="O721" s="277">
        <f>ROUND(C186,0)</f>
        <v>0</v>
      </c>
      <c r="P721" s="277">
        <f>ROUND(C189,0)</f>
        <v>219073</v>
      </c>
      <c r="Q721" s="277">
        <f>ROUND(C190,0)</f>
        <v>0</v>
      </c>
      <c r="R721" s="277">
        <f>ROUND(B196,0)</f>
        <v>4028158</v>
      </c>
      <c r="S721" s="277">
        <f>ROUND(C196,0)</f>
        <v>0</v>
      </c>
      <c r="T721" s="277">
        <f>ROUND(D196,0)</f>
        <v>0</v>
      </c>
      <c r="U721" s="277">
        <f>ROUND(B197,0)</f>
        <v>39695927</v>
      </c>
      <c r="V721" s="277">
        <f>ROUND(C197,0)</f>
        <v>1121974</v>
      </c>
      <c r="W721" s="277">
        <f>ROUND(D197,0)</f>
        <v>60660</v>
      </c>
      <c r="X721" s="277">
        <f>ROUND(B198,0)</f>
        <v>0</v>
      </c>
      <c r="Y721" s="277">
        <f>ROUND(C198,0)</f>
        <v>0</v>
      </c>
      <c r="Z721" s="277">
        <f>ROUND(D198,0)</f>
        <v>0</v>
      </c>
      <c r="AA721" s="277">
        <f>ROUND(B199,0)</f>
        <v>0</v>
      </c>
      <c r="AB721" s="277">
        <f>ROUND(C199,0)</f>
        <v>0</v>
      </c>
      <c r="AC721" s="277">
        <f>ROUND(D199,0)</f>
        <v>0</v>
      </c>
      <c r="AD721" s="277">
        <f>ROUND(B200,0)</f>
        <v>38625118</v>
      </c>
      <c r="AE721" s="277">
        <f>ROUND(C200,0)</f>
        <v>3176687</v>
      </c>
      <c r="AF721" s="277">
        <f>ROUND(D200,0)</f>
        <v>2308525</v>
      </c>
      <c r="AG721" s="277">
        <f>ROUND(B201,0)</f>
        <v>0</v>
      </c>
      <c r="AH721" s="277">
        <f>ROUND(C201,0)</f>
        <v>0</v>
      </c>
      <c r="AI721" s="277">
        <f>ROUND(D201,0)</f>
        <v>0</v>
      </c>
      <c r="AJ721" s="277">
        <f>ROUND(B202,0)</f>
        <v>1292256</v>
      </c>
      <c r="AK721" s="277">
        <f>ROUND(C202,0)</f>
        <v>68924</v>
      </c>
      <c r="AL721" s="277">
        <f>ROUND(D202,0)</f>
        <v>0</v>
      </c>
      <c r="AM721" s="277">
        <f>ROUND(B203,0)</f>
        <v>1536972</v>
      </c>
      <c r="AN721" s="277">
        <f>ROUND(C203,0)</f>
        <v>3030884</v>
      </c>
      <c r="AO721" s="277">
        <f>ROUND(D203,0)</f>
        <v>4074605</v>
      </c>
      <c r="AP721" s="277">
        <f>ROUND(B204,0)</f>
        <v>85896499</v>
      </c>
      <c r="AQ721" s="277">
        <f>ROUND(C204,0)</f>
        <v>8237716</v>
      </c>
      <c r="AR721" s="277">
        <f>ROUND(D204,0)</f>
        <v>6451394</v>
      </c>
      <c r="AS721" s="277"/>
      <c r="AT721" s="277"/>
      <c r="AU721" s="277"/>
      <c r="AV721" s="277">
        <f>ROUND(B210,0)</f>
        <v>18295333</v>
      </c>
      <c r="AW721" s="277">
        <f>ROUND(C210,0)</f>
        <v>1847103</v>
      </c>
      <c r="AX721" s="277">
        <f>ROUND(D210,0)</f>
        <v>0</v>
      </c>
      <c r="AY721" s="277">
        <f>ROUND(B211,0)</f>
        <v>0</v>
      </c>
      <c r="AZ721" s="277">
        <f>ROUND(C211,0)</f>
        <v>0</v>
      </c>
      <c r="BA721" s="277">
        <f>ROUND(D211,0)</f>
        <v>0</v>
      </c>
      <c r="BB721" s="277">
        <f>ROUND(B212,0)</f>
        <v>0</v>
      </c>
      <c r="BC721" s="277">
        <f>ROUND(C212,0)</f>
        <v>0</v>
      </c>
      <c r="BD721" s="277">
        <f>ROUND(D212,0)</f>
        <v>0</v>
      </c>
      <c r="BE721" s="277">
        <f>ROUND(B213,0)</f>
        <v>22327543</v>
      </c>
      <c r="BF721" s="277">
        <f>ROUND(C213,0)</f>
        <v>2504115</v>
      </c>
      <c r="BG721" s="277">
        <f>ROUND(D213,0)</f>
        <v>2237747</v>
      </c>
      <c r="BH721" s="277">
        <f>ROUND(B214,0)</f>
        <v>0</v>
      </c>
      <c r="BI721" s="277">
        <f>ROUND(C214,0)</f>
        <v>0</v>
      </c>
      <c r="BJ721" s="277">
        <f>ROUND(D214,0)</f>
        <v>0</v>
      </c>
      <c r="BK721" s="277">
        <f>ROUND(B215,0)</f>
        <v>641419</v>
      </c>
      <c r="BL721" s="277">
        <f>ROUND(C215,0)</f>
        <v>137320</v>
      </c>
      <c r="BM721" s="277">
        <f>ROUND(D215,0)</f>
        <v>0</v>
      </c>
      <c r="BN721" s="277">
        <f>ROUND(B216,0)</f>
        <v>0</v>
      </c>
      <c r="BO721" s="277">
        <f>ROUND(C216,0)</f>
        <v>0</v>
      </c>
      <c r="BP721" s="277">
        <f>ROUND(D216,0)</f>
        <v>0</v>
      </c>
      <c r="BQ721" s="277">
        <f>ROUND(B217,0)</f>
        <v>42524534</v>
      </c>
      <c r="BR721" s="277">
        <f>ROUND(C217,0)</f>
        <v>4743342</v>
      </c>
      <c r="BS721" s="277">
        <f>ROUND(D217,0)</f>
        <v>2237747</v>
      </c>
      <c r="BT721" s="277">
        <f>ROUND(C222,0)</f>
        <v>0</v>
      </c>
      <c r="BU721" s="277">
        <f>ROUND(C223,0)</f>
        <v>91481892</v>
      </c>
      <c r="BV721" s="277">
        <f>ROUND(C224,0)</f>
        <v>22874598</v>
      </c>
      <c r="BW721" s="277">
        <f>ROUND(C225,0)</f>
        <v>1091919</v>
      </c>
      <c r="BX721" s="277">
        <f>ROUND(C226,0)</f>
        <v>0</v>
      </c>
      <c r="BY721" s="277">
        <f>ROUND(C227,0)</f>
        <v>0</v>
      </c>
      <c r="BZ721" s="277">
        <f>ROUND(C230,0)</f>
        <v>0</v>
      </c>
      <c r="CA721" s="277">
        <f>ROUND(C232,0)</f>
        <v>0</v>
      </c>
      <c r="CB721" s="277">
        <f>ROUND(C233,0)</f>
        <v>382468</v>
      </c>
      <c r="CC721" s="277">
        <f>ROUND(C237+C238,0)</f>
        <v>0</v>
      </c>
    </row>
    <row r="723" spans="1:84" ht="12.65" customHeight="1" x14ac:dyDescent="0.3">
      <c r="A723" s="199" t="s">
        <v>148</v>
      </c>
      <c r="B723" s="199"/>
      <c r="C723" s="199"/>
      <c r="D723" s="199"/>
      <c r="E723" s="199"/>
      <c r="F723" s="199"/>
      <c r="G723" s="199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</row>
    <row r="724" spans="1:84" ht="12.65" customHeight="1" x14ac:dyDescent="0.3">
      <c r="A724" s="201" t="s">
        <v>745</v>
      </c>
      <c r="B724" s="201" t="s">
        <v>826</v>
      </c>
      <c r="C724" s="201" t="s">
        <v>827</v>
      </c>
      <c r="D724" s="201" t="s">
        <v>828</v>
      </c>
      <c r="E724" s="201" t="s">
        <v>829</v>
      </c>
      <c r="F724" s="201" t="s">
        <v>830</v>
      </c>
      <c r="G724" s="201" t="s">
        <v>831</v>
      </c>
      <c r="H724" s="201" t="s">
        <v>832</v>
      </c>
      <c r="I724" s="201" t="s">
        <v>833</v>
      </c>
      <c r="J724" s="201" t="s">
        <v>834</v>
      </c>
      <c r="K724" s="201" t="s">
        <v>835</v>
      </c>
      <c r="L724" s="201" t="s">
        <v>836</v>
      </c>
      <c r="M724" s="201" t="s">
        <v>837</v>
      </c>
      <c r="N724" s="201" t="s">
        <v>838</v>
      </c>
      <c r="O724" s="201" t="s">
        <v>839</v>
      </c>
      <c r="P724" s="201" t="s">
        <v>840</v>
      </c>
      <c r="Q724" s="201" t="s">
        <v>841</v>
      </c>
      <c r="R724" s="201" t="s">
        <v>842</v>
      </c>
      <c r="S724" s="201" t="s">
        <v>843</v>
      </c>
      <c r="T724" s="201" t="s">
        <v>844</v>
      </c>
      <c r="U724" s="201" t="s">
        <v>845</v>
      </c>
      <c r="V724" s="201" t="s">
        <v>846</v>
      </c>
      <c r="W724" s="201" t="s">
        <v>847</v>
      </c>
      <c r="X724" s="201" t="s">
        <v>848</v>
      </c>
      <c r="Y724" s="201" t="s">
        <v>849</v>
      </c>
      <c r="Z724" s="201" t="s">
        <v>850</v>
      </c>
      <c r="AA724" s="201" t="s">
        <v>851</v>
      </c>
      <c r="AB724" s="201" t="s">
        <v>852</v>
      </c>
      <c r="AC724" s="201" t="s">
        <v>853</v>
      </c>
      <c r="AD724" s="201" t="s">
        <v>854</v>
      </c>
      <c r="AE724" s="201" t="s">
        <v>855</v>
      </c>
      <c r="AF724" s="201" t="s">
        <v>856</v>
      </c>
      <c r="AG724" s="201" t="s">
        <v>857</v>
      </c>
      <c r="AH724" s="201" t="s">
        <v>858</v>
      </c>
      <c r="AI724" s="201" t="s">
        <v>859</v>
      </c>
      <c r="AJ724" s="201" t="s">
        <v>860</v>
      </c>
      <c r="AK724" s="201" t="s">
        <v>861</v>
      </c>
      <c r="AL724" s="201" t="s">
        <v>862</v>
      </c>
      <c r="AM724" s="201" t="s">
        <v>863</v>
      </c>
      <c r="AN724" s="201" t="s">
        <v>864</v>
      </c>
      <c r="AO724" s="201" t="s">
        <v>865</v>
      </c>
      <c r="AP724" s="201" t="s">
        <v>866</v>
      </c>
      <c r="AQ724" s="201" t="s">
        <v>867</v>
      </c>
      <c r="AR724" s="201" t="s">
        <v>868</v>
      </c>
      <c r="AS724" s="201" t="s">
        <v>869</v>
      </c>
      <c r="AT724" s="201" t="s">
        <v>870</v>
      </c>
      <c r="AU724" s="201" t="s">
        <v>871</v>
      </c>
      <c r="AV724" s="201" t="s">
        <v>872</v>
      </c>
      <c r="AW724" s="201" t="s">
        <v>873</v>
      </c>
      <c r="AX724" s="201" t="s">
        <v>874</v>
      </c>
      <c r="AY724" s="201" t="s">
        <v>875</v>
      </c>
      <c r="AZ724" s="201" t="s">
        <v>876</v>
      </c>
      <c r="BA724" s="201" t="s">
        <v>877</v>
      </c>
      <c r="BB724" s="201" t="s">
        <v>878</v>
      </c>
      <c r="BC724" s="201" t="s">
        <v>879</v>
      </c>
      <c r="BD724" s="201" t="s">
        <v>880</v>
      </c>
      <c r="BE724" s="201" t="s">
        <v>881</v>
      </c>
      <c r="BF724" s="201" t="s">
        <v>882</v>
      </c>
      <c r="BG724" s="201" t="s">
        <v>883</v>
      </c>
      <c r="BH724" s="201" t="s">
        <v>884</v>
      </c>
      <c r="BI724" s="201" t="s">
        <v>885</v>
      </c>
      <c r="BJ724" s="201" t="s">
        <v>886</v>
      </c>
      <c r="BK724" s="201" t="s">
        <v>887</v>
      </c>
      <c r="BL724" s="201" t="s">
        <v>888</v>
      </c>
      <c r="BM724" s="201" t="s">
        <v>889</v>
      </c>
      <c r="BN724" s="201" t="s">
        <v>890</v>
      </c>
      <c r="BO724" s="201" t="s">
        <v>891</v>
      </c>
      <c r="BP724" s="201" t="s">
        <v>892</v>
      </c>
      <c r="BQ724" s="201" t="s">
        <v>893</v>
      </c>
      <c r="BR724" s="201" t="s">
        <v>894</v>
      </c>
    </row>
    <row r="725" spans="1:84" ht="12.65" customHeight="1" x14ac:dyDescent="0.3">
      <c r="A725" s="279" t="str">
        <f>RIGHT(C84,3)&amp;"*"&amp;RIGHT(C83,4)&amp;"*"&amp;"A"</f>
        <v>o 2*085*A</v>
      </c>
      <c r="B725" s="277">
        <f>ROUND(C112,0)</f>
        <v>24</v>
      </c>
      <c r="C725" s="277">
        <f>ROUND(C113,0)</f>
        <v>0</v>
      </c>
      <c r="D725" s="277">
        <f>ROUND(C114,0)</f>
        <v>112</v>
      </c>
      <c r="E725" s="277">
        <f>ROUND(C115,0)</f>
        <v>0</v>
      </c>
      <c r="F725" s="277">
        <f>ROUND(D112,0)</f>
        <v>188</v>
      </c>
      <c r="G725" s="277">
        <f>ROUND(D113,0)</f>
        <v>0</v>
      </c>
      <c r="H725" s="277">
        <f>ROUND(D114,0)</f>
        <v>238</v>
      </c>
      <c r="I725" s="277">
        <f>ROUND(D115,0)</f>
        <v>0</v>
      </c>
      <c r="J725" s="277">
        <f>ROUND(C117,0)</f>
        <v>0</v>
      </c>
      <c r="K725" s="277">
        <f>ROUND(C118,0)</f>
        <v>10</v>
      </c>
      <c r="L725" s="277">
        <f>ROUND(C119,0)</f>
        <v>0</v>
      </c>
      <c r="M725" s="277">
        <f>ROUND(C120,0)</f>
        <v>4</v>
      </c>
      <c r="N725" s="277">
        <f>ROUND(C121,0)</f>
        <v>0</v>
      </c>
      <c r="O725" s="277">
        <f>ROUND(C122,0)</f>
        <v>0</v>
      </c>
      <c r="P725" s="277">
        <f>ROUND(C123,0)</f>
        <v>5</v>
      </c>
      <c r="Q725" s="277">
        <f>ROUND(C124,0)</f>
        <v>0</v>
      </c>
      <c r="R725" s="277">
        <f>ROUND(C125,0)</f>
        <v>0</v>
      </c>
      <c r="S725" s="277">
        <f>ROUND(C126,0)</f>
        <v>0</v>
      </c>
      <c r="T725" s="277"/>
      <c r="U725" s="277">
        <f>ROUND(C127,0)</f>
        <v>0</v>
      </c>
      <c r="V725" s="277">
        <f>ROUND(C129,0)</f>
        <v>4</v>
      </c>
      <c r="W725" s="277">
        <f>ROUND(C130,0)</f>
        <v>0</v>
      </c>
      <c r="X725" s="277">
        <f>ROUND(B139,0)</f>
        <v>2916</v>
      </c>
      <c r="Y725" s="277">
        <f>ROUND(B140,0)</f>
        <v>0</v>
      </c>
      <c r="Z725" s="277">
        <f>ROUND(B141,0)</f>
        <v>30541329</v>
      </c>
      <c r="AA725" s="277">
        <f>ROUND(B142,0)</f>
        <v>125670466</v>
      </c>
      <c r="AB725" s="277">
        <f>ROUND(B143,0)</f>
        <v>0</v>
      </c>
      <c r="AC725" s="277">
        <f>ROUND(C139,0)</f>
        <v>507</v>
      </c>
      <c r="AD725" s="277">
        <f>ROUND(C140,0)</f>
        <v>0</v>
      </c>
      <c r="AE725" s="277">
        <f>ROUND(C141,0)</f>
        <v>5524187</v>
      </c>
      <c r="AF725" s="277">
        <f>ROUND(C142,0)</f>
        <v>32177280</v>
      </c>
      <c r="AG725" s="277">
        <f>ROUND(C143,0)</f>
        <v>0</v>
      </c>
      <c r="AH725" s="277">
        <f>ROUND(D139,0)</f>
        <v>704</v>
      </c>
      <c r="AI725" s="277">
        <f>ROUND(D140,0)</f>
        <v>0</v>
      </c>
      <c r="AJ725" s="277">
        <f>ROUND(D141,0)</f>
        <v>8987228</v>
      </c>
      <c r="AK725" s="277">
        <f>ROUND(D142,0)</f>
        <v>58113123</v>
      </c>
      <c r="AL725" s="277">
        <f>ROUND(D143,0)</f>
        <v>0</v>
      </c>
      <c r="AM725" s="277">
        <f>ROUND(B145,0)</f>
        <v>160</v>
      </c>
      <c r="AN725" s="277">
        <f>ROUND(B146,0)</f>
        <v>0</v>
      </c>
      <c r="AO725" s="277">
        <f>ROUND(B147,0)</f>
        <v>342823</v>
      </c>
      <c r="AP725" s="277">
        <f>ROUND(B148,0)</f>
        <v>0</v>
      </c>
      <c r="AQ725" s="277">
        <f>ROUND(B149,0)</f>
        <v>0</v>
      </c>
      <c r="AR725" s="277">
        <f>ROUND(C145,0)</f>
        <v>14</v>
      </c>
      <c r="AS725" s="277">
        <f>ROUND(C146,0)</f>
        <v>0</v>
      </c>
      <c r="AT725" s="277">
        <f>ROUND(C147,0)</f>
        <v>23898</v>
      </c>
      <c r="AU725" s="277">
        <f>ROUND(C148,0)</f>
        <v>0</v>
      </c>
      <c r="AV725" s="277">
        <f>ROUND(C149,0)</f>
        <v>0</v>
      </c>
      <c r="AW725" s="277">
        <f>ROUND(D145,0)</f>
        <v>14</v>
      </c>
      <c r="AX725" s="277">
        <f>ROUND(D146,0)</f>
        <v>0</v>
      </c>
      <c r="AY725" s="277">
        <f>ROUND(D147,0)</f>
        <v>23898</v>
      </c>
      <c r="AZ725" s="277">
        <f>ROUND(D148,0)</f>
        <v>0</v>
      </c>
      <c r="BA725" s="277">
        <f>ROUND(D149,0)</f>
        <v>0</v>
      </c>
      <c r="BB725" s="277">
        <f>ROUND(B151,0)</f>
        <v>0</v>
      </c>
      <c r="BC725" s="277">
        <f>ROUND(B152,0)</f>
        <v>0</v>
      </c>
      <c r="BD725" s="277">
        <f>ROUND(B153,0)</f>
        <v>0</v>
      </c>
      <c r="BE725" s="277">
        <f>ROUND(B154,0)</f>
        <v>0</v>
      </c>
      <c r="BF725" s="277">
        <f>ROUND(B155,0)</f>
        <v>0</v>
      </c>
      <c r="BG725" s="277">
        <f>ROUND(C151,0)</f>
        <v>0</v>
      </c>
      <c r="BH725" s="277">
        <f>ROUND(C152,0)</f>
        <v>0</v>
      </c>
      <c r="BI725" s="277">
        <f>ROUND(C153,0)</f>
        <v>0</v>
      </c>
      <c r="BJ725" s="277">
        <f>ROUND(C154,0)</f>
        <v>0</v>
      </c>
      <c r="BK725" s="277">
        <f>ROUND(C155,0)</f>
        <v>0</v>
      </c>
      <c r="BL725" s="277">
        <f>ROUND(D151,0)</f>
        <v>0</v>
      </c>
      <c r="BM725" s="277">
        <f>ROUND(D152,0)</f>
        <v>0</v>
      </c>
      <c r="BN725" s="277">
        <f>ROUND(D153,0)</f>
        <v>0</v>
      </c>
      <c r="BO725" s="277">
        <f>ROUND(D154,0)</f>
        <v>0</v>
      </c>
      <c r="BP725" s="277">
        <f>ROUND(D155,0)</f>
        <v>0</v>
      </c>
      <c r="BQ725" s="277">
        <f>ROUND(B158,0)</f>
        <v>0</v>
      </c>
      <c r="BR725" s="277">
        <f>ROUND(C158,0)</f>
        <v>0</v>
      </c>
    </row>
    <row r="727" spans="1:84" ht="12.65" customHeight="1" x14ac:dyDescent="0.3">
      <c r="A727" s="199" t="s">
        <v>895</v>
      </c>
      <c r="B727" s="199"/>
      <c r="C727" s="199"/>
      <c r="D727" s="199"/>
      <c r="E727" s="199"/>
      <c r="F727" s="199"/>
      <c r="G727" s="199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  <c r="CF727" s="277"/>
    </row>
    <row r="728" spans="1:84" ht="12.65" customHeight="1" x14ac:dyDescent="0.3">
      <c r="A728" s="201" t="s">
        <v>745</v>
      </c>
      <c r="B728" s="201" t="s">
        <v>896</v>
      </c>
      <c r="C728" s="201" t="s">
        <v>897</v>
      </c>
      <c r="D728" s="201" t="s">
        <v>898</v>
      </c>
      <c r="E728" s="201" t="s">
        <v>899</v>
      </c>
      <c r="F728" s="201" t="s">
        <v>900</v>
      </c>
      <c r="G728" s="201" t="s">
        <v>901</v>
      </c>
      <c r="H728" s="201" t="s">
        <v>902</v>
      </c>
      <c r="I728" s="201" t="s">
        <v>903</v>
      </c>
      <c r="J728" s="201" t="s">
        <v>904</v>
      </c>
      <c r="K728" s="201" t="s">
        <v>905</v>
      </c>
      <c r="L728" s="201" t="s">
        <v>906</v>
      </c>
      <c r="M728" s="201" t="s">
        <v>907</v>
      </c>
      <c r="N728" s="201" t="s">
        <v>908</v>
      </c>
      <c r="O728" s="201" t="s">
        <v>909</v>
      </c>
      <c r="P728" s="201" t="s">
        <v>910</v>
      </c>
      <c r="Q728" s="201" t="s">
        <v>911</v>
      </c>
      <c r="R728" s="201" t="s">
        <v>912</v>
      </c>
      <c r="S728" s="201" t="s">
        <v>913</v>
      </c>
      <c r="T728" s="201" t="s">
        <v>914</v>
      </c>
      <c r="U728" s="201" t="s">
        <v>915</v>
      </c>
      <c r="V728" s="201" t="s">
        <v>916</v>
      </c>
      <c r="W728" s="201" t="s">
        <v>917</v>
      </c>
      <c r="X728" s="201" t="s">
        <v>918</v>
      </c>
      <c r="Y728" s="201" t="s">
        <v>919</v>
      </c>
      <c r="Z728" s="201" t="s">
        <v>920</v>
      </c>
      <c r="AA728" s="201" t="s">
        <v>921</v>
      </c>
      <c r="AB728" s="201" t="s">
        <v>922</v>
      </c>
      <c r="AC728" s="201" t="s">
        <v>923</v>
      </c>
      <c r="AD728" s="201" t="s">
        <v>924</v>
      </c>
      <c r="AE728" s="201" t="s">
        <v>925</v>
      </c>
      <c r="AF728" s="201" t="s">
        <v>926</v>
      </c>
      <c r="AG728" s="201" t="s">
        <v>927</v>
      </c>
      <c r="AH728" s="201" t="s">
        <v>928</v>
      </c>
      <c r="AI728" s="201" t="s">
        <v>929</v>
      </c>
      <c r="AJ728" s="201" t="s">
        <v>930</v>
      </c>
      <c r="AK728" s="201" t="s">
        <v>931</v>
      </c>
      <c r="AL728" s="201" t="s">
        <v>932</v>
      </c>
      <c r="AM728" s="201" t="s">
        <v>933</v>
      </c>
      <c r="AN728" s="201" t="s">
        <v>934</v>
      </c>
      <c r="AO728" s="201" t="s">
        <v>935</v>
      </c>
      <c r="AP728" s="201" t="s">
        <v>936</v>
      </c>
      <c r="AQ728" s="201" t="s">
        <v>937</v>
      </c>
      <c r="AR728" s="201" t="s">
        <v>938</v>
      </c>
      <c r="AS728" s="201" t="s">
        <v>939</v>
      </c>
      <c r="AT728" s="201" t="s">
        <v>940</v>
      </c>
      <c r="AU728" s="201" t="s">
        <v>941</v>
      </c>
      <c r="AV728" s="201" t="s">
        <v>942</v>
      </c>
      <c r="AW728" s="201" t="s">
        <v>943</v>
      </c>
      <c r="AX728" s="201" t="s">
        <v>944</v>
      </c>
      <c r="AY728" s="201" t="s">
        <v>945</v>
      </c>
      <c r="AZ728" s="201" t="s">
        <v>946</v>
      </c>
      <c r="BA728" s="201" t="s">
        <v>947</v>
      </c>
      <c r="BB728" s="201" t="s">
        <v>948</v>
      </c>
      <c r="BC728" s="201" t="s">
        <v>949</v>
      </c>
      <c r="BD728" s="201" t="s">
        <v>950</v>
      </c>
      <c r="BE728" s="201" t="s">
        <v>951</v>
      </c>
      <c r="BF728" s="201" t="s">
        <v>952</v>
      </c>
      <c r="BG728" s="201" t="s">
        <v>953</v>
      </c>
      <c r="BH728" s="201" t="s">
        <v>954</v>
      </c>
      <c r="BI728" s="201" t="s">
        <v>955</v>
      </c>
      <c r="BJ728" s="201" t="s">
        <v>956</v>
      </c>
      <c r="BK728" s="201" t="s">
        <v>957</v>
      </c>
      <c r="BL728" s="201" t="s">
        <v>958</v>
      </c>
      <c r="BM728" s="201" t="s">
        <v>959</v>
      </c>
      <c r="BN728" s="201" t="s">
        <v>960</v>
      </c>
      <c r="BO728" s="201" t="s">
        <v>961</v>
      </c>
      <c r="BP728" s="201" t="s">
        <v>962</v>
      </c>
      <c r="BQ728" s="201" t="s">
        <v>963</v>
      </c>
      <c r="BR728" s="201" t="s">
        <v>964</v>
      </c>
      <c r="BS728" s="201" t="s">
        <v>965</v>
      </c>
      <c r="BT728" s="201" t="s">
        <v>966</v>
      </c>
      <c r="BU728" s="201" t="s">
        <v>967</v>
      </c>
      <c r="BV728" s="201" t="s">
        <v>968</v>
      </c>
      <c r="BW728" s="201" t="s">
        <v>969</v>
      </c>
      <c r="BX728" s="201" t="s">
        <v>970</v>
      </c>
      <c r="BY728" s="201" t="s">
        <v>971</v>
      </c>
      <c r="BZ728" s="201" t="s">
        <v>972</v>
      </c>
      <c r="CA728" s="201" t="s">
        <v>973</v>
      </c>
      <c r="CB728" s="201" t="s">
        <v>974</v>
      </c>
      <c r="CC728" s="201" t="s">
        <v>975</v>
      </c>
      <c r="CD728" s="201" t="s">
        <v>976</v>
      </c>
      <c r="CE728" s="201" t="s">
        <v>977</v>
      </c>
      <c r="CF728" s="201" t="s">
        <v>978</v>
      </c>
    </row>
    <row r="729" spans="1:84" ht="12.65" customHeight="1" x14ac:dyDescent="0.3">
      <c r="A729" s="279" t="str">
        <f>RIGHT(C84,3)&amp;"*"&amp;RIGHT(C83,4)&amp;"*"&amp;"A"</f>
        <v>o 2*085*A</v>
      </c>
      <c r="B729" s="277">
        <f>ROUND(C249,0)</f>
        <v>0</v>
      </c>
      <c r="C729" s="277">
        <f>ROUND(C250,0)</f>
        <v>8201804</v>
      </c>
      <c r="D729" s="277">
        <f>ROUND(C251,0)</f>
        <v>0</v>
      </c>
      <c r="E729" s="277">
        <f>ROUND(C252,0)</f>
        <v>19682721</v>
      </c>
      <c r="F729" s="277">
        <f>ROUND(C253,0)</f>
        <v>4017000</v>
      </c>
      <c r="G729" s="277">
        <f>ROUND(C254,0)</f>
        <v>4388214</v>
      </c>
      <c r="H729" s="277">
        <f>ROUND(C255,0)</f>
        <v>730917</v>
      </c>
      <c r="I729" s="277">
        <f>ROUND(C256,0)</f>
        <v>0</v>
      </c>
      <c r="J729" s="277">
        <f>ROUND(C257,0)</f>
        <v>2423450</v>
      </c>
      <c r="K729" s="277">
        <f>ROUND(C258,0)</f>
        <v>1047875</v>
      </c>
      <c r="L729" s="277">
        <f>ROUND(C261,0)</f>
        <v>0</v>
      </c>
      <c r="M729" s="277">
        <f>ROUND(C262,0)</f>
        <v>22009774</v>
      </c>
      <c r="N729" s="277">
        <f>ROUND(C263,0)</f>
        <v>0</v>
      </c>
      <c r="O729" s="277">
        <f>ROUND(C266,0)</f>
        <v>0</v>
      </c>
      <c r="P729" s="277">
        <f>ROUND(C267,0)</f>
        <v>1549711</v>
      </c>
      <c r="Q729" s="277">
        <f>ROUND(C268,0)</f>
        <v>4028158</v>
      </c>
      <c r="R729" s="277">
        <f>ROUND(C269,0)</f>
        <v>40757243</v>
      </c>
      <c r="S729" s="277">
        <f>ROUND(C270,0)</f>
        <v>0</v>
      </c>
      <c r="T729" s="277">
        <f>ROUND(C271,0)</f>
        <v>0</v>
      </c>
      <c r="U729" s="277">
        <f>ROUND(C272,0)</f>
        <v>39493280</v>
      </c>
      <c r="V729" s="277">
        <f>ROUND(C273,0)</f>
        <v>1361180</v>
      </c>
      <c r="W729" s="277">
        <f>ROUND(C274,0)</f>
        <v>493251</v>
      </c>
      <c r="X729" s="277">
        <f>ROUND(C275,0)</f>
        <v>0</v>
      </c>
      <c r="Y729" s="277">
        <f>ROUND(C278,0)</f>
        <v>0</v>
      </c>
      <c r="Z729" s="277">
        <f>ROUND(C279,0)</f>
        <v>0</v>
      </c>
      <c r="AA729" s="277">
        <f>ROUND(C280,0)</f>
        <v>0</v>
      </c>
      <c r="AB729" s="277">
        <f>ROUND(C281,0)</f>
        <v>0</v>
      </c>
      <c r="AC729" s="277">
        <f>ROUND(C285,0)</f>
        <v>0</v>
      </c>
      <c r="AD729" s="277">
        <f>ROUND(C286,0)</f>
        <v>0</v>
      </c>
      <c r="AE729" s="277">
        <f>ROUND(C287,0)</f>
        <v>0</v>
      </c>
      <c r="AF729" s="277">
        <f>ROUND(C288,0)</f>
        <v>0</v>
      </c>
      <c r="AG729" s="277">
        <f>ROUND(C303,0)</f>
        <v>0</v>
      </c>
      <c r="AH729" s="277">
        <f>ROUND(C304,0)</f>
        <v>0</v>
      </c>
      <c r="AI729" s="277">
        <f>ROUND(C305,0)</f>
        <v>1947897</v>
      </c>
      <c r="AJ729" s="277">
        <f>ROUND(C306,0)</f>
        <v>6257515</v>
      </c>
      <c r="AK729" s="277">
        <f>ROUND(C307,0)</f>
        <v>0</v>
      </c>
      <c r="AL729" s="277">
        <f>ROUND(C308,0)</f>
        <v>0</v>
      </c>
      <c r="AM729" s="277">
        <f>ROUND(C309,0)</f>
        <v>0</v>
      </c>
      <c r="AN729" s="277">
        <f>ROUND(C310,0)</f>
        <v>0</v>
      </c>
      <c r="AO729" s="277">
        <f>ROUND(C311,0)</f>
        <v>0</v>
      </c>
      <c r="AP729" s="277">
        <f>ROUND(C312,0)</f>
        <v>589168</v>
      </c>
      <c r="AQ729" s="277">
        <f>ROUND(C315,0)</f>
        <v>0</v>
      </c>
      <c r="AR729" s="277">
        <f>ROUND(C316,0)</f>
        <v>0</v>
      </c>
      <c r="AS729" s="277">
        <f>ROUND(C317,0)</f>
        <v>0</v>
      </c>
      <c r="AT729" s="277">
        <f>ROUND(C320,0)</f>
        <v>0</v>
      </c>
      <c r="AU729" s="277">
        <f>ROUND(C321,0)</f>
        <v>0</v>
      </c>
      <c r="AV729" s="277">
        <f>ROUND(C322,0)</f>
        <v>0</v>
      </c>
      <c r="AW729" s="277">
        <f>ROUND(C323,0)</f>
        <v>3544313</v>
      </c>
      <c r="AX729" s="277">
        <f>ROUND(C324,0)</f>
        <v>0</v>
      </c>
      <c r="AY729" s="277">
        <f>ROUND(C325,0)</f>
        <v>24934458</v>
      </c>
      <c r="AZ729" s="277">
        <f>ROUND(C326,0)</f>
        <v>0</v>
      </c>
      <c r="BA729" s="277">
        <f>ROUND(C327,0)</f>
        <v>0</v>
      </c>
      <c r="BB729" s="277">
        <f>ROUND(C331,0)</f>
        <v>0</v>
      </c>
      <c r="BC729" s="277"/>
      <c r="BD729" s="277"/>
      <c r="BE729" s="277">
        <f>ROUND(C336,0)</f>
        <v>0</v>
      </c>
      <c r="BF729" s="277">
        <f>ROUND(C335,0)</f>
        <v>0</v>
      </c>
      <c r="BG729" s="277"/>
      <c r="BH729" s="277"/>
      <c r="BI729" s="280">
        <f>ROUND(CE60,2)</f>
        <v>645.79</v>
      </c>
      <c r="BJ729" s="277">
        <f>ROUND(C358,0)</f>
        <v>0</v>
      </c>
      <c r="BK729" s="277">
        <f>ROUND(C359,0)</f>
        <v>45443363</v>
      </c>
      <c r="BL729" s="277">
        <f>ROUND(C362,0)</f>
        <v>0</v>
      </c>
      <c r="BM729" s="277">
        <f>ROUND(C363,0)</f>
        <v>4156476</v>
      </c>
      <c r="BN729" s="277">
        <f>ROUND(C364,0)</f>
        <v>115448409</v>
      </c>
      <c r="BO729" s="277">
        <f>ROUND(C368,0)</f>
        <v>0</v>
      </c>
      <c r="BP729" s="277">
        <f>ROUND(C369,0)</f>
        <v>0</v>
      </c>
      <c r="BQ729" s="277">
        <f>ROUND(C376,0)</f>
        <v>0</v>
      </c>
      <c r="BR729" s="277">
        <f>ROUND(C377,0)</f>
        <v>0</v>
      </c>
      <c r="BS729" s="277">
        <f>ROUND(C378,0)</f>
        <v>57874283</v>
      </c>
      <c r="BT729" s="277">
        <f>ROUND(C379,0)</f>
        <v>13754925</v>
      </c>
      <c r="BU729" s="277">
        <f>ROUND(C380,0)</f>
        <v>6575946</v>
      </c>
      <c r="BV729" s="277">
        <f>ROUND(C381,0)</f>
        <v>23375062</v>
      </c>
      <c r="BW729" s="277">
        <f>ROUND(C382,0)</f>
        <v>1175553</v>
      </c>
      <c r="BX729" s="277">
        <f>ROUND(C383,0)</f>
        <v>6534407</v>
      </c>
      <c r="BY729" s="277">
        <f>ROUND(C384,0)</f>
        <v>4743342</v>
      </c>
      <c r="BZ729" s="277">
        <f>ROUND(C385,0)</f>
        <v>1631572</v>
      </c>
      <c r="CA729" s="277">
        <f>ROUND(C386,0)</f>
        <v>697227</v>
      </c>
      <c r="CB729" s="277">
        <f>ROUND(C387,0)</f>
        <v>743041</v>
      </c>
      <c r="CC729" s="277">
        <f>ROUND(C388,0)</f>
        <v>1008452</v>
      </c>
      <c r="CD729" s="277">
        <f>ROUND(C391,0)</f>
        <v>0</v>
      </c>
      <c r="CE729" s="277">
        <f>ROUND(C393,0)</f>
        <v>0</v>
      </c>
      <c r="CF729" s="277">
        <f>ROUND(C394,0)</f>
        <v>0</v>
      </c>
    </row>
    <row r="731" spans="1:84" ht="12.65" customHeight="1" x14ac:dyDescent="0.3">
      <c r="A731" s="199" t="s">
        <v>979</v>
      </c>
      <c r="B731" s="199"/>
      <c r="C731" s="199"/>
      <c r="D731" s="199"/>
      <c r="E731" s="199"/>
      <c r="F731" s="199"/>
      <c r="G731" s="199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BL731" s="195"/>
    </row>
    <row r="732" spans="1:84" ht="12.65" customHeight="1" x14ac:dyDescent="0.3">
      <c r="A732" s="201" t="s">
        <v>745</v>
      </c>
      <c r="B732" s="201" t="s">
        <v>980</v>
      </c>
      <c r="C732" s="201" t="s">
        <v>981</v>
      </c>
      <c r="D732" s="201" t="s">
        <v>982</v>
      </c>
      <c r="E732" s="201" t="s">
        <v>983</v>
      </c>
      <c r="F732" s="201" t="s">
        <v>984</v>
      </c>
      <c r="G732" s="201" t="s">
        <v>985</v>
      </c>
      <c r="H732" s="201" t="s">
        <v>986</v>
      </c>
      <c r="I732" s="201" t="s">
        <v>987</v>
      </c>
      <c r="J732" s="201" t="s">
        <v>988</v>
      </c>
      <c r="K732" s="201" t="s">
        <v>989</v>
      </c>
      <c r="L732" s="201" t="s">
        <v>990</v>
      </c>
      <c r="M732" s="201" t="s">
        <v>991</v>
      </c>
      <c r="N732" s="201" t="s">
        <v>992</v>
      </c>
      <c r="O732" s="201" t="s">
        <v>993</v>
      </c>
      <c r="P732" s="201" t="s">
        <v>994</v>
      </c>
      <c r="Q732" s="201" t="s">
        <v>995</v>
      </c>
      <c r="R732" s="201" t="s">
        <v>996</v>
      </c>
      <c r="S732" s="201" t="s">
        <v>997</v>
      </c>
      <c r="T732" s="201" t="s">
        <v>998</v>
      </c>
      <c r="U732" s="201" t="s">
        <v>999</v>
      </c>
      <c r="V732" s="201" t="s">
        <v>1259</v>
      </c>
      <c r="W732" s="201" t="s">
        <v>1000</v>
      </c>
      <c r="X732" s="201" t="s">
        <v>1001</v>
      </c>
      <c r="Y732" s="201" t="s">
        <v>1002</v>
      </c>
      <c r="Z732" s="201" t="s">
        <v>1003</v>
      </c>
    </row>
    <row r="733" spans="1:84" ht="12.65" customHeight="1" x14ac:dyDescent="0.3">
      <c r="A733" s="207" t="str">
        <f>RIGHT($C$84,3)&amp;"*"&amp;RIGHT($C$83,4)&amp;"*"&amp;C$55&amp;"*"&amp;"A"</f>
        <v>o 2*085*6010*A</v>
      </c>
      <c r="B733" s="277">
        <f>ROUND(C59,0)</f>
        <v>263</v>
      </c>
      <c r="C733" s="280">
        <f>ROUND(C60,2)</f>
        <v>12.56</v>
      </c>
      <c r="D733" s="277">
        <f>ROUND(C61,0)</f>
        <v>1111070</v>
      </c>
      <c r="E733" s="277">
        <f>ROUND(C62,0)</f>
        <v>264067</v>
      </c>
      <c r="F733" s="277">
        <f>ROUND(C63,0)</f>
        <v>74047</v>
      </c>
      <c r="G733" s="277">
        <f>ROUND(C64,0)</f>
        <v>84775</v>
      </c>
      <c r="H733" s="277">
        <f>ROUND(C65,0)</f>
        <v>0</v>
      </c>
      <c r="I733" s="277">
        <f>ROUND(C66,0)</f>
        <v>5912</v>
      </c>
      <c r="J733" s="277">
        <f>ROUND(C67,0)</f>
        <v>53156</v>
      </c>
      <c r="K733" s="277">
        <f>ROUND(C68,0)</f>
        <v>0</v>
      </c>
      <c r="L733" s="277">
        <f>ROUND(C70,0)</f>
        <v>0</v>
      </c>
      <c r="M733" s="277">
        <f>ROUND(C71,0)</f>
        <v>1602597</v>
      </c>
      <c r="N733" s="277">
        <f>ROUND(C76,0)</f>
        <v>2556</v>
      </c>
      <c r="O733" s="277">
        <f>ROUND(C74,0)</f>
        <v>40509</v>
      </c>
      <c r="P733" s="277">
        <f>IF(C77&gt;0,ROUND(C77,0),0)</f>
        <v>898</v>
      </c>
      <c r="Q733" s="277">
        <f>IF(C78&gt;0,ROUND(C78,0),0)</f>
        <v>3448</v>
      </c>
      <c r="R733" s="277">
        <f>IF(C79&gt;0,ROUND(C79,0),0)</f>
        <v>10674</v>
      </c>
      <c r="S733" s="277">
        <f>IF(C80&gt;0,ROUND(C80,0),0)</f>
        <v>9</v>
      </c>
      <c r="T733" s="280">
        <f>IF(C81&gt;0,ROUND(C81,2),0)</f>
        <v>0</v>
      </c>
      <c r="U733" s="277"/>
      <c r="X733" s="277"/>
      <c r="Y733" s="277"/>
      <c r="Z733" s="277">
        <f>IF(M667&lt;&gt;0,ROUND(M667,0),0)</f>
        <v>0</v>
      </c>
    </row>
    <row r="734" spans="1:84" ht="12.65" customHeight="1" x14ac:dyDescent="0.3">
      <c r="A734" s="207" t="str">
        <f>RIGHT($C$84,3)&amp;"*"&amp;RIGHT($C$83,4)&amp;"*"&amp;D$55&amp;"*"&amp;"A"</f>
        <v>o 2*085*6030*A</v>
      </c>
      <c r="B734" s="277">
        <f>ROUND(D59,0)</f>
        <v>0</v>
      </c>
      <c r="C734" s="280">
        <f>ROUND(D60,2)</f>
        <v>0</v>
      </c>
      <c r="D734" s="277">
        <f>ROUND(D61,0)</f>
        <v>0</v>
      </c>
      <c r="E734" s="277">
        <f>ROUND(D62,0)</f>
        <v>0</v>
      </c>
      <c r="F734" s="277">
        <f>ROUND(D63,0)</f>
        <v>0</v>
      </c>
      <c r="G734" s="277">
        <f>ROUND(D64,0)</f>
        <v>0</v>
      </c>
      <c r="H734" s="277">
        <f>ROUND(D65,0)</f>
        <v>0</v>
      </c>
      <c r="I734" s="277">
        <f>ROUND(D66,0)</f>
        <v>0</v>
      </c>
      <c r="J734" s="277">
        <f>ROUND(D67,0)</f>
        <v>0</v>
      </c>
      <c r="K734" s="277">
        <f>ROUND(D68,0)</f>
        <v>0</v>
      </c>
      <c r="L734" s="277">
        <f>ROUND(D70,0)</f>
        <v>0</v>
      </c>
      <c r="M734" s="277">
        <f>ROUND(D71,0)</f>
        <v>0</v>
      </c>
      <c r="N734" s="277">
        <f>ROUND(D76,0)</f>
        <v>0</v>
      </c>
      <c r="O734" s="277">
        <f>ROUND(D74,0)</f>
        <v>0</v>
      </c>
      <c r="P734" s="277">
        <f>IF(D77&gt;0,ROUND(D77,0),0)</f>
        <v>0</v>
      </c>
      <c r="Q734" s="277">
        <f>IF(D78&gt;0,ROUND(D78,0),0)</f>
        <v>0</v>
      </c>
      <c r="R734" s="277">
        <f>IF(D79&gt;0,ROUND(D79,0),0)</f>
        <v>0</v>
      </c>
      <c r="S734" s="277">
        <f>IF(D80&gt;0,ROUND(D80,0),0)</f>
        <v>0</v>
      </c>
      <c r="T734" s="280">
        <f>IF(D81&gt;0,ROUND(D81,2),0)</f>
        <v>0</v>
      </c>
      <c r="U734" s="277"/>
      <c r="X734" s="277"/>
      <c r="Y734" s="277"/>
      <c r="Z734" s="277">
        <f t="shared" ref="Z734:Z778" si="21">IF(M668&lt;&gt;0,ROUND(M668,0),0)</f>
        <v>532443</v>
      </c>
    </row>
    <row r="735" spans="1:84" ht="12.65" customHeight="1" x14ac:dyDescent="0.3">
      <c r="A735" s="207" t="str">
        <f>RIGHT($C$84,3)&amp;"*"&amp;RIGHT($C$83,4)&amp;"*"&amp;E$55&amp;"*"&amp;"A"</f>
        <v>o 2*085*6070*A</v>
      </c>
      <c r="B735" s="277">
        <f>ROUND(E59,0)</f>
        <v>3864</v>
      </c>
      <c r="C735" s="280">
        <f>ROUND(E60,2)</f>
        <v>39.69</v>
      </c>
      <c r="D735" s="277">
        <f>ROUND(E61,0)</f>
        <v>2935627</v>
      </c>
      <c r="E735" s="277">
        <f>ROUND(E62,0)</f>
        <v>697708</v>
      </c>
      <c r="F735" s="277">
        <f>ROUND(E63,0)</f>
        <v>6464</v>
      </c>
      <c r="G735" s="277">
        <f>ROUND(E64,0)</f>
        <v>308008</v>
      </c>
      <c r="H735" s="277">
        <f>ROUND(E65,0)</f>
        <v>0</v>
      </c>
      <c r="I735" s="277">
        <f>ROUND(E66,0)</f>
        <v>34585</v>
      </c>
      <c r="J735" s="277">
        <f>ROUND(E67,0)</f>
        <v>120050</v>
      </c>
      <c r="K735" s="277">
        <f>ROUND(E68,0)</f>
        <v>0</v>
      </c>
      <c r="L735" s="277">
        <f>ROUND(E70,0)</f>
        <v>0</v>
      </c>
      <c r="M735" s="277">
        <f>ROUND(E71,0)</f>
        <v>4120145</v>
      </c>
      <c r="N735" s="277">
        <f>ROUND(E76,0)</f>
        <v>5773</v>
      </c>
      <c r="O735" s="277">
        <f>ROUND(E74,0)</f>
        <v>2181206</v>
      </c>
      <c r="P735" s="277">
        <f>IF(E77&gt;0,ROUND(E77,0),0)</f>
        <v>14092</v>
      </c>
      <c r="Q735" s="277">
        <f>IF(E78&gt;0,ROUND(E78,0),0)</f>
        <v>17048</v>
      </c>
      <c r="R735" s="277">
        <f>IF(E79&gt;0,ROUND(E79,0),0)</f>
        <v>52770</v>
      </c>
      <c r="S735" s="277">
        <f>IF(E80&gt;0,ROUND(E80,0),0)</f>
        <v>21</v>
      </c>
      <c r="T735" s="280">
        <f>IF(E81&gt;0,ROUND(E81,2),0)</f>
        <v>0</v>
      </c>
      <c r="U735" s="277"/>
      <c r="X735" s="277"/>
      <c r="Y735" s="277"/>
      <c r="Z735" s="277">
        <f t="shared" si="21"/>
        <v>0</v>
      </c>
    </row>
    <row r="736" spans="1:84" ht="12.65" customHeight="1" x14ac:dyDescent="0.3">
      <c r="A736" s="207" t="str">
        <f>RIGHT($C$84,3)&amp;"*"&amp;RIGHT($C$83,4)&amp;"*"&amp;F$55&amp;"*"&amp;"A"</f>
        <v>o 2*085*6100*A</v>
      </c>
      <c r="B736" s="277">
        <f>ROUND(F59,0)</f>
        <v>0</v>
      </c>
      <c r="C736" s="280">
        <f>ROUND(F60,2)</f>
        <v>0</v>
      </c>
      <c r="D736" s="277">
        <f>ROUND(F61,0)</f>
        <v>0</v>
      </c>
      <c r="E736" s="277">
        <f>ROUND(F62,0)</f>
        <v>0</v>
      </c>
      <c r="F736" s="277">
        <f>ROUND(F63,0)</f>
        <v>0</v>
      </c>
      <c r="G736" s="277">
        <f>ROUND(F64,0)</f>
        <v>0</v>
      </c>
      <c r="H736" s="277">
        <f>ROUND(F65,0)</f>
        <v>0</v>
      </c>
      <c r="I736" s="277">
        <f>ROUND(F66,0)</f>
        <v>0</v>
      </c>
      <c r="J736" s="277">
        <f>ROUND(F67,0)</f>
        <v>0</v>
      </c>
      <c r="K736" s="277">
        <f>ROUND(F68,0)</f>
        <v>0</v>
      </c>
      <c r="L736" s="277">
        <f>ROUND(F70,0)</f>
        <v>0</v>
      </c>
      <c r="M736" s="277">
        <f>ROUND(F71,0)</f>
        <v>0</v>
      </c>
      <c r="N736" s="277">
        <f>ROUND(F76,0)</f>
        <v>0</v>
      </c>
      <c r="O736" s="277">
        <f>ROUND(F74,0)</f>
        <v>0</v>
      </c>
      <c r="P736" s="277">
        <f>IF(F77&gt;0,ROUND(F77,0),0)</f>
        <v>0</v>
      </c>
      <c r="Q736" s="277">
        <f>IF(F78&gt;0,ROUND(F78,0),0)</f>
        <v>0</v>
      </c>
      <c r="R736" s="277">
        <f>IF(F79&gt;0,ROUND(F79,0),0)</f>
        <v>0</v>
      </c>
      <c r="S736" s="277">
        <f>IF(F80&gt;0,ROUND(F80,0),0)</f>
        <v>0</v>
      </c>
      <c r="T736" s="280">
        <f>IF(F81&gt;0,ROUND(F81,2),0)</f>
        <v>0</v>
      </c>
      <c r="U736" s="277"/>
      <c r="X736" s="277"/>
      <c r="Y736" s="277"/>
      <c r="Z736" s="277">
        <f t="shared" si="21"/>
        <v>2302733</v>
      </c>
    </row>
    <row r="737" spans="1:26" ht="12.65" customHeight="1" x14ac:dyDescent="0.3">
      <c r="A737" s="207" t="str">
        <f>RIGHT($C$84,3)&amp;"*"&amp;RIGHT($C$83,4)&amp;"*"&amp;G$55&amp;"*"&amp;"A"</f>
        <v>o 2*085*6120*A</v>
      </c>
      <c r="B737" s="277">
        <f>ROUND(G59,0)</f>
        <v>0</v>
      </c>
      <c r="C737" s="280">
        <f>ROUND(G60,2)</f>
        <v>0</v>
      </c>
      <c r="D737" s="277">
        <f>ROUND(G61,0)</f>
        <v>0</v>
      </c>
      <c r="E737" s="277">
        <f>ROUND(G62,0)</f>
        <v>0</v>
      </c>
      <c r="F737" s="277">
        <f>ROUND(G63,0)</f>
        <v>0</v>
      </c>
      <c r="G737" s="277">
        <f>ROUND(G64,0)</f>
        <v>0</v>
      </c>
      <c r="H737" s="277">
        <f>ROUND(G65,0)</f>
        <v>0</v>
      </c>
      <c r="I737" s="277">
        <f>ROUND(G66,0)</f>
        <v>0</v>
      </c>
      <c r="J737" s="277">
        <f>ROUND(G67,0)</f>
        <v>0</v>
      </c>
      <c r="K737" s="277">
        <f>ROUND(G68,0)</f>
        <v>0</v>
      </c>
      <c r="L737" s="277">
        <f>ROUND(G70,0)</f>
        <v>0</v>
      </c>
      <c r="M737" s="277">
        <f>ROUND(G71,0)</f>
        <v>0</v>
      </c>
      <c r="N737" s="277">
        <f>ROUND(G76,0)</f>
        <v>0</v>
      </c>
      <c r="O737" s="277">
        <f>ROUND(G74,0)</f>
        <v>0</v>
      </c>
      <c r="P737" s="277">
        <f>IF(G77&gt;0,ROUND(G77,0),0)</f>
        <v>0</v>
      </c>
      <c r="Q737" s="277">
        <f>IF(G78&gt;0,ROUND(G78,0),0)</f>
        <v>0</v>
      </c>
      <c r="R737" s="277">
        <f>IF(G79&gt;0,ROUND(G79,0),0)</f>
        <v>0</v>
      </c>
      <c r="S737" s="277">
        <f>IF(G80&gt;0,ROUND(G80,0),0)</f>
        <v>0</v>
      </c>
      <c r="T737" s="280">
        <f>IF(G81&gt;0,ROUND(G81,2),0)</f>
        <v>0</v>
      </c>
      <c r="U737" s="277"/>
      <c r="X737" s="277"/>
      <c r="Y737" s="277"/>
      <c r="Z737" s="277">
        <f t="shared" si="21"/>
        <v>0</v>
      </c>
    </row>
    <row r="738" spans="1:26" ht="12.65" customHeight="1" x14ac:dyDescent="0.3">
      <c r="A738" s="207" t="str">
        <f>RIGHT($C$84,3)&amp;"*"&amp;RIGHT($C$83,4)&amp;"*"&amp;H$55&amp;"*"&amp;"A"</f>
        <v>o 2*085*6140*A</v>
      </c>
      <c r="B738" s="277">
        <f>ROUND(H59,0)</f>
        <v>0</v>
      </c>
      <c r="C738" s="280">
        <f>ROUND(H60,2)</f>
        <v>0</v>
      </c>
      <c r="D738" s="277">
        <f>ROUND(H61,0)</f>
        <v>0</v>
      </c>
      <c r="E738" s="277">
        <f>ROUND(H62,0)</f>
        <v>0</v>
      </c>
      <c r="F738" s="277">
        <f>ROUND(H63,0)</f>
        <v>0</v>
      </c>
      <c r="G738" s="277">
        <f>ROUND(H64,0)</f>
        <v>0</v>
      </c>
      <c r="H738" s="277">
        <f>ROUND(H65,0)</f>
        <v>0</v>
      </c>
      <c r="I738" s="277">
        <f>ROUND(H66,0)</f>
        <v>0</v>
      </c>
      <c r="J738" s="277">
        <f>ROUND(H67,0)</f>
        <v>0</v>
      </c>
      <c r="K738" s="277">
        <f>ROUND(H68,0)</f>
        <v>0</v>
      </c>
      <c r="L738" s="277">
        <f>ROUND(H70,0)</f>
        <v>0</v>
      </c>
      <c r="M738" s="277">
        <f>ROUND(H71,0)</f>
        <v>0</v>
      </c>
      <c r="N738" s="277">
        <f>ROUND(H76,0)</f>
        <v>0</v>
      </c>
      <c r="O738" s="277">
        <f>ROUND(H74,0)</f>
        <v>0</v>
      </c>
      <c r="P738" s="277">
        <f>IF(H77&gt;0,ROUND(H77,0),0)</f>
        <v>0</v>
      </c>
      <c r="Q738" s="277">
        <f>IF(H78&gt;0,ROUND(H78,0),0)</f>
        <v>0</v>
      </c>
      <c r="R738" s="277">
        <f>IF(H79&gt;0,ROUND(H79,0),0)</f>
        <v>0</v>
      </c>
      <c r="S738" s="277">
        <f>IF(H80&gt;0,ROUND(H80,0),0)</f>
        <v>0</v>
      </c>
      <c r="T738" s="280">
        <f>IF(H81&gt;0,ROUND(H81,2),0)</f>
        <v>0</v>
      </c>
      <c r="U738" s="277"/>
      <c r="X738" s="277"/>
      <c r="Y738" s="277"/>
      <c r="Z738" s="277">
        <f t="shared" si="21"/>
        <v>0</v>
      </c>
    </row>
    <row r="739" spans="1:26" ht="12.65" customHeight="1" x14ac:dyDescent="0.3">
      <c r="A739" s="207" t="str">
        <f>RIGHT($C$84,3)&amp;"*"&amp;RIGHT($C$83,4)&amp;"*"&amp;I$55&amp;"*"&amp;"A"</f>
        <v>o 2*085*6150*A</v>
      </c>
      <c r="B739" s="277">
        <f>ROUND(I59,0)</f>
        <v>0</v>
      </c>
      <c r="C739" s="280">
        <f>ROUND(I60,2)</f>
        <v>0</v>
      </c>
      <c r="D739" s="277">
        <f>ROUND(I61,0)</f>
        <v>0</v>
      </c>
      <c r="E739" s="277">
        <f>ROUND(I62,0)</f>
        <v>0</v>
      </c>
      <c r="F739" s="277">
        <f>ROUND(I63,0)</f>
        <v>0</v>
      </c>
      <c r="G739" s="277">
        <f>ROUND(I64,0)</f>
        <v>0</v>
      </c>
      <c r="H739" s="277">
        <f>ROUND(I65,0)</f>
        <v>0</v>
      </c>
      <c r="I739" s="277">
        <f>ROUND(I66,0)</f>
        <v>0</v>
      </c>
      <c r="J739" s="277">
        <f>ROUND(I67,0)</f>
        <v>0</v>
      </c>
      <c r="K739" s="277">
        <f>ROUND(I68,0)</f>
        <v>0</v>
      </c>
      <c r="L739" s="277">
        <f>ROUND(I70,0)</f>
        <v>0</v>
      </c>
      <c r="M739" s="277">
        <f>ROUND(I71,0)</f>
        <v>0</v>
      </c>
      <c r="N739" s="277">
        <f>ROUND(I76,0)</f>
        <v>0</v>
      </c>
      <c r="O739" s="277">
        <f>ROUND(I74,0)</f>
        <v>0</v>
      </c>
      <c r="P739" s="277">
        <f>IF(I77&gt;0,ROUND(I77,0),0)</f>
        <v>0</v>
      </c>
      <c r="Q739" s="277">
        <f>IF(I78&gt;0,ROUND(I78,0),0)</f>
        <v>0</v>
      </c>
      <c r="R739" s="277">
        <f>IF(I79&gt;0,ROUND(I79,0),0)</f>
        <v>0</v>
      </c>
      <c r="S739" s="277">
        <f>IF(I80&gt;0,ROUND(I80,0),0)</f>
        <v>0</v>
      </c>
      <c r="T739" s="280">
        <f>IF(I81&gt;0,ROUND(I81,2),0)</f>
        <v>0</v>
      </c>
      <c r="U739" s="277"/>
      <c r="X739" s="277"/>
      <c r="Y739" s="277"/>
      <c r="Z739" s="277">
        <f t="shared" si="21"/>
        <v>0</v>
      </c>
    </row>
    <row r="740" spans="1:26" ht="12.65" customHeight="1" x14ac:dyDescent="0.3">
      <c r="A740" s="207" t="str">
        <f>RIGHT($C$84,3)&amp;"*"&amp;RIGHT($C$83,4)&amp;"*"&amp;J$55&amp;"*"&amp;"A"</f>
        <v>o 2*085*6170*A</v>
      </c>
      <c r="B740" s="277">
        <f>ROUND(J59,0)</f>
        <v>238</v>
      </c>
      <c r="C740" s="280">
        <f>ROUND(J60,2)</f>
        <v>0</v>
      </c>
      <c r="D740" s="277">
        <f>ROUND(J61,0)</f>
        <v>0</v>
      </c>
      <c r="E740" s="277">
        <f>ROUND(J62,0)</f>
        <v>0</v>
      </c>
      <c r="F740" s="277">
        <f>ROUND(J63,0)</f>
        <v>0</v>
      </c>
      <c r="G740" s="277">
        <f>ROUND(J64,0)</f>
        <v>0</v>
      </c>
      <c r="H740" s="277">
        <f>ROUND(J65,0)</f>
        <v>0</v>
      </c>
      <c r="I740" s="277">
        <f>ROUND(J66,0)</f>
        <v>0</v>
      </c>
      <c r="J740" s="277">
        <f>ROUND(J67,0)</f>
        <v>1797</v>
      </c>
      <c r="K740" s="277">
        <f>ROUND(J68,0)</f>
        <v>0</v>
      </c>
      <c r="L740" s="277">
        <f>ROUND(J70,0)</f>
        <v>0</v>
      </c>
      <c r="M740" s="277">
        <f>ROUND(J71,0)</f>
        <v>1797</v>
      </c>
      <c r="N740" s="277">
        <f>ROUND(J76,0)</f>
        <v>86</v>
      </c>
      <c r="O740" s="277">
        <f>ROUND(J74,0)</f>
        <v>1026</v>
      </c>
      <c r="P740" s="277">
        <f>IF(J77&gt;0,ROUND(J77,0),0)</f>
        <v>0</v>
      </c>
      <c r="Q740" s="277">
        <f>IF(J78&gt;0,ROUND(J78,0),0)</f>
        <v>0</v>
      </c>
      <c r="R740" s="277">
        <f>IF(J79&gt;0,ROUND(J79,0),0)</f>
        <v>0</v>
      </c>
      <c r="S740" s="277">
        <f>IF(J80&gt;0,ROUND(J80,0),0)</f>
        <v>0</v>
      </c>
      <c r="T740" s="280">
        <f>IF(J81&gt;0,ROUND(J81,2),0)</f>
        <v>0</v>
      </c>
      <c r="U740" s="277"/>
      <c r="X740" s="277"/>
      <c r="Y740" s="277"/>
      <c r="Z740" s="277">
        <f t="shared" si="21"/>
        <v>0</v>
      </c>
    </row>
    <row r="741" spans="1:26" ht="12.65" customHeight="1" x14ac:dyDescent="0.3">
      <c r="A741" s="207" t="str">
        <f>RIGHT($C$84,3)&amp;"*"&amp;RIGHT($C$83,4)&amp;"*"&amp;K$55&amp;"*"&amp;"A"</f>
        <v>o 2*085*6200*A</v>
      </c>
      <c r="B741" s="277">
        <f>ROUND(K59,0)</f>
        <v>0</v>
      </c>
      <c r="C741" s="280">
        <f>ROUND(K60,2)</f>
        <v>0</v>
      </c>
      <c r="D741" s="277">
        <f>ROUND(K61,0)</f>
        <v>0</v>
      </c>
      <c r="E741" s="277">
        <f>ROUND(K62,0)</f>
        <v>0</v>
      </c>
      <c r="F741" s="277">
        <f>ROUND(K63,0)</f>
        <v>0</v>
      </c>
      <c r="G741" s="277">
        <f>ROUND(K64,0)</f>
        <v>0</v>
      </c>
      <c r="H741" s="277">
        <f>ROUND(K65,0)</f>
        <v>0</v>
      </c>
      <c r="I741" s="277">
        <f>ROUND(K66,0)</f>
        <v>0</v>
      </c>
      <c r="J741" s="277">
        <f>ROUND(K67,0)</f>
        <v>0</v>
      </c>
      <c r="K741" s="277">
        <f>ROUND(K68,0)</f>
        <v>0</v>
      </c>
      <c r="L741" s="277">
        <f>ROUND(K70,0)</f>
        <v>0</v>
      </c>
      <c r="M741" s="277">
        <f>ROUND(K71,0)</f>
        <v>0</v>
      </c>
      <c r="N741" s="277">
        <f>ROUND(K76,0)</f>
        <v>0</v>
      </c>
      <c r="O741" s="277">
        <f>ROUND(K74,0)</f>
        <v>0</v>
      </c>
      <c r="P741" s="277">
        <f>IF(K77&gt;0,ROUND(K77,0),0)</f>
        <v>0</v>
      </c>
      <c r="Q741" s="277">
        <f>IF(K78&gt;0,ROUND(K78,0),0)</f>
        <v>0</v>
      </c>
      <c r="R741" s="277">
        <f>IF(K79&gt;0,ROUND(K79,0),0)</f>
        <v>0</v>
      </c>
      <c r="S741" s="277">
        <f>IF(K80&gt;0,ROUND(K80,0),0)</f>
        <v>0</v>
      </c>
      <c r="T741" s="280">
        <f>IF(K81&gt;0,ROUND(K81,2),0)</f>
        <v>0</v>
      </c>
      <c r="U741" s="277"/>
      <c r="X741" s="277"/>
      <c r="Y741" s="277"/>
      <c r="Z741" s="277">
        <f t="shared" si="21"/>
        <v>15777</v>
      </c>
    </row>
    <row r="742" spans="1:26" ht="12.65" customHeight="1" x14ac:dyDescent="0.3">
      <c r="A742" s="207" t="str">
        <f>RIGHT($C$84,3)&amp;"*"&amp;RIGHT($C$83,4)&amp;"*"&amp;L$55&amp;"*"&amp;"A"</f>
        <v>o 2*085*6210*A</v>
      </c>
      <c r="B742" s="277">
        <f>ROUND(L59,0)</f>
        <v>188</v>
      </c>
      <c r="C742" s="280">
        <f>ROUND(L60,2)</f>
        <v>0</v>
      </c>
      <c r="D742" s="277">
        <f>ROUND(L61,0)</f>
        <v>264</v>
      </c>
      <c r="E742" s="277">
        <f>ROUND(L62,0)</f>
        <v>63</v>
      </c>
      <c r="F742" s="277">
        <f>ROUND(L63,0)</f>
        <v>0</v>
      </c>
      <c r="G742" s="277">
        <f>ROUND(L64,0)</f>
        <v>0</v>
      </c>
      <c r="H742" s="277">
        <f>ROUND(L65,0)</f>
        <v>0</v>
      </c>
      <c r="I742" s="277">
        <f>ROUND(L66,0)</f>
        <v>0</v>
      </c>
      <c r="J742" s="277">
        <f>ROUND(L67,0)</f>
        <v>45543</v>
      </c>
      <c r="K742" s="277">
        <f>ROUND(L68,0)</f>
        <v>0</v>
      </c>
      <c r="L742" s="277">
        <f>ROUND(L70,0)</f>
        <v>0</v>
      </c>
      <c r="M742" s="277">
        <f>ROUND(L71,0)</f>
        <v>45870</v>
      </c>
      <c r="N742" s="277">
        <f>ROUND(L76,0)</f>
        <v>2190</v>
      </c>
      <c r="O742" s="277">
        <f>ROUND(L74,0)</f>
        <v>0</v>
      </c>
      <c r="P742" s="277">
        <f>IF(L77&gt;0,ROUND(L77,0),0)</f>
        <v>642</v>
      </c>
      <c r="Q742" s="277">
        <f>IF(L78&gt;0,ROUND(L78,0),0)</f>
        <v>0</v>
      </c>
      <c r="R742" s="277">
        <f>IF(L79&gt;0,ROUND(L79,0),0)</f>
        <v>0</v>
      </c>
      <c r="S742" s="277">
        <f>IF(L80&gt;0,ROUND(L80,0),0)</f>
        <v>0</v>
      </c>
      <c r="T742" s="280">
        <f>IF(L81&gt;0,ROUND(L81,2),0)</f>
        <v>0</v>
      </c>
      <c r="U742" s="277"/>
      <c r="X742" s="277"/>
      <c r="Y742" s="277"/>
      <c r="Z742" s="277">
        <f t="shared" si="21"/>
        <v>0</v>
      </c>
    </row>
    <row r="743" spans="1:26" ht="12.65" customHeight="1" x14ac:dyDescent="0.3">
      <c r="A743" s="207" t="str">
        <f>RIGHT($C$84,3)&amp;"*"&amp;RIGHT($C$83,4)&amp;"*"&amp;M$55&amp;"*"&amp;"A"</f>
        <v>o 2*085*6330*A</v>
      </c>
      <c r="B743" s="277">
        <f>ROUND(M59,0)</f>
        <v>0</v>
      </c>
      <c r="C743" s="280">
        <f>ROUND(M60,2)</f>
        <v>0</v>
      </c>
      <c r="D743" s="277">
        <f>ROUND(M61,0)</f>
        <v>0</v>
      </c>
      <c r="E743" s="277">
        <f>ROUND(M62,0)</f>
        <v>0</v>
      </c>
      <c r="F743" s="277">
        <f>ROUND(M63,0)</f>
        <v>0</v>
      </c>
      <c r="G743" s="277">
        <f>ROUND(M64,0)</f>
        <v>0</v>
      </c>
      <c r="H743" s="277">
        <f>ROUND(M65,0)</f>
        <v>0</v>
      </c>
      <c r="I743" s="277">
        <f>ROUND(M66,0)</f>
        <v>0</v>
      </c>
      <c r="J743" s="277">
        <f>ROUND(M67,0)</f>
        <v>0</v>
      </c>
      <c r="K743" s="277">
        <f>ROUND(M68,0)</f>
        <v>0</v>
      </c>
      <c r="L743" s="277">
        <f>ROUND(M70,0)</f>
        <v>0</v>
      </c>
      <c r="M743" s="277">
        <f>ROUND(M71,0)</f>
        <v>0</v>
      </c>
      <c r="N743" s="277">
        <f>ROUND(M76,0)</f>
        <v>0</v>
      </c>
      <c r="O743" s="277">
        <f>ROUND(M74,0)</f>
        <v>0</v>
      </c>
      <c r="P743" s="277">
        <f>IF(M77&gt;0,ROUND(M77,0),0)</f>
        <v>0</v>
      </c>
      <c r="Q743" s="277">
        <f>IF(M78&gt;0,ROUND(M78,0),0)</f>
        <v>0</v>
      </c>
      <c r="R743" s="277">
        <f>IF(M79&gt;0,ROUND(M79,0),0)</f>
        <v>0</v>
      </c>
      <c r="S743" s="277">
        <f>IF(M80&gt;0,ROUND(M80,0),0)</f>
        <v>0</v>
      </c>
      <c r="T743" s="280">
        <f>IF(M81&gt;0,ROUND(M81,2),0)</f>
        <v>0</v>
      </c>
      <c r="U743" s="277"/>
      <c r="X743" s="277"/>
      <c r="Y743" s="277"/>
      <c r="Z743" s="277">
        <f t="shared" si="21"/>
        <v>87435</v>
      </c>
    </row>
    <row r="744" spans="1:26" ht="12.65" customHeight="1" x14ac:dyDescent="0.3">
      <c r="A744" s="207" t="str">
        <f>RIGHT($C$84,3)&amp;"*"&amp;RIGHT($C$83,4)&amp;"*"&amp;N$55&amp;"*"&amp;"A"</f>
        <v>o 2*085*6400*A</v>
      </c>
      <c r="B744" s="277">
        <f>ROUND(N59,0)</f>
        <v>0</v>
      </c>
      <c r="C744" s="280">
        <f>ROUND(N60,2)</f>
        <v>5.9</v>
      </c>
      <c r="D744" s="277">
        <f>ROUND(N61,0)</f>
        <v>1626312</v>
      </c>
      <c r="E744" s="277">
        <f>ROUND(N62,0)</f>
        <v>386524</v>
      </c>
      <c r="F744" s="277">
        <f>ROUND(N63,0)</f>
        <v>237457</v>
      </c>
      <c r="G744" s="277">
        <f>ROUND(N64,0)</f>
        <v>25895</v>
      </c>
      <c r="H744" s="277">
        <f>ROUND(N65,0)</f>
        <v>0</v>
      </c>
      <c r="I744" s="277">
        <f>ROUND(N66,0)</f>
        <v>5069</v>
      </c>
      <c r="J744" s="277">
        <f>ROUND(N67,0)</f>
        <v>6031</v>
      </c>
      <c r="K744" s="277">
        <f>ROUND(N68,0)</f>
        <v>683</v>
      </c>
      <c r="L744" s="277">
        <f>ROUND(N70,0)</f>
        <v>0</v>
      </c>
      <c r="M744" s="277">
        <f>ROUND(N71,0)</f>
        <v>2336577</v>
      </c>
      <c r="N744" s="277">
        <f>ROUND(N76,0)</f>
        <v>290</v>
      </c>
      <c r="O744" s="277">
        <f>ROUND(N74,0)</f>
        <v>382109</v>
      </c>
      <c r="P744" s="277">
        <f>IF(N77&gt;0,ROUND(N77,0),0)</f>
        <v>0</v>
      </c>
      <c r="Q744" s="277">
        <f>IF(N78&gt;0,ROUND(N78,0),0)</f>
        <v>0</v>
      </c>
      <c r="R744" s="277">
        <f>IF(N79&gt;0,ROUND(N79,0),0)</f>
        <v>0</v>
      </c>
      <c r="S744" s="277">
        <f>IF(N80&gt;0,ROUND(N80,0),0)</f>
        <v>0</v>
      </c>
      <c r="T744" s="280">
        <f>IF(N81&gt;0,ROUND(N81,2),0)</f>
        <v>0</v>
      </c>
      <c r="U744" s="277"/>
      <c r="X744" s="277"/>
      <c r="Y744" s="277"/>
      <c r="Z744" s="277">
        <f t="shared" si="21"/>
        <v>0</v>
      </c>
    </row>
    <row r="745" spans="1:26" ht="12.65" customHeight="1" x14ac:dyDescent="0.3">
      <c r="A745" s="207" t="str">
        <f>RIGHT($C$84,3)&amp;"*"&amp;RIGHT($C$83,4)&amp;"*"&amp;O$55&amp;"*"&amp;"A"</f>
        <v>o 2*085*7010*A</v>
      </c>
      <c r="B745" s="277">
        <f>ROUND(O59,0)</f>
        <v>112</v>
      </c>
      <c r="C745" s="280">
        <f>ROUND(O60,2)</f>
        <v>10.28</v>
      </c>
      <c r="D745" s="277">
        <f>ROUND(O61,0)</f>
        <v>1091586</v>
      </c>
      <c r="E745" s="277">
        <f>ROUND(O62,0)</f>
        <v>259436</v>
      </c>
      <c r="F745" s="277">
        <f>ROUND(O63,0)</f>
        <v>40203</v>
      </c>
      <c r="G745" s="277">
        <f>ROUND(O64,0)</f>
        <v>57087</v>
      </c>
      <c r="H745" s="277">
        <f>ROUND(O65,0)</f>
        <v>0</v>
      </c>
      <c r="I745" s="277">
        <f>ROUND(O66,0)</f>
        <v>2325</v>
      </c>
      <c r="J745" s="277">
        <f>ROUND(O67,0)</f>
        <v>57055</v>
      </c>
      <c r="K745" s="277">
        <f>ROUND(O68,0)</f>
        <v>669</v>
      </c>
      <c r="L745" s="277">
        <f>ROUND(O70,0)</f>
        <v>0</v>
      </c>
      <c r="M745" s="277">
        <f>ROUND(O71,0)</f>
        <v>1523217</v>
      </c>
      <c r="N745" s="277">
        <f>ROUND(O76,0)</f>
        <v>2744</v>
      </c>
      <c r="O745" s="277">
        <f>ROUND(O74,0)</f>
        <v>387074</v>
      </c>
      <c r="P745" s="277">
        <f>IF(O77&gt;0,ROUND(O77,0),0)</f>
        <v>0</v>
      </c>
      <c r="Q745" s="277">
        <f>IF(O78&gt;0,ROUND(O78,0),0)</f>
        <v>3423</v>
      </c>
      <c r="R745" s="277">
        <f>IF(O79&gt;0,ROUND(O79,0),0)</f>
        <v>10596</v>
      </c>
      <c r="S745" s="277">
        <f>IF(O80&gt;0,ROUND(O80,0),0)</f>
        <v>10</v>
      </c>
      <c r="T745" s="280">
        <f>IF(O81&gt;0,ROUND(O81,2),0)</f>
        <v>0</v>
      </c>
      <c r="U745" s="277"/>
      <c r="X745" s="277"/>
      <c r="Y745" s="277"/>
      <c r="Z745" s="277">
        <f t="shared" si="21"/>
        <v>262252</v>
      </c>
    </row>
    <row r="746" spans="1:26" ht="12.65" customHeight="1" x14ac:dyDescent="0.3">
      <c r="A746" s="207" t="str">
        <f>RIGHT($C$84,3)&amp;"*"&amp;RIGHT($C$83,4)&amp;"*"&amp;P$55&amp;"*"&amp;"A"</f>
        <v>o 2*085*7020*A</v>
      </c>
      <c r="B746" s="277">
        <f>ROUND(P59,0)</f>
        <v>174972</v>
      </c>
      <c r="C746" s="280">
        <f>ROUND(P60,2)</f>
        <v>14.75</v>
      </c>
      <c r="D746" s="277">
        <f>ROUND(P61,0)</f>
        <v>1435707</v>
      </c>
      <c r="E746" s="277">
        <f>ROUND(P62,0)</f>
        <v>341223</v>
      </c>
      <c r="F746" s="277">
        <f>ROUND(P63,0)</f>
        <v>319760</v>
      </c>
      <c r="G746" s="277">
        <f>ROUND(P64,0)</f>
        <v>1555871</v>
      </c>
      <c r="H746" s="277">
        <f>ROUND(P65,0)</f>
        <v>0</v>
      </c>
      <c r="I746" s="277">
        <f>ROUND(P66,0)</f>
        <v>67771</v>
      </c>
      <c r="J746" s="277">
        <f>ROUND(P67,0)</f>
        <v>203102</v>
      </c>
      <c r="K746" s="277">
        <f>ROUND(P68,0)</f>
        <v>137921</v>
      </c>
      <c r="L746" s="277">
        <f>ROUND(P70,0)</f>
        <v>0</v>
      </c>
      <c r="M746" s="277">
        <f>ROUND(P71,0)</f>
        <v>4117300</v>
      </c>
      <c r="N746" s="277">
        <f>ROUND(P76,0)</f>
        <v>9767</v>
      </c>
      <c r="O746" s="277">
        <f>ROUND(P74,0)</f>
        <v>12394705</v>
      </c>
      <c r="P746" s="277">
        <f>IF(P77&gt;0,ROUND(P77,0),0)</f>
        <v>0</v>
      </c>
      <c r="Q746" s="277">
        <f>IF(P78&gt;0,ROUND(P78,0),0)</f>
        <v>14911</v>
      </c>
      <c r="R746" s="277">
        <f>IF(P79&gt;0,ROUND(P79,0),0)</f>
        <v>46157</v>
      </c>
      <c r="S746" s="277">
        <f>IF(P80&gt;0,ROUND(P80,0),0)</f>
        <v>10</v>
      </c>
      <c r="T746" s="280">
        <f>IF(P81&gt;0,ROUND(P81,2),0)</f>
        <v>0</v>
      </c>
      <c r="U746" s="277"/>
      <c r="X746" s="277"/>
      <c r="Y746" s="277"/>
      <c r="Z746" s="277">
        <f t="shared" si="21"/>
        <v>436978</v>
      </c>
    </row>
    <row r="747" spans="1:26" ht="12.65" customHeight="1" x14ac:dyDescent="0.3">
      <c r="A747" s="207" t="str">
        <f>RIGHT($C$84,3)&amp;"*"&amp;RIGHT($C$83,4)&amp;"*"&amp;Q$55&amp;"*"&amp;"A"</f>
        <v>o 2*085*7030*A</v>
      </c>
      <c r="B747" s="277">
        <f>ROUND(Q59,0)</f>
        <v>37402</v>
      </c>
      <c r="C747" s="280">
        <f>ROUND(Q60,2)</f>
        <v>0.48</v>
      </c>
      <c r="D747" s="277">
        <f>ROUND(Q61,0)</f>
        <v>37819</v>
      </c>
      <c r="E747" s="277">
        <f>ROUND(Q62,0)</f>
        <v>8988</v>
      </c>
      <c r="F747" s="277">
        <f>ROUND(Q63,0)</f>
        <v>0</v>
      </c>
      <c r="G747" s="277">
        <f>ROUND(Q64,0)</f>
        <v>7120</v>
      </c>
      <c r="H747" s="277">
        <f>ROUND(Q65,0)</f>
        <v>0</v>
      </c>
      <c r="I747" s="277">
        <f>ROUND(Q66,0)</f>
        <v>0</v>
      </c>
      <c r="J747" s="277">
        <f>ROUND(Q67,0)</f>
        <v>12238</v>
      </c>
      <c r="K747" s="277">
        <f>ROUND(Q68,0)</f>
        <v>0</v>
      </c>
      <c r="L747" s="277">
        <f>ROUND(Q70,0)</f>
        <v>0</v>
      </c>
      <c r="M747" s="277">
        <f>ROUND(Q71,0)</f>
        <v>66165</v>
      </c>
      <c r="N747" s="277">
        <f>ROUND(Q76,0)</f>
        <v>589</v>
      </c>
      <c r="O747" s="277">
        <f>ROUND(Q74,0)</f>
        <v>4031850</v>
      </c>
      <c r="P747" s="277">
        <f>IF(Q77&gt;0,ROUND(Q77,0),0)</f>
        <v>0</v>
      </c>
      <c r="Q747" s="277">
        <f>IF(Q78&gt;0,ROUND(Q78,0),0)</f>
        <v>0</v>
      </c>
      <c r="R747" s="277">
        <f>IF(Q79&gt;0,ROUND(Q79,0),0)</f>
        <v>0</v>
      </c>
      <c r="S747" s="277">
        <f>IF(Q80&gt;0,ROUND(Q80,0),0)</f>
        <v>0</v>
      </c>
      <c r="T747" s="280">
        <f>IF(Q81&gt;0,ROUND(Q81,2),0)</f>
        <v>0</v>
      </c>
      <c r="U747" s="277"/>
      <c r="X747" s="277"/>
      <c r="Y747" s="277"/>
      <c r="Z747" s="277">
        <f t="shared" si="21"/>
        <v>1882575</v>
      </c>
    </row>
    <row r="748" spans="1:26" ht="12.65" customHeight="1" x14ac:dyDescent="0.3">
      <c r="A748" s="207" t="str">
        <f>RIGHT($C$84,3)&amp;"*"&amp;RIGHT($C$83,4)&amp;"*"&amp;R$55&amp;"*"&amp;"A"</f>
        <v>o 2*085*7040*A</v>
      </c>
      <c r="B748" s="277">
        <f>ROUND(R59,0)</f>
        <v>173729</v>
      </c>
      <c r="C748" s="280">
        <f>ROUND(R60,2)</f>
        <v>5</v>
      </c>
      <c r="D748" s="277">
        <f>ROUND(R61,0)</f>
        <v>1101861</v>
      </c>
      <c r="E748" s="277">
        <f>ROUND(R62,0)</f>
        <v>261878</v>
      </c>
      <c r="F748" s="277">
        <f>ROUND(R63,0)</f>
        <v>0</v>
      </c>
      <c r="G748" s="277">
        <f>ROUND(R64,0)</f>
        <v>109728</v>
      </c>
      <c r="H748" s="277">
        <f>ROUND(R65,0)</f>
        <v>0</v>
      </c>
      <c r="I748" s="277">
        <f>ROUND(R66,0)</f>
        <v>10576</v>
      </c>
      <c r="J748" s="277">
        <f>ROUND(R67,0)</f>
        <v>2828</v>
      </c>
      <c r="K748" s="277">
        <f>ROUND(R68,0)</f>
        <v>3773</v>
      </c>
      <c r="L748" s="277">
        <f>ROUND(R70,0)</f>
        <v>0</v>
      </c>
      <c r="M748" s="277">
        <f>ROUND(R71,0)</f>
        <v>1509489</v>
      </c>
      <c r="N748" s="277">
        <f>ROUND(R76,0)</f>
        <v>136</v>
      </c>
      <c r="O748" s="277">
        <f>ROUND(R74,0)</f>
        <v>6962965</v>
      </c>
      <c r="P748" s="277">
        <f>IF(R77&gt;0,ROUND(R77,0),0)</f>
        <v>0</v>
      </c>
      <c r="Q748" s="277">
        <f>IF(R78&gt;0,ROUND(R78,0),0)</f>
        <v>0</v>
      </c>
      <c r="R748" s="277">
        <f>IF(R79&gt;0,ROUND(R79,0),0)</f>
        <v>0</v>
      </c>
      <c r="S748" s="277">
        <f>IF(R80&gt;0,ROUND(R80,0),0)</f>
        <v>0</v>
      </c>
      <c r="T748" s="280">
        <f>IF(R81&gt;0,ROUND(R81,2),0)</f>
        <v>0</v>
      </c>
      <c r="U748" s="277"/>
      <c r="X748" s="277"/>
      <c r="Y748" s="277"/>
      <c r="Z748" s="277">
        <f t="shared" si="21"/>
        <v>201904</v>
      </c>
    </row>
    <row r="749" spans="1:26" ht="12.65" customHeight="1" x14ac:dyDescent="0.3">
      <c r="A749" s="207" t="str">
        <f>RIGHT($C$84,3)&amp;"*"&amp;RIGHT($C$83,4)&amp;"*"&amp;S$55&amp;"*"&amp;"A"</f>
        <v>o 2*085*7050*A</v>
      </c>
      <c r="B749" s="277"/>
      <c r="C749" s="280">
        <f>ROUND(S60,2)</f>
        <v>2.71</v>
      </c>
      <c r="D749" s="277">
        <f>ROUND(S61,0)</f>
        <v>129888</v>
      </c>
      <c r="E749" s="277">
        <f>ROUND(S62,0)</f>
        <v>30870</v>
      </c>
      <c r="F749" s="277">
        <f>ROUND(S63,0)</f>
        <v>24832</v>
      </c>
      <c r="G749" s="277">
        <f>ROUND(S64,0)</f>
        <v>1723873</v>
      </c>
      <c r="H749" s="277">
        <f>ROUND(S65,0)</f>
        <v>0</v>
      </c>
      <c r="I749" s="277">
        <f>ROUND(S66,0)</f>
        <v>0</v>
      </c>
      <c r="J749" s="277">
        <f>ROUND(S67,0)</f>
        <v>15515</v>
      </c>
      <c r="K749" s="277">
        <f>ROUND(S68,0)</f>
        <v>0</v>
      </c>
      <c r="L749" s="277">
        <f>ROUND(S70,0)</f>
        <v>0</v>
      </c>
      <c r="M749" s="277">
        <f>ROUND(S71,0)</f>
        <v>1927429</v>
      </c>
      <c r="N749" s="277">
        <f>ROUND(S76,0)</f>
        <v>746</v>
      </c>
      <c r="O749" s="277">
        <f>ROUND(S74,0)</f>
        <v>608951</v>
      </c>
      <c r="P749" s="277">
        <f>IF(S77&gt;0,ROUND(S77,0),0)</f>
        <v>0</v>
      </c>
      <c r="Q749" s="277">
        <f>IF(S78&gt;0,ROUND(S78,0),0)</f>
        <v>1085</v>
      </c>
      <c r="R749" s="277">
        <f>IF(S79&gt;0,ROUND(S79,0),0)</f>
        <v>3359</v>
      </c>
      <c r="S749" s="277">
        <f>IF(S80&gt;0,ROUND(S80,0),0)</f>
        <v>0</v>
      </c>
      <c r="T749" s="280">
        <f>IF(S81&gt;0,ROUND(S81,2),0)</f>
        <v>0</v>
      </c>
      <c r="U749" s="277"/>
      <c r="X749" s="277"/>
      <c r="Y749" s="277"/>
      <c r="Z749" s="277">
        <f t="shared" si="21"/>
        <v>494535</v>
      </c>
    </row>
    <row r="750" spans="1:26" ht="12.65" customHeight="1" x14ac:dyDescent="0.3">
      <c r="A750" s="207" t="str">
        <f>RIGHT($C$84,3)&amp;"*"&amp;RIGHT($C$83,4)&amp;"*"&amp;T$55&amp;"*"&amp;"A"</f>
        <v>o 2*085*7060*A</v>
      </c>
      <c r="B750" s="277"/>
      <c r="C750" s="280">
        <f>ROUND(T60,2)</f>
        <v>0</v>
      </c>
      <c r="D750" s="277">
        <f>ROUND(T61,0)</f>
        <v>0</v>
      </c>
      <c r="E750" s="277">
        <f>ROUND(T62,0)</f>
        <v>0</v>
      </c>
      <c r="F750" s="277">
        <f>ROUND(T63,0)</f>
        <v>0</v>
      </c>
      <c r="G750" s="277">
        <f>ROUND(T64,0)</f>
        <v>0</v>
      </c>
      <c r="H750" s="277">
        <f>ROUND(T65,0)</f>
        <v>0</v>
      </c>
      <c r="I750" s="277">
        <f>ROUND(T66,0)</f>
        <v>0</v>
      </c>
      <c r="J750" s="277">
        <f>ROUND(T67,0)</f>
        <v>0</v>
      </c>
      <c r="K750" s="277">
        <f>ROUND(T68,0)</f>
        <v>0</v>
      </c>
      <c r="L750" s="277">
        <f>ROUND(T70,0)</f>
        <v>0</v>
      </c>
      <c r="M750" s="277">
        <f>ROUND(T71,0)</f>
        <v>0</v>
      </c>
      <c r="N750" s="277">
        <f>ROUND(T76,0)</f>
        <v>0</v>
      </c>
      <c r="O750" s="277">
        <f>ROUND(T74,0)</f>
        <v>0</v>
      </c>
      <c r="P750" s="277">
        <f>IF(T77&gt;0,ROUND(T77,0),0)</f>
        <v>0</v>
      </c>
      <c r="Q750" s="277">
        <f>IF(T78&gt;0,ROUND(T78,0),0)</f>
        <v>0</v>
      </c>
      <c r="R750" s="277">
        <f>IF(T79&gt;0,ROUND(T79,0),0)</f>
        <v>0</v>
      </c>
      <c r="S750" s="277">
        <f>IF(T80&gt;0,ROUND(T80,0),0)</f>
        <v>0</v>
      </c>
      <c r="T750" s="280">
        <f>IF(T81&gt;0,ROUND(T81,2),0)</f>
        <v>0</v>
      </c>
      <c r="U750" s="277"/>
      <c r="X750" s="277"/>
      <c r="Y750" s="277"/>
      <c r="Z750" s="277">
        <f t="shared" si="21"/>
        <v>248030</v>
      </c>
    </row>
    <row r="751" spans="1:26" ht="12.65" customHeight="1" x14ac:dyDescent="0.3">
      <c r="A751" s="207" t="str">
        <f>RIGHT($C$84,3)&amp;"*"&amp;RIGHT($C$83,4)&amp;"*"&amp;U$55&amp;"*"&amp;"A"</f>
        <v>o 2*085*7070*A</v>
      </c>
      <c r="B751" s="277">
        <f>ROUND(U59,0)</f>
        <v>221752</v>
      </c>
      <c r="C751" s="280">
        <f>ROUND(U60,2)</f>
        <v>25.41</v>
      </c>
      <c r="D751" s="277">
        <f>ROUND(U61,0)</f>
        <v>1700148</v>
      </c>
      <c r="E751" s="277">
        <f>ROUND(U62,0)</f>
        <v>404073</v>
      </c>
      <c r="F751" s="277">
        <f>ROUND(U63,0)</f>
        <v>144923</v>
      </c>
      <c r="G751" s="277">
        <f>ROUND(U64,0)</f>
        <v>1263236</v>
      </c>
      <c r="H751" s="277">
        <f>ROUND(U65,0)</f>
        <v>4213</v>
      </c>
      <c r="I751" s="277">
        <f>ROUND(U66,0)</f>
        <v>985054</v>
      </c>
      <c r="J751" s="277">
        <f>ROUND(U67,0)</f>
        <v>81401</v>
      </c>
      <c r="K751" s="277">
        <f>ROUND(U68,0)</f>
        <v>208846</v>
      </c>
      <c r="L751" s="277">
        <f>ROUND(U70,0)</f>
        <v>0</v>
      </c>
      <c r="M751" s="277">
        <f>ROUND(U71,0)</f>
        <v>4880091</v>
      </c>
      <c r="N751" s="277">
        <f>ROUND(U76,0)</f>
        <v>3914</v>
      </c>
      <c r="O751" s="277">
        <f>ROUND(U74,0)</f>
        <v>14679434</v>
      </c>
      <c r="P751" s="277">
        <f>IF(U77&gt;0,ROUND(U77,0),0)</f>
        <v>0</v>
      </c>
      <c r="Q751" s="277">
        <f>IF(U78&gt;0,ROUND(U78,0),0)</f>
        <v>183</v>
      </c>
      <c r="R751" s="277">
        <f>IF(U79&gt;0,ROUND(U79,0),0)</f>
        <v>566</v>
      </c>
      <c r="S751" s="277">
        <f>IF(U80&gt;0,ROUND(U80,0),0)</f>
        <v>0</v>
      </c>
      <c r="T751" s="280">
        <f>IF(U81&gt;0,ROUND(U81,2),0)</f>
        <v>0</v>
      </c>
      <c r="U751" s="277"/>
      <c r="X751" s="277"/>
      <c r="Y751" s="277"/>
      <c r="Z751" s="277">
        <f t="shared" si="21"/>
        <v>0</v>
      </c>
    </row>
    <row r="752" spans="1:26" ht="12.65" customHeight="1" x14ac:dyDescent="0.3">
      <c r="A752" s="207" t="str">
        <f>RIGHT($C$84,3)&amp;"*"&amp;RIGHT($C$83,4)&amp;"*"&amp;V$55&amp;"*"&amp;"A"</f>
        <v>o 2*085*7110*A</v>
      </c>
      <c r="B752" s="277">
        <f>ROUND(V59,0)</f>
        <v>1223</v>
      </c>
      <c r="C752" s="280">
        <f>ROUND(V60,2)</f>
        <v>0.06</v>
      </c>
      <c r="D752" s="277">
        <f>ROUND(V61,0)</f>
        <v>0</v>
      </c>
      <c r="E752" s="277">
        <f>ROUND(V62,0)</f>
        <v>0</v>
      </c>
      <c r="F752" s="277">
        <f>ROUND(V63,0)</f>
        <v>0</v>
      </c>
      <c r="G752" s="277">
        <f>ROUND(V64,0)</f>
        <v>0</v>
      </c>
      <c r="H752" s="277">
        <f>ROUND(V65,0)</f>
        <v>0</v>
      </c>
      <c r="I752" s="277">
        <f>ROUND(V66,0)</f>
        <v>0</v>
      </c>
      <c r="J752" s="277">
        <f>ROUND(V67,0)</f>
        <v>0</v>
      </c>
      <c r="K752" s="277">
        <f>ROUND(V68,0)</f>
        <v>0</v>
      </c>
      <c r="L752" s="277">
        <f>ROUND(V70,0)</f>
        <v>0</v>
      </c>
      <c r="M752" s="277">
        <f>ROUND(V71,0)</f>
        <v>0</v>
      </c>
      <c r="N752" s="277">
        <f>ROUND(V76,0)</f>
        <v>0</v>
      </c>
      <c r="O752" s="277">
        <f>ROUND(V74,0)</f>
        <v>25768</v>
      </c>
      <c r="P752" s="277">
        <f>IF(V77&gt;0,ROUND(V77,0),0)</f>
        <v>0</v>
      </c>
      <c r="Q752" s="277">
        <f>IF(V78&gt;0,ROUND(V78,0),0)</f>
        <v>0</v>
      </c>
      <c r="R752" s="277">
        <f>IF(V79&gt;0,ROUND(V79,0),0)</f>
        <v>0</v>
      </c>
      <c r="S752" s="277">
        <f>IF(V80&gt;0,ROUND(V80,0),0)</f>
        <v>0</v>
      </c>
      <c r="T752" s="280">
        <f>IF(V81&gt;0,ROUND(V81,2),0)</f>
        <v>0</v>
      </c>
      <c r="U752" s="277"/>
      <c r="X752" s="277"/>
      <c r="Y752" s="277"/>
      <c r="Z752" s="277">
        <f t="shared" si="21"/>
        <v>1110697</v>
      </c>
    </row>
    <row r="753" spans="1:26" ht="12.65" customHeight="1" x14ac:dyDescent="0.3">
      <c r="A753" s="207" t="str">
        <f>RIGHT($C$84,3)&amp;"*"&amp;RIGHT($C$83,4)&amp;"*"&amp;W$55&amp;"*"&amp;"A"</f>
        <v>o 2*085*7120*A</v>
      </c>
      <c r="B753" s="277">
        <f>ROUND(W59,0)</f>
        <v>2246</v>
      </c>
      <c r="C753" s="280">
        <f>ROUND(W60,2)</f>
        <v>1.58</v>
      </c>
      <c r="D753" s="277">
        <f>ROUND(W61,0)</f>
        <v>151627</v>
      </c>
      <c r="E753" s="277">
        <f>ROUND(W62,0)</f>
        <v>36037</v>
      </c>
      <c r="F753" s="277">
        <f>ROUND(W63,0)</f>
        <v>0</v>
      </c>
      <c r="G753" s="277">
        <f>ROUND(W64,0)</f>
        <v>33376</v>
      </c>
      <c r="H753" s="277">
        <f>ROUND(W65,0)</f>
        <v>0</v>
      </c>
      <c r="I753" s="277">
        <f>ROUND(W66,0)</f>
        <v>0</v>
      </c>
      <c r="J753" s="277">
        <f>ROUND(W67,0)</f>
        <v>23024</v>
      </c>
      <c r="K753" s="277">
        <f>ROUND(W68,0)</f>
        <v>227537</v>
      </c>
      <c r="L753" s="277">
        <f>ROUND(W70,0)</f>
        <v>0</v>
      </c>
      <c r="M753" s="277">
        <f>ROUND(W71,0)</f>
        <v>622375</v>
      </c>
      <c r="N753" s="277">
        <f>ROUND(W76,0)</f>
        <v>1107</v>
      </c>
      <c r="O753" s="277">
        <f>ROUND(W74,0)</f>
        <v>4855061</v>
      </c>
      <c r="P753" s="277">
        <f>IF(W77&gt;0,ROUND(W77,0),0)</f>
        <v>0</v>
      </c>
      <c r="Q753" s="277">
        <f>IF(W78&gt;0,ROUND(W78,0),0)</f>
        <v>0</v>
      </c>
      <c r="R753" s="277">
        <f>IF(W79&gt;0,ROUND(W79,0),0)</f>
        <v>0</v>
      </c>
      <c r="S753" s="277">
        <f>IF(W80&gt;0,ROUND(W80,0),0)</f>
        <v>0</v>
      </c>
      <c r="T753" s="280">
        <f>IF(W81&gt;0,ROUND(W81,2),0)</f>
        <v>0</v>
      </c>
      <c r="U753" s="277"/>
      <c r="X753" s="277"/>
      <c r="Y753" s="277"/>
      <c r="Z753" s="277">
        <f t="shared" si="21"/>
        <v>1817</v>
      </c>
    </row>
    <row r="754" spans="1:26" ht="12.65" customHeight="1" x14ac:dyDescent="0.3">
      <c r="A754" s="207" t="str">
        <f>RIGHT($C$84,3)&amp;"*"&amp;RIGHT($C$83,4)&amp;"*"&amp;X$55&amp;"*"&amp;"A"</f>
        <v>o 2*085*7130*A</v>
      </c>
      <c r="B754" s="277">
        <f>ROUND(X59,0)</f>
        <v>5720</v>
      </c>
      <c r="C754" s="280">
        <f>ROUND(X60,2)</f>
        <v>1.49</v>
      </c>
      <c r="D754" s="277">
        <f>ROUND(X61,0)</f>
        <v>121235</v>
      </c>
      <c r="E754" s="277">
        <f>ROUND(X62,0)</f>
        <v>28814</v>
      </c>
      <c r="F754" s="277">
        <f>ROUND(X63,0)</f>
        <v>0</v>
      </c>
      <c r="G754" s="277">
        <f>ROUND(X64,0)</f>
        <v>172983</v>
      </c>
      <c r="H754" s="277">
        <f>ROUND(X65,0)</f>
        <v>0</v>
      </c>
      <c r="I754" s="277">
        <f>ROUND(X66,0)</f>
        <v>0</v>
      </c>
      <c r="J754" s="277">
        <f>ROUND(X67,0)</f>
        <v>11100</v>
      </c>
      <c r="K754" s="277">
        <f>ROUND(X68,0)</f>
        <v>0</v>
      </c>
      <c r="L754" s="277">
        <f>ROUND(X70,0)</f>
        <v>0</v>
      </c>
      <c r="M754" s="277">
        <f>ROUND(X71,0)</f>
        <v>435563</v>
      </c>
      <c r="N754" s="277">
        <f>ROUND(X76,0)</f>
        <v>534</v>
      </c>
      <c r="O754" s="277">
        <f>ROUND(X74,0)</f>
        <v>13546033</v>
      </c>
      <c r="P754" s="277">
        <f>IF(X77&gt;0,ROUND(X77,0),0)</f>
        <v>0</v>
      </c>
      <c r="Q754" s="277">
        <f>IF(X78&gt;0,ROUND(X78,0),0)</f>
        <v>0</v>
      </c>
      <c r="R754" s="277">
        <f>IF(X79&gt;0,ROUND(X79,0),0)</f>
        <v>0</v>
      </c>
      <c r="S754" s="277">
        <f>IF(X80&gt;0,ROUND(X80,0),0)</f>
        <v>0</v>
      </c>
      <c r="T754" s="280">
        <f>IF(X81&gt;0,ROUND(X81,2),0)</f>
        <v>0</v>
      </c>
      <c r="U754" s="277"/>
      <c r="X754" s="277"/>
      <c r="Y754" s="277"/>
      <c r="Z754" s="277">
        <f t="shared" si="21"/>
        <v>262417</v>
      </c>
    </row>
    <row r="755" spans="1:26" ht="12.65" customHeight="1" x14ac:dyDescent="0.3">
      <c r="A755" s="207" t="str">
        <f>RIGHT($C$84,3)&amp;"*"&amp;RIGHT($C$83,4)&amp;"*"&amp;Y$55&amp;"*"&amp;"A"</f>
        <v>o 2*085*7140*A</v>
      </c>
      <c r="B755" s="277">
        <f>ROUND(Y59,0)</f>
        <v>17752</v>
      </c>
      <c r="C755" s="280">
        <f>ROUND(Y60,2)</f>
        <v>19.149999999999999</v>
      </c>
      <c r="D755" s="277">
        <f>ROUND(Y61,0)</f>
        <v>1526903</v>
      </c>
      <c r="E755" s="277">
        <f>ROUND(Y62,0)</f>
        <v>362898</v>
      </c>
      <c r="F755" s="277">
        <f>ROUND(Y63,0)</f>
        <v>53114</v>
      </c>
      <c r="G755" s="277">
        <f>ROUND(Y64,0)</f>
        <v>63490</v>
      </c>
      <c r="H755" s="277">
        <f>ROUND(Y65,0)</f>
        <v>0</v>
      </c>
      <c r="I755" s="277">
        <f>ROUND(Y66,0)</f>
        <v>388306</v>
      </c>
      <c r="J755" s="277">
        <f>ROUND(Y67,0)</f>
        <v>114763</v>
      </c>
      <c r="K755" s="277">
        <f>ROUND(Y68,0)</f>
        <v>0</v>
      </c>
      <c r="L755" s="277">
        <f>ROUND(Y70,0)</f>
        <v>980</v>
      </c>
      <c r="M755" s="277">
        <f>ROUND(Y71,0)</f>
        <v>2702972</v>
      </c>
      <c r="N755" s="277">
        <f>ROUND(Y76,0)</f>
        <v>5519</v>
      </c>
      <c r="O755" s="277">
        <f>ROUND(Y74,0)</f>
        <v>11744233</v>
      </c>
      <c r="P755" s="277">
        <f>IF(Y77&gt;0,ROUND(Y77,0),0)</f>
        <v>0</v>
      </c>
      <c r="Q755" s="277">
        <f>IF(Y78&gt;0,ROUND(Y78,0),0)</f>
        <v>10166</v>
      </c>
      <c r="R755" s="277">
        <f>IF(Y79&gt;0,ROUND(Y79,0),0)</f>
        <v>31469</v>
      </c>
      <c r="S755" s="277">
        <f>IF(Y80&gt;0,ROUND(Y80,0),0)</f>
        <v>0</v>
      </c>
      <c r="T755" s="280">
        <f>IF(Y81&gt;0,ROUND(Y81,2),0)</f>
        <v>0</v>
      </c>
      <c r="U755" s="277"/>
      <c r="X755" s="277"/>
      <c r="Y755" s="277"/>
      <c r="Z755" s="277">
        <f t="shared" si="21"/>
        <v>605635</v>
      </c>
    </row>
    <row r="756" spans="1:26" ht="12.65" customHeight="1" x14ac:dyDescent="0.3">
      <c r="A756" s="207" t="str">
        <f>RIGHT($C$84,3)&amp;"*"&amp;RIGHT($C$83,4)&amp;"*"&amp;Z$55&amp;"*"&amp;"A"</f>
        <v>o 2*085*7150*A</v>
      </c>
      <c r="B756" s="277">
        <f>ROUND(Z59,0)</f>
        <v>0</v>
      </c>
      <c r="C756" s="280">
        <f>ROUND(Z60,2)</f>
        <v>0</v>
      </c>
      <c r="D756" s="277">
        <f>ROUND(Z61,0)</f>
        <v>0</v>
      </c>
      <c r="E756" s="277">
        <f>ROUND(Z62,0)</f>
        <v>0</v>
      </c>
      <c r="F756" s="277">
        <f>ROUND(Z63,0)</f>
        <v>0</v>
      </c>
      <c r="G756" s="277">
        <f>ROUND(Z64,0)</f>
        <v>0</v>
      </c>
      <c r="H756" s="277">
        <f>ROUND(Z65,0)</f>
        <v>0</v>
      </c>
      <c r="I756" s="277">
        <f>ROUND(Z66,0)</f>
        <v>0</v>
      </c>
      <c r="J756" s="277">
        <f>ROUND(Z67,0)</f>
        <v>0</v>
      </c>
      <c r="K756" s="277">
        <f>ROUND(Z68,0)</f>
        <v>0</v>
      </c>
      <c r="L756" s="277">
        <f>ROUND(Z70,0)</f>
        <v>0</v>
      </c>
      <c r="M756" s="277">
        <f>ROUND(Z71,0)</f>
        <v>0</v>
      </c>
      <c r="N756" s="277">
        <f>ROUND(Z76,0)</f>
        <v>0</v>
      </c>
      <c r="O756" s="277">
        <f>ROUND(Z74,0)</f>
        <v>0</v>
      </c>
      <c r="P756" s="277">
        <f>IF(Z77&gt;0,ROUND(Z77,0),0)</f>
        <v>0</v>
      </c>
      <c r="Q756" s="277">
        <f>IF(Z78&gt;0,ROUND(Z78,0),0)</f>
        <v>0</v>
      </c>
      <c r="R756" s="277">
        <f>IF(Z79&gt;0,ROUND(Z79,0),0)</f>
        <v>0</v>
      </c>
      <c r="S756" s="277">
        <f>IF(Z80&gt;0,ROUND(Z80,0),0)</f>
        <v>0</v>
      </c>
      <c r="T756" s="280">
        <f>IF(Z81&gt;0,ROUND(Z81,2),0)</f>
        <v>0</v>
      </c>
      <c r="U756" s="277"/>
      <c r="X756" s="277"/>
      <c r="Y756" s="277"/>
      <c r="Z756" s="277">
        <f t="shared" si="21"/>
        <v>1043397</v>
      </c>
    </row>
    <row r="757" spans="1:26" ht="12.65" customHeight="1" x14ac:dyDescent="0.3">
      <c r="A757" s="207" t="str">
        <f>RIGHT($C$84,3)&amp;"*"&amp;RIGHT($C$83,4)&amp;"*"&amp;AA$55&amp;"*"&amp;"A"</f>
        <v>o 2*085*7160*A</v>
      </c>
      <c r="B757" s="277">
        <f>ROUND(AA59,0)</f>
        <v>436</v>
      </c>
      <c r="C757" s="280">
        <f>ROUND(AA60,2)</f>
        <v>0.85</v>
      </c>
      <c r="D757" s="277">
        <f>ROUND(AA61,0)</f>
        <v>107941</v>
      </c>
      <c r="E757" s="277">
        <f>ROUND(AA62,0)</f>
        <v>25654</v>
      </c>
      <c r="F757" s="277">
        <f>ROUND(AA63,0)</f>
        <v>1832</v>
      </c>
      <c r="G757" s="277">
        <f>ROUND(AA64,0)</f>
        <v>103404</v>
      </c>
      <c r="H757" s="277">
        <f>ROUND(AA65,0)</f>
        <v>0</v>
      </c>
      <c r="I757" s="277">
        <f>ROUND(AA66,0)</f>
        <v>37045</v>
      </c>
      <c r="J757" s="277">
        <f>ROUND(AA67,0)</f>
        <v>7434</v>
      </c>
      <c r="K757" s="277">
        <f>ROUND(AA68,0)</f>
        <v>0</v>
      </c>
      <c r="L757" s="277">
        <f>ROUND(AA70,0)</f>
        <v>0</v>
      </c>
      <c r="M757" s="277">
        <f>ROUND(AA71,0)</f>
        <v>287027</v>
      </c>
      <c r="N757" s="277">
        <f>ROUND(AA76,0)</f>
        <v>358</v>
      </c>
      <c r="O757" s="277">
        <f>ROUND(AA74,0)</f>
        <v>1939368</v>
      </c>
      <c r="P757" s="277">
        <f>IF(AA77&gt;0,ROUND(AA77,0),0)</f>
        <v>0</v>
      </c>
      <c r="Q757" s="277">
        <f>IF(AA78&gt;0,ROUND(AA78,0),0)</f>
        <v>0</v>
      </c>
      <c r="R757" s="277">
        <f>IF(AA79&gt;0,ROUND(AA79,0),0)</f>
        <v>0</v>
      </c>
      <c r="S757" s="277">
        <f>IF(AA80&gt;0,ROUND(AA80,0),0)</f>
        <v>0</v>
      </c>
      <c r="T757" s="280">
        <f>IF(AA81&gt;0,ROUND(AA81,2),0)</f>
        <v>0</v>
      </c>
      <c r="U757" s="277"/>
      <c r="X757" s="277"/>
      <c r="Y757" s="277"/>
      <c r="Z757" s="277">
        <f t="shared" si="21"/>
        <v>0</v>
      </c>
    </row>
    <row r="758" spans="1:26" ht="12.65" customHeight="1" x14ac:dyDescent="0.3">
      <c r="A758" s="207" t="str">
        <f>RIGHT($C$84,3)&amp;"*"&amp;RIGHT($C$83,4)&amp;"*"&amp;AB$55&amp;"*"&amp;"A"</f>
        <v>o 2*085*7170*A</v>
      </c>
      <c r="B758" s="277"/>
      <c r="C758" s="280">
        <f>ROUND(AB60,2)</f>
        <v>11.88</v>
      </c>
      <c r="D758" s="277">
        <f>ROUND(AB61,0)</f>
        <v>1169351</v>
      </c>
      <c r="E758" s="277">
        <f>ROUND(AB62,0)</f>
        <v>277919</v>
      </c>
      <c r="F758" s="277">
        <f>ROUND(AB63,0)</f>
        <v>1106332</v>
      </c>
      <c r="G758" s="277">
        <f>ROUND(AB64,0)</f>
        <v>13351923</v>
      </c>
      <c r="H758" s="277">
        <f>ROUND(AB65,0)</f>
        <v>7907</v>
      </c>
      <c r="I758" s="277">
        <f>ROUND(AB66,0)</f>
        <v>330743</v>
      </c>
      <c r="J758" s="277">
        <f>ROUND(AB67,0)</f>
        <v>51590</v>
      </c>
      <c r="K758" s="277">
        <f>ROUND(AB68,0)</f>
        <v>215473</v>
      </c>
      <c r="L758" s="277">
        <f>ROUND(AB70,0)</f>
        <v>496757</v>
      </c>
      <c r="M758" s="277">
        <f>ROUND(AB71,0)</f>
        <v>16135833</v>
      </c>
      <c r="N758" s="277">
        <f>ROUND(AB76,0)</f>
        <v>2481</v>
      </c>
      <c r="O758" s="277">
        <f>ROUND(AB74,0)</f>
        <v>37910746</v>
      </c>
      <c r="P758" s="277">
        <f>IF(AB77&gt;0,ROUND(AB77,0),0)</f>
        <v>0</v>
      </c>
      <c r="Q758" s="277">
        <f>IF(AB78&gt;0,ROUND(AB78,0),0)</f>
        <v>0</v>
      </c>
      <c r="R758" s="277">
        <f>IF(AB79&gt;0,ROUND(AB79,0),0)</f>
        <v>0</v>
      </c>
      <c r="S758" s="277">
        <f>IF(AB80&gt;0,ROUND(AB80,0),0)</f>
        <v>0</v>
      </c>
      <c r="T758" s="280">
        <f>IF(AB81&gt;0,ROUND(AB81,2),0)</f>
        <v>0</v>
      </c>
      <c r="U758" s="277"/>
      <c r="X758" s="277"/>
      <c r="Y758" s="277"/>
      <c r="Z758" s="277">
        <f t="shared" si="21"/>
        <v>108591</v>
      </c>
    </row>
    <row r="759" spans="1:26" ht="12.65" customHeight="1" x14ac:dyDescent="0.3">
      <c r="A759" s="207" t="str">
        <f>RIGHT($C$84,3)&amp;"*"&amp;RIGHT($C$83,4)&amp;"*"&amp;AC$55&amp;"*"&amp;"A"</f>
        <v>o 2*085*7180*A</v>
      </c>
      <c r="B759" s="277">
        <f>ROUND(AC59,0)</f>
        <v>42603</v>
      </c>
      <c r="C759" s="280">
        <f>ROUND(AC60,2)</f>
        <v>8.02</v>
      </c>
      <c r="D759" s="277">
        <f>ROUND(AC61,0)</f>
        <v>704189</v>
      </c>
      <c r="E759" s="277">
        <f>ROUND(AC62,0)</f>
        <v>167364</v>
      </c>
      <c r="F759" s="277">
        <f>ROUND(AC63,0)</f>
        <v>0</v>
      </c>
      <c r="G759" s="277">
        <f>ROUND(AC64,0)</f>
        <v>112556</v>
      </c>
      <c r="H759" s="277">
        <f>ROUND(AC65,0)</f>
        <v>0</v>
      </c>
      <c r="I759" s="277">
        <f>ROUND(AC66,0)</f>
        <v>13871</v>
      </c>
      <c r="J759" s="277">
        <f>ROUND(AC67,0)</f>
        <v>35430</v>
      </c>
      <c r="K759" s="277">
        <f>ROUND(AC68,0)</f>
        <v>24791</v>
      </c>
      <c r="L759" s="277">
        <f>ROUND(AC70,0)</f>
        <v>0</v>
      </c>
      <c r="M759" s="277">
        <f>ROUND(AC71,0)</f>
        <v>1083157</v>
      </c>
      <c r="N759" s="277">
        <f>ROUND(AC76,0)</f>
        <v>1704</v>
      </c>
      <c r="O759" s="277">
        <f>ROUND(AC74,0)</f>
        <v>2051031</v>
      </c>
      <c r="P759" s="277">
        <f>IF(AC77&gt;0,ROUND(AC77,0),0)</f>
        <v>0</v>
      </c>
      <c r="Q759" s="277">
        <f>IF(AC78&gt;0,ROUND(AC78,0),0)</f>
        <v>0</v>
      </c>
      <c r="R759" s="277">
        <f>IF(AC79&gt;0,ROUND(AC79,0),0)</f>
        <v>0</v>
      </c>
      <c r="S759" s="277">
        <f>IF(AC80&gt;0,ROUND(AC80,0),0)</f>
        <v>0</v>
      </c>
      <c r="T759" s="280">
        <f>IF(AC81&gt;0,ROUND(AC81,2),0)</f>
        <v>0</v>
      </c>
      <c r="U759" s="277"/>
      <c r="X759" s="277"/>
      <c r="Y759" s="277"/>
      <c r="Z759" s="277">
        <f t="shared" si="21"/>
        <v>3153697</v>
      </c>
    </row>
    <row r="760" spans="1:26" ht="12.65" customHeight="1" x14ac:dyDescent="0.3">
      <c r="A760" s="207" t="str">
        <f>RIGHT($C$84,3)&amp;"*"&amp;RIGHT($C$83,4)&amp;"*"&amp;AD$55&amp;"*"&amp;"A"</f>
        <v>o 2*085*7190*A</v>
      </c>
      <c r="B760" s="277">
        <f>ROUND(AD59,0)</f>
        <v>0</v>
      </c>
      <c r="C760" s="280">
        <f>ROUND(AD60,2)</f>
        <v>0</v>
      </c>
      <c r="D760" s="277">
        <f>ROUND(AD61,0)</f>
        <v>0</v>
      </c>
      <c r="E760" s="277">
        <f>ROUND(AD62,0)</f>
        <v>0</v>
      </c>
      <c r="F760" s="277">
        <f>ROUND(AD63,0)</f>
        <v>0</v>
      </c>
      <c r="G760" s="277">
        <f>ROUND(AD64,0)</f>
        <v>0</v>
      </c>
      <c r="H760" s="277">
        <f>ROUND(AD65,0)</f>
        <v>0</v>
      </c>
      <c r="I760" s="277">
        <f>ROUND(AD66,0)</f>
        <v>0</v>
      </c>
      <c r="J760" s="277">
        <f>ROUND(AD67,0)</f>
        <v>0</v>
      </c>
      <c r="K760" s="277">
        <f>ROUND(AD68,0)</f>
        <v>0</v>
      </c>
      <c r="L760" s="277">
        <f>ROUND(AD70,0)</f>
        <v>0</v>
      </c>
      <c r="M760" s="277">
        <f>ROUND(AD71,0)</f>
        <v>0</v>
      </c>
      <c r="N760" s="277">
        <f>ROUND(AD76,0)</f>
        <v>0</v>
      </c>
      <c r="O760" s="277">
        <f>ROUND(AD74,0)</f>
        <v>0</v>
      </c>
      <c r="P760" s="277">
        <f>IF(AD77&gt;0,ROUND(AD77,0),0)</f>
        <v>0</v>
      </c>
      <c r="Q760" s="277">
        <f>IF(AD78&gt;0,ROUND(AD78,0),0)</f>
        <v>0</v>
      </c>
      <c r="R760" s="277">
        <f>IF(AD79&gt;0,ROUND(AD79,0),0)</f>
        <v>0</v>
      </c>
      <c r="S760" s="277">
        <f>IF(AD80&gt;0,ROUND(AD80,0),0)</f>
        <v>0</v>
      </c>
      <c r="T760" s="280">
        <f>IF(AD81&gt;0,ROUND(AD81,2),0)</f>
        <v>0</v>
      </c>
      <c r="U760" s="277"/>
      <c r="X760" s="277"/>
      <c r="Y760" s="277"/>
      <c r="Z760" s="277">
        <f t="shared" si="21"/>
        <v>308995</v>
      </c>
    </row>
    <row r="761" spans="1:26" ht="12.65" customHeight="1" x14ac:dyDescent="0.3">
      <c r="A761" s="207" t="str">
        <f>RIGHT($C$84,3)&amp;"*"&amp;RIGHT($C$83,4)&amp;"*"&amp;AE$55&amp;"*"&amp;"A"</f>
        <v>o 2*085*7200*A</v>
      </c>
      <c r="B761" s="277">
        <f>ROUND(AE59,0)</f>
        <v>98895</v>
      </c>
      <c r="C761" s="280">
        <f>ROUND(AE60,2)</f>
        <v>31.14</v>
      </c>
      <c r="D761" s="277">
        <f>ROUND(AE61,0)</f>
        <v>2585347</v>
      </c>
      <c r="E761" s="277">
        <f>ROUND(AE62,0)</f>
        <v>614457</v>
      </c>
      <c r="F761" s="277">
        <f>ROUND(AE63,0)</f>
        <v>464591</v>
      </c>
      <c r="G761" s="277">
        <f>ROUND(AE64,0)</f>
        <v>73109</v>
      </c>
      <c r="H761" s="277">
        <f>ROUND(AE65,0)</f>
        <v>0</v>
      </c>
      <c r="I761" s="277">
        <f>ROUND(AE66,0)</f>
        <v>792</v>
      </c>
      <c r="J761" s="277">
        <f>ROUND(AE67,0)</f>
        <v>134909</v>
      </c>
      <c r="K761" s="277">
        <f>ROUND(AE68,0)</f>
        <v>26</v>
      </c>
      <c r="L761" s="277">
        <f>ROUND(AE70,0)</f>
        <v>0</v>
      </c>
      <c r="M761" s="277">
        <f>ROUND(AE71,0)</f>
        <v>3899632</v>
      </c>
      <c r="N761" s="277">
        <f>ROUND(AE76,0)</f>
        <v>6488</v>
      </c>
      <c r="O761" s="277">
        <f>ROUND(AE74,0)</f>
        <v>8525409</v>
      </c>
      <c r="P761" s="277">
        <f>IF(AE77&gt;0,ROUND(AE77,0),0)</f>
        <v>0</v>
      </c>
      <c r="Q761" s="277">
        <f>IF(AE78&gt;0,ROUND(AE78,0),0)</f>
        <v>7750</v>
      </c>
      <c r="R761" s="277">
        <f>IF(AE79&gt;0,ROUND(AE79,0),0)</f>
        <v>23989</v>
      </c>
      <c r="S761" s="277">
        <f>IF(AE80&gt;0,ROUND(AE80,0),0)</f>
        <v>0</v>
      </c>
      <c r="T761" s="280">
        <f>IF(AE81&gt;0,ROUND(AE81,2),0)</f>
        <v>0</v>
      </c>
      <c r="U761" s="277"/>
      <c r="X761" s="277"/>
      <c r="Y761" s="277"/>
      <c r="Z761" s="277">
        <f t="shared" si="21"/>
        <v>0</v>
      </c>
    </row>
    <row r="762" spans="1:26" ht="12.65" customHeight="1" x14ac:dyDescent="0.3">
      <c r="A762" s="207" t="str">
        <f>RIGHT($C$84,3)&amp;"*"&amp;RIGHT($C$83,4)&amp;"*"&amp;AF$55&amp;"*"&amp;"A"</f>
        <v>o 2*085*7220*A</v>
      </c>
      <c r="B762" s="277">
        <f>ROUND(AF59,0)</f>
        <v>0</v>
      </c>
      <c r="C762" s="280">
        <f>ROUND(AF60,2)</f>
        <v>0</v>
      </c>
      <c r="D762" s="277">
        <f>ROUND(AF61,0)</f>
        <v>0</v>
      </c>
      <c r="E762" s="277">
        <f>ROUND(AF62,0)</f>
        <v>0</v>
      </c>
      <c r="F762" s="277">
        <f>ROUND(AF63,0)</f>
        <v>0</v>
      </c>
      <c r="G762" s="277">
        <f>ROUND(AF64,0)</f>
        <v>0</v>
      </c>
      <c r="H762" s="277">
        <f>ROUND(AF65,0)</f>
        <v>0</v>
      </c>
      <c r="I762" s="277">
        <f>ROUND(AF66,0)</f>
        <v>0</v>
      </c>
      <c r="J762" s="277">
        <f>ROUND(AF67,0)</f>
        <v>0</v>
      </c>
      <c r="K762" s="277">
        <f>ROUND(AF68,0)</f>
        <v>0</v>
      </c>
      <c r="L762" s="277">
        <f>ROUND(AF70,0)</f>
        <v>0</v>
      </c>
      <c r="M762" s="277">
        <f>ROUND(AF71,0)</f>
        <v>0</v>
      </c>
      <c r="N762" s="277">
        <f>ROUND(AF76,0)</f>
        <v>0</v>
      </c>
      <c r="O762" s="277">
        <f>ROUND(AF74,0)</f>
        <v>0</v>
      </c>
      <c r="P762" s="277">
        <f>IF(AF77&gt;0,ROUND(AF77,0),0)</f>
        <v>0</v>
      </c>
      <c r="Q762" s="277">
        <f>IF(AF78&gt;0,ROUND(AF78,0),0)</f>
        <v>0</v>
      </c>
      <c r="R762" s="277">
        <f>IF(AF79&gt;0,ROUND(AF79,0),0)</f>
        <v>0</v>
      </c>
      <c r="S762" s="277">
        <f>IF(AF80&gt;0,ROUND(AF80,0),0)</f>
        <v>0</v>
      </c>
      <c r="T762" s="280">
        <f>IF(AF81&gt;0,ROUND(AF81,2),0)</f>
        <v>0</v>
      </c>
      <c r="U762" s="277"/>
      <c r="X762" s="277"/>
      <c r="Y762" s="277"/>
      <c r="Z762" s="277">
        <f t="shared" si="21"/>
        <v>958918</v>
      </c>
    </row>
    <row r="763" spans="1:26" ht="12.65" customHeight="1" x14ac:dyDescent="0.3">
      <c r="A763" s="207" t="str">
        <f>RIGHT($C$84,3)&amp;"*"&amp;RIGHT($C$83,4)&amp;"*"&amp;AG$55&amp;"*"&amp;"A"</f>
        <v>o 2*085*7230*A</v>
      </c>
      <c r="B763" s="277">
        <f>ROUND(AG59,0)</f>
        <v>12684</v>
      </c>
      <c r="C763" s="280">
        <f>ROUND(AG60,2)</f>
        <v>25.74</v>
      </c>
      <c r="D763" s="277">
        <f>ROUND(AG61,0)</f>
        <v>2319942</v>
      </c>
      <c r="E763" s="277">
        <f>ROUND(AG62,0)</f>
        <v>551378</v>
      </c>
      <c r="F763" s="277">
        <f>ROUND(AG63,0)</f>
        <v>2415254</v>
      </c>
      <c r="G763" s="277">
        <f>ROUND(AG64,0)</f>
        <v>298765</v>
      </c>
      <c r="H763" s="277">
        <f>ROUND(AG65,0)</f>
        <v>0</v>
      </c>
      <c r="I763" s="277">
        <f>ROUND(AG66,0)</f>
        <v>6480</v>
      </c>
      <c r="J763" s="277">
        <f>ROUND(AG67,0)</f>
        <v>139736</v>
      </c>
      <c r="K763" s="277">
        <f>ROUND(AG68,0)</f>
        <v>2475</v>
      </c>
      <c r="L763" s="277">
        <f>ROUND(AG70,0)</f>
        <v>0</v>
      </c>
      <c r="M763" s="277">
        <f>ROUND(AG71,0)</f>
        <v>5782429</v>
      </c>
      <c r="N763" s="277">
        <f>ROUND(AG76,0)</f>
        <v>6720</v>
      </c>
      <c r="O763" s="277">
        <f>ROUND(AG74,0)</f>
        <v>33964666</v>
      </c>
      <c r="P763" s="277">
        <f>IF(AG77&gt;0,ROUND(AG77,0),0)</f>
        <v>0</v>
      </c>
      <c r="Q763" s="277">
        <f>IF(AG78&gt;0,ROUND(AG78,0),0)</f>
        <v>21741</v>
      </c>
      <c r="R763" s="277">
        <f>IF(AG79&gt;0,ROUND(AG79,0),0)</f>
        <v>67299</v>
      </c>
      <c r="S763" s="277">
        <f>IF(AG80&gt;0,ROUND(AG80,0),0)</f>
        <v>15</v>
      </c>
      <c r="T763" s="280">
        <f>IF(AG81&gt;0,ROUND(AG81,2),0)</f>
        <v>0</v>
      </c>
      <c r="U763" s="277"/>
      <c r="X763" s="277"/>
      <c r="Y763" s="277"/>
      <c r="Z763" s="277">
        <f t="shared" si="21"/>
        <v>0</v>
      </c>
    </row>
    <row r="764" spans="1:26" ht="12.65" customHeight="1" x14ac:dyDescent="0.3">
      <c r="A764" s="207" t="str">
        <f>RIGHT($C$84,3)&amp;"*"&amp;RIGHT($C$83,4)&amp;"*"&amp;AH$55&amp;"*"&amp;"A"</f>
        <v>o 2*085*7240*A</v>
      </c>
      <c r="B764" s="277">
        <f>ROUND(AH59,0)</f>
        <v>0</v>
      </c>
      <c r="C764" s="280">
        <f>ROUND(AH60,2)</f>
        <v>0</v>
      </c>
      <c r="D764" s="277">
        <f>ROUND(AH61,0)</f>
        <v>0</v>
      </c>
      <c r="E764" s="277">
        <f>ROUND(AH62,0)</f>
        <v>0</v>
      </c>
      <c r="F764" s="277">
        <f>ROUND(AH63,0)</f>
        <v>0</v>
      </c>
      <c r="G764" s="277">
        <f>ROUND(AH64,0)</f>
        <v>0</v>
      </c>
      <c r="H764" s="277">
        <f>ROUND(AH65,0)</f>
        <v>0</v>
      </c>
      <c r="I764" s="277">
        <f>ROUND(AH66,0)</f>
        <v>0</v>
      </c>
      <c r="J764" s="277">
        <f>ROUND(AH67,0)</f>
        <v>0</v>
      </c>
      <c r="K764" s="277">
        <f>ROUND(AH68,0)</f>
        <v>0</v>
      </c>
      <c r="L764" s="277">
        <f>ROUND(AH70,0)</f>
        <v>0</v>
      </c>
      <c r="M764" s="277">
        <f>ROUND(AH71,0)</f>
        <v>0</v>
      </c>
      <c r="N764" s="277">
        <f>ROUND(AH76,0)</f>
        <v>0</v>
      </c>
      <c r="O764" s="277">
        <f>ROUND(AH74,0)</f>
        <v>0</v>
      </c>
      <c r="P764" s="277">
        <f>IF(AH77&gt;0,ROUND(AH77,0),0)</f>
        <v>0</v>
      </c>
      <c r="Q764" s="277">
        <f>IF(AH78&gt;0,ROUND(AH78,0),0)</f>
        <v>0</v>
      </c>
      <c r="R764" s="277">
        <f>IF(AH79&gt;0,ROUND(AH79,0),0)</f>
        <v>0</v>
      </c>
      <c r="S764" s="277">
        <f>IF(AH80&gt;0,ROUND(AH80,0),0)</f>
        <v>0</v>
      </c>
      <c r="T764" s="280">
        <f>IF(AH81&gt;0,ROUND(AH81,2),0)</f>
        <v>0</v>
      </c>
      <c r="U764" s="277"/>
      <c r="X764" s="277"/>
      <c r="Y764" s="277"/>
      <c r="Z764" s="277">
        <f t="shared" si="21"/>
        <v>2590641</v>
      </c>
    </row>
    <row r="765" spans="1:26" ht="12.65" customHeight="1" x14ac:dyDescent="0.3">
      <c r="A765" s="207" t="str">
        <f>RIGHT($C$84,3)&amp;"*"&amp;RIGHT($C$83,4)&amp;"*"&amp;AI$55&amp;"*"&amp;"A"</f>
        <v>o 2*085*7250*A</v>
      </c>
      <c r="B765" s="277">
        <f>ROUND(AI59,0)</f>
        <v>17642</v>
      </c>
      <c r="C765" s="280">
        <f>ROUND(AI60,2)</f>
        <v>24.66</v>
      </c>
      <c r="D765" s="277">
        <f>ROUND(AI61,0)</f>
        <v>2745112</v>
      </c>
      <c r="E765" s="277">
        <f>ROUND(AI62,0)</f>
        <v>652428</v>
      </c>
      <c r="F765" s="277">
        <f>ROUND(AI63,0)</f>
        <v>0</v>
      </c>
      <c r="G765" s="277">
        <f>ROUND(AI64,0)</f>
        <v>396044</v>
      </c>
      <c r="H765" s="277">
        <f>ROUND(AI65,0)</f>
        <v>0</v>
      </c>
      <c r="I765" s="277">
        <f>ROUND(AI66,0)</f>
        <v>17805</v>
      </c>
      <c r="J765" s="277">
        <f>ROUND(AI67,0)</f>
        <v>132484</v>
      </c>
      <c r="K765" s="277">
        <f>ROUND(AI68,0)</f>
        <v>0</v>
      </c>
      <c r="L765" s="277">
        <f>ROUND(AI70,0)</f>
        <v>1924</v>
      </c>
      <c r="M765" s="277">
        <f>ROUND(AI71,0)</f>
        <v>3988961</v>
      </c>
      <c r="N765" s="277">
        <f>ROUND(AI76,0)</f>
        <v>6371</v>
      </c>
      <c r="O765" s="277">
        <f>ROUND(AI74,0)</f>
        <v>8270782</v>
      </c>
      <c r="P765" s="277">
        <f>IF(AI77&gt;0,ROUND(AI77,0),0)</f>
        <v>0</v>
      </c>
      <c r="Q765" s="277">
        <f>IF(AI78&gt;0,ROUND(AI78,0),0)</f>
        <v>3161</v>
      </c>
      <c r="R765" s="277">
        <f>IF(AI79&gt;0,ROUND(AI79,0),0)</f>
        <v>9786</v>
      </c>
      <c r="S765" s="277">
        <f>IF(AI80&gt;0,ROUND(AI80,0),0)</f>
        <v>10</v>
      </c>
      <c r="T765" s="280">
        <f>IF(AI81&gt;0,ROUND(AI81,2),0)</f>
        <v>0</v>
      </c>
      <c r="U765" s="277"/>
      <c r="X765" s="277"/>
      <c r="Y765" s="277"/>
      <c r="Z765" s="277">
        <f t="shared" si="21"/>
        <v>0</v>
      </c>
    </row>
    <row r="766" spans="1:26" ht="12.65" customHeight="1" x14ac:dyDescent="0.3">
      <c r="A766" s="207" t="str">
        <f>RIGHT($C$84,3)&amp;"*"&amp;RIGHT($C$83,4)&amp;"*"&amp;AJ$55&amp;"*"&amp;"A"</f>
        <v>o 2*085*7260*A</v>
      </c>
      <c r="B766" s="277">
        <f>ROUND(AJ59,0)</f>
        <v>102544</v>
      </c>
      <c r="C766" s="280">
        <f>ROUND(AJ60,2)</f>
        <v>171.23</v>
      </c>
      <c r="D766" s="277">
        <f>ROUND(AJ61,0)</f>
        <v>17396466</v>
      </c>
      <c r="E766" s="277">
        <f>ROUND(AJ62,0)</f>
        <v>4134601</v>
      </c>
      <c r="F766" s="277">
        <f>ROUND(AJ63,0)</f>
        <v>836144</v>
      </c>
      <c r="G766" s="277">
        <f>ROUND(AJ64,0)</f>
        <v>1800499</v>
      </c>
      <c r="H766" s="277">
        <f>ROUND(AJ65,0)</f>
        <v>141279</v>
      </c>
      <c r="I766" s="277">
        <f>ROUND(AJ66,0)</f>
        <v>897552</v>
      </c>
      <c r="J766" s="277">
        <f>ROUND(AJ67,0)</f>
        <v>1293222</v>
      </c>
      <c r="K766" s="277">
        <f>ROUND(AJ68,0)</f>
        <v>383345</v>
      </c>
      <c r="L766" s="277">
        <f>ROUND(AJ70,0)</f>
        <v>319633</v>
      </c>
      <c r="M766" s="277">
        <f>ROUND(AJ71,0)</f>
        <v>26878314</v>
      </c>
      <c r="N766" s="277">
        <f>ROUND(AJ76,0)</f>
        <v>62189</v>
      </c>
      <c r="O766" s="277">
        <f>ROUND(AJ74,0)</f>
        <v>37893488</v>
      </c>
      <c r="P766" s="277">
        <f>IF(AJ77&gt;0,ROUND(AJ77,0),0)</f>
        <v>0</v>
      </c>
      <c r="Q766" s="277">
        <f>IF(AJ78&gt;0,ROUND(AJ78,0),0)</f>
        <v>6048</v>
      </c>
      <c r="R766" s="277">
        <f>IF(AJ79&gt;0,ROUND(AJ79,0),0)</f>
        <v>18721</v>
      </c>
      <c r="S766" s="277">
        <f>IF(AJ80&gt;0,ROUND(AJ80,0),0)</f>
        <v>20</v>
      </c>
      <c r="T766" s="280">
        <f>IF(AJ81&gt;0,ROUND(AJ81,2),0)</f>
        <v>0</v>
      </c>
      <c r="U766" s="277"/>
      <c r="X766" s="277"/>
      <c r="Y766" s="277"/>
      <c r="Z766" s="277">
        <f t="shared" si="21"/>
        <v>960370</v>
      </c>
    </row>
    <row r="767" spans="1:26" ht="12.65" customHeight="1" x14ac:dyDescent="0.3">
      <c r="A767" s="207" t="str">
        <f>RIGHT($C$84,3)&amp;"*"&amp;RIGHT($C$83,4)&amp;"*"&amp;AK$55&amp;"*"&amp;"A"</f>
        <v>o 2*085*7310*A</v>
      </c>
      <c r="B767" s="277">
        <f>ROUND(AK59,0)</f>
        <v>0</v>
      </c>
      <c r="C767" s="280">
        <f>ROUND(AK60,2)</f>
        <v>0</v>
      </c>
      <c r="D767" s="277">
        <f>ROUND(AK61,0)</f>
        <v>0</v>
      </c>
      <c r="E767" s="277">
        <f>ROUND(AK62,0)</f>
        <v>0</v>
      </c>
      <c r="F767" s="277">
        <f>ROUND(AK63,0)</f>
        <v>0</v>
      </c>
      <c r="G767" s="277">
        <f>ROUND(AK64,0)</f>
        <v>0</v>
      </c>
      <c r="H767" s="277">
        <f>ROUND(AK65,0)</f>
        <v>0</v>
      </c>
      <c r="I767" s="277">
        <f>ROUND(AK66,0)</f>
        <v>0</v>
      </c>
      <c r="J767" s="277">
        <f>ROUND(AK67,0)</f>
        <v>0</v>
      </c>
      <c r="K767" s="277">
        <f>ROUND(AK68,0)</f>
        <v>0</v>
      </c>
      <c r="L767" s="277">
        <f>ROUND(AK70,0)</f>
        <v>0</v>
      </c>
      <c r="M767" s="277">
        <f>ROUND(AK71,0)</f>
        <v>0</v>
      </c>
      <c r="N767" s="277">
        <f>ROUND(AK76,0)</f>
        <v>0</v>
      </c>
      <c r="O767" s="277">
        <f>ROUND(AK74,0)</f>
        <v>0</v>
      </c>
      <c r="P767" s="277">
        <f>IF(AK77&gt;0,ROUND(AK77,0),0)</f>
        <v>0</v>
      </c>
      <c r="Q767" s="277">
        <f>IF(AK78&gt;0,ROUND(AK78,0),0)</f>
        <v>0</v>
      </c>
      <c r="R767" s="277">
        <f>IF(AK79&gt;0,ROUND(AK79,0),0)</f>
        <v>0</v>
      </c>
      <c r="S767" s="277">
        <f>IF(AK80&gt;0,ROUND(AK80,0),0)</f>
        <v>0</v>
      </c>
      <c r="T767" s="280">
        <f>IF(AK81&gt;0,ROUND(AK81,2),0)</f>
        <v>0</v>
      </c>
      <c r="U767" s="277"/>
      <c r="X767" s="277"/>
      <c r="Y767" s="277"/>
      <c r="Z767" s="277">
        <f t="shared" si="21"/>
        <v>5124780</v>
      </c>
    </row>
    <row r="768" spans="1:26" ht="12.65" customHeight="1" x14ac:dyDescent="0.3">
      <c r="A768" s="207" t="str">
        <f>RIGHT($C$84,3)&amp;"*"&amp;RIGHT($C$83,4)&amp;"*"&amp;AL$55&amp;"*"&amp;"A"</f>
        <v>o 2*085*7320*A</v>
      </c>
      <c r="B768" s="277">
        <f>ROUND(AL59,0)</f>
        <v>0</v>
      </c>
      <c r="C768" s="280">
        <f>ROUND(AL60,2)</f>
        <v>0</v>
      </c>
      <c r="D768" s="277">
        <f>ROUND(AL61,0)</f>
        <v>0</v>
      </c>
      <c r="E768" s="277">
        <f>ROUND(AL62,0)</f>
        <v>0</v>
      </c>
      <c r="F768" s="277">
        <f>ROUND(AL63,0)</f>
        <v>0</v>
      </c>
      <c r="G768" s="277">
        <f>ROUND(AL64,0)</f>
        <v>0</v>
      </c>
      <c r="H768" s="277">
        <f>ROUND(AL65,0)</f>
        <v>0</v>
      </c>
      <c r="I768" s="277">
        <f>ROUND(AL66,0)</f>
        <v>0</v>
      </c>
      <c r="J768" s="277">
        <f>ROUND(AL67,0)</f>
        <v>0</v>
      </c>
      <c r="K768" s="277">
        <f>ROUND(AL68,0)</f>
        <v>0</v>
      </c>
      <c r="L768" s="277">
        <f>ROUND(AL70,0)</f>
        <v>0</v>
      </c>
      <c r="M768" s="277">
        <f>ROUND(AL71,0)</f>
        <v>0</v>
      </c>
      <c r="N768" s="277">
        <f>ROUND(AL76,0)</f>
        <v>0</v>
      </c>
      <c r="O768" s="277">
        <f>ROUND(AL74,0)</f>
        <v>0</v>
      </c>
      <c r="P768" s="277">
        <f>IF(AL77&gt;0,ROUND(AL77,0),0)</f>
        <v>0</v>
      </c>
      <c r="Q768" s="277">
        <f>IF(AL78&gt;0,ROUND(AL78,0),0)</f>
        <v>0</v>
      </c>
      <c r="R768" s="277">
        <f>IF(AL79&gt;0,ROUND(AL79,0),0)</f>
        <v>0</v>
      </c>
      <c r="S768" s="277">
        <f>IF(AL80&gt;0,ROUND(AL80,0),0)</f>
        <v>0</v>
      </c>
      <c r="T768" s="280">
        <f>IF(AL81&gt;0,ROUND(AL81,2),0)</f>
        <v>0</v>
      </c>
      <c r="U768" s="277"/>
      <c r="X768" s="277"/>
      <c r="Y768" s="277"/>
      <c r="Z768" s="277">
        <f t="shared" si="21"/>
        <v>0</v>
      </c>
    </row>
    <row r="769" spans="1:26" ht="12.65" customHeight="1" x14ac:dyDescent="0.3">
      <c r="A769" s="207" t="str">
        <f>RIGHT($C$84,3)&amp;"*"&amp;RIGHT($C$83,4)&amp;"*"&amp;AM$55&amp;"*"&amp;"A"</f>
        <v>o 2*085*7330*A</v>
      </c>
      <c r="B769" s="277">
        <f>ROUND(AM59,0)</f>
        <v>0</v>
      </c>
      <c r="C769" s="280">
        <f>ROUND(AM60,2)</f>
        <v>0</v>
      </c>
      <c r="D769" s="277">
        <f>ROUND(AM61,0)</f>
        <v>0</v>
      </c>
      <c r="E769" s="277">
        <f>ROUND(AM62,0)</f>
        <v>0</v>
      </c>
      <c r="F769" s="277">
        <f>ROUND(AM63,0)</f>
        <v>0</v>
      </c>
      <c r="G769" s="277">
        <f>ROUND(AM64,0)</f>
        <v>0</v>
      </c>
      <c r="H769" s="277">
        <f>ROUND(AM65,0)</f>
        <v>0</v>
      </c>
      <c r="I769" s="277">
        <f>ROUND(AM66,0)</f>
        <v>0</v>
      </c>
      <c r="J769" s="277">
        <f>ROUND(AM67,0)</f>
        <v>0</v>
      </c>
      <c r="K769" s="277">
        <f>ROUND(AM68,0)</f>
        <v>0</v>
      </c>
      <c r="L769" s="277">
        <f>ROUND(AM70,0)</f>
        <v>0</v>
      </c>
      <c r="M769" s="277">
        <f>ROUND(AM71,0)</f>
        <v>0</v>
      </c>
      <c r="N769" s="277">
        <f>ROUND(AM76,0)</f>
        <v>0</v>
      </c>
      <c r="O769" s="277">
        <f>ROUND(AM74,0)</f>
        <v>0</v>
      </c>
      <c r="P769" s="277">
        <f>IF(AM77&gt;0,ROUND(AM77,0),0)</f>
        <v>0</v>
      </c>
      <c r="Q769" s="277">
        <f>IF(AM78&gt;0,ROUND(AM78,0),0)</f>
        <v>0</v>
      </c>
      <c r="R769" s="277">
        <f>IF(AM79&gt;0,ROUND(AM79,0),0)</f>
        <v>0</v>
      </c>
      <c r="S769" s="277">
        <f>IF(AM80&gt;0,ROUND(AM80,0),0)</f>
        <v>0</v>
      </c>
      <c r="T769" s="280">
        <f>IF(AM81&gt;0,ROUND(AM81,2),0)</f>
        <v>0</v>
      </c>
      <c r="U769" s="277"/>
      <c r="X769" s="277"/>
      <c r="Y769" s="277"/>
      <c r="Z769" s="277">
        <f t="shared" si="21"/>
        <v>0</v>
      </c>
    </row>
    <row r="770" spans="1:26" ht="12.65" customHeight="1" x14ac:dyDescent="0.3">
      <c r="A770" s="207" t="str">
        <f>RIGHT($C$84,3)&amp;"*"&amp;RIGHT($C$83,4)&amp;"*"&amp;AN$55&amp;"*"&amp;"A"</f>
        <v>o 2*085*7340*A</v>
      </c>
      <c r="B770" s="277">
        <f>ROUND(AN59,0)</f>
        <v>0</v>
      </c>
      <c r="C770" s="280">
        <f>ROUND(AN60,2)</f>
        <v>0</v>
      </c>
      <c r="D770" s="277">
        <f>ROUND(AN61,0)</f>
        <v>0</v>
      </c>
      <c r="E770" s="277">
        <f>ROUND(AN62,0)</f>
        <v>0</v>
      </c>
      <c r="F770" s="277">
        <f>ROUND(AN63,0)</f>
        <v>0</v>
      </c>
      <c r="G770" s="277">
        <f>ROUND(AN64,0)</f>
        <v>0</v>
      </c>
      <c r="H770" s="277">
        <f>ROUND(AN65,0)</f>
        <v>0</v>
      </c>
      <c r="I770" s="277">
        <f>ROUND(AN66,0)</f>
        <v>0</v>
      </c>
      <c r="J770" s="277">
        <f>ROUND(AN67,0)</f>
        <v>0</v>
      </c>
      <c r="K770" s="277">
        <f>ROUND(AN68,0)</f>
        <v>0</v>
      </c>
      <c r="L770" s="277">
        <f>ROUND(AN70,0)</f>
        <v>0</v>
      </c>
      <c r="M770" s="277">
        <f>ROUND(AN71,0)</f>
        <v>0</v>
      </c>
      <c r="N770" s="277">
        <f>ROUND(AN76,0)</f>
        <v>0</v>
      </c>
      <c r="O770" s="277">
        <f>ROUND(AN74,0)</f>
        <v>0</v>
      </c>
      <c r="P770" s="277">
        <f>IF(AN77&gt;0,ROUND(AN77,0),0)</f>
        <v>0</v>
      </c>
      <c r="Q770" s="277">
        <f>IF(AN78&gt;0,ROUND(AN78,0),0)</f>
        <v>0</v>
      </c>
      <c r="R770" s="277">
        <f>IF(AN79&gt;0,ROUND(AN79,0),0)</f>
        <v>0</v>
      </c>
      <c r="S770" s="277">
        <f>IF(AN80&gt;0,ROUND(AN80,0),0)</f>
        <v>0</v>
      </c>
      <c r="T770" s="280">
        <f>IF(AN81&gt;0,ROUND(AN81,2),0)</f>
        <v>0</v>
      </c>
      <c r="U770" s="277"/>
      <c r="X770" s="277"/>
      <c r="Y770" s="277"/>
      <c r="Z770" s="277">
        <f t="shared" si="21"/>
        <v>0</v>
      </c>
    </row>
    <row r="771" spans="1:26" ht="12.65" customHeight="1" x14ac:dyDescent="0.3">
      <c r="A771" s="207" t="str">
        <f>RIGHT($C$84,3)&amp;"*"&amp;RIGHT($C$83,4)&amp;"*"&amp;AO$55&amp;"*"&amp;"A"</f>
        <v>o 2*085*7350*A</v>
      </c>
      <c r="B771" s="277">
        <f>ROUND(AO59,0)</f>
        <v>0</v>
      </c>
      <c r="C771" s="280">
        <f>ROUND(AO60,2)</f>
        <v>0</v>
      </c>
      <c r="D771" s="277">
        <f>ROUND(AO61,0)</f>
        <v>0</v>
      </c>
      <c r="E771" s="277">
        <f>ROUND(AO62,0)</f>
        <v>0</v>
      </c>
      <c r="F771" s="277">
        <f>ROUND(AO63,0)</f>
        <v>0</v>
      </c>
      <c r="G771" s="277">
        <f>ROUND(AO64,0)</f>
        <v>0</v>
      </c>
      <c r="H771" s="277">
        <f>ROUND(AO65,0)</f>
        <v>0</v>
      </c>
      <c r="I771" s="277">
        <f>ROUND(AO66,0)</f>
        <v>0</v>
      </c>
      <c r="J771" s="277">
        <f>ROUND(AO67,0)</f>
        <v>0</v>
      </c>
      <c r="K771" s="277">
        <f>ROUND(AO68,0)</f>
        <v>0</v>
      </c>
      <c r="L771" s="277">
        <f>ROUND(AO70,0)</f>
        <v>0</v>
      </c>
      <c r="M771" s="277">
        <f>ROUND(AO71,0)</f>
        <v>0</v>
      </c>
      <c r="N771" s="277">
        <f>ROUND(AO76,0)</f>
        <v>0</v>
      </c>
      <c r="O771" s="277">
        <f>ROUND(AO74,0)</f>
        <v>0</v>
      </c>
      <c r="P771" s="277">
        <f>IF(AO77&gt;0,ROUND(AO77,0),0)</f>
        <v>0</v>
      </c>
      <c r="Q771" s="277">
        <f>IF(AO78&gt;0,ROUND(AO78,0),0)</f>
        <v>0</v>
      </c>
      <c r="R771" s="277">
        <f>IF(AO79&gt;0,ROUND(AO79,0),0)</f>
        <v>0</v>
      </c>
      <c r="S771" s="277">
        <f>IF(AO80&gt;0,ROUND(AO80,0),0)</f>
        <v>0</v>
      </c>
      <c r="T771" s="280">
        <f>IF(AO81&gt;0,ROUND(AO81,2),0)</f>
        <v>0</v>
      </c>
      <c r="U771" s="277"/>
      <c r="X771" s="277"/>
      <c r="Y771" s="277"/>
      <c r="Z771" s="277">
        <f t="shared" si="21"/>
        <v>0</v>
      </c>
    </row>
    <row r="772" spans="1:26" ht="12.65" customHeight="1" x14ac:dyDescent="0.3">
      <c r="A772" s="207" t="str">
        <f>RIGHT($C$84,3)&amp;"*"&amp;RIGHT($C$83,4)&amp;"*"&amp;AP$55&amp;"*"&amp;"A"</f>
        <v>o 2*085*7380*A</v>
      </c>
      <c r="B772" s="277">
        <f>ROUND(AP59,0)</f>
        <v>0</v>
      </c>
      <c r="C772" s="280">
        <f>ROUND(AP60,2)</f>
        <v>0</v>
      </c>
      <c r="D772" s="277">
        <f>ROUND(AP61,0)</f>
        <v>0</v>
      </c>
      <c r="E772" s="277">
        <f>ROUND(AP62,0)</f>
        <v>0</v>
      </c>
      <c r="F772" s="277">
        <f>ROUND(AP63,0)</f>
        <v>0</v>
      </c>
      <c r="G772" s="277">
        <f>ROUND(AP64,0)</f>
        <v>0</v>
      </c>
      <c r="H772" s="277">
        <f>ROUND(AP65,0)</f>
        <v>0</v>
      </c>
      <c r="I772" s="277">
        <f>ROUND(AP66,0)</f>
        <v>0</v>
      </c>
      <c r="J772" s="277">
        <f>ROUND(AP67,0)</f>
        <v>0</v>
      </c>
      <c r="K772" s="277">
        <f>ROUND(AP68,0)</f>
        <v>0</v>
      </c>
      <c r="L772" s="277">
        <f>ROUND(AP70,0)</f>
        <v>0</v>
      </c>
      <c r="M772" s="277">
        <f>ROUND(AP71,0)</f>
        <v>0</v>
      </c>
      <c r="N772" s="277">
        <f>ROUND(AP76,0)</f>
        <v>0</v>
      </c>
      <c r="O772" s="277">
        <f>ROUND(AP74,0)</f>
        <v>0</v>
      </c>
      <c r="P772" s="277">
        <f>IF(AP77&gt;0,ROUND(AP77,0),0)</f>
        <v>0</v>
      </c>
      <c r="Q772" s="277">
        <f>IF(AP78&gt;0,ROUND(AP78,0),0)</f>
        <v>0</v>
      </c>
      <c r="R772" s="277">
        <f>IF(AP79&gt;0,ROUND(AP79,0),0)</f>
        <v>0</v>
      </c>
      <c r="S772" s="277">
        <f>IF(AP80&gt;0,ROUND(AP80,0),0)</f>
        <v>0</v>
      </c>
      <c r="T772" s="280">
        <f>IF(AP81&gt;0,ROUND(AP81,2),0)</f>
        <v>0</v>
      </c>
      <c r="U772" s="277"/>
      <c r="X772" s="277"/>
      <c r="Y772" s="277"/>
      <c r="Z772" s="277">
        <f t="shared" si="21"/>
        <v>0</v>
      </c>
    </row>
    <row r="773" spans="1:26" ht="12.65" customHeight="1" x14ac:dyDescent="0.3">
      <c r="A773" s="207" t="str">
        <f>RIGHT($C$84,3)&amp;"*"&amp;RIGHT($C$83,4)&amp;"*"&amp;AQ$55&amp;"*"&amp;"A"</f>
        <v>o 2*085*7390*A</v>
      </c>
      <c r="B773" s="277">
        <f>ROUND(AQ59,0)</f>
        <v>0</v>
      </c>
      <c r="C773" s="280">
        <f>ROUND(AQ60,2)</f>
        <v>0</v>
      </c>
      <c r="D773" s="277">
        <f>ROUND(AQ61,0)</f>
        <v>0</v>
      </c>
      <c r="E773" s="277">
        <f>ROUND(AQ62,0)</f>
        <v>0</v>
      </c>
      <c r="F773" s="277">
        <f>ROUND(AQ63,0)</f>
        <v>0</v>
      </c>
      <c r="G773" s="277">
        <f>ROUND(AQ64,0)</f>
        <v>0</v>
      </c>
      <c r="H773" s="277">
        <f>ROUND(AQ65,0)</f>
        <v>0</v>
      </c>
      <c r="I773" s="277">
        <f>ROUND(AQ66,0)</f>
        <v>0</v>
      </c>
      <c r="J773" s="277">
        <f>ROUND(AQ67,0)</f>
        <v>0</v>
      </c>
      <c r="K773" s="277">
        <f>ROUND(AQ68,0)</f>
        <v>0</v>
      </c>
      <c r="L773" s="277">
        <f>ROUND(AQ70,0)</f>
        <v>0</v>
      </c>
      <c r="M773" s="277">
        <f>ROUND(AQ71,0)</f>
        <v>0</v>
      </c>
      <c r="N773" s="277">
        <f>ROUND(AQ76,0)</f>
        <v>0</v>
      </c>
      <c r="O773" s="277">
        <f>ROUND(AQ74,0)</f>
        <v>0</v>
      </c>
      <c r="P773" s="277">
        <f>IF(AQ77&gt;0,ROUND(AQ77,0),0)</f>
        <v>0</v>
      </c>
      <c r="Q773" s="277">
        <f>IF(AQ78&gt;0,ROUND(AQ78,0),0)</f>
        <v>0</v>
      </c>
      <c r="R773" s="277">
        <f>IF(AQ79&gt;0,ROUND(AQ79,0),0)</f>
        <v>0</v>
      </c>
      <c r="S773" s="277">
        <f>IF(AQ80&gt;0,ROUND(AQ80,0),0)</f>
        <v>0</v>
      </c>
      <c r="T773" s="280">
        <f>IF(AQ81&gt;0,ROUND(AQ81,2),0)</f>
        <v>0</v>
      </c>
      <c r="U773" s="277"/>
      <c r="X773" s="277"/>
      <c r="Y773" s="277"/>
      <c r="Z773" s="277">
        <f t="shared" si="21"/>
        <v>0</v>
      </c>
    </row>
    <row r="774" spans="1:26" ht="12.65" customHeight="1" x14ac:dyDescent="0.3">
      <c r="A774" s="207" t="str">
        <f>RIGHT($C$84,3)&amp;"*"&amp;RIGHT($C$83,4)&amp;"*"&amp;AR$55&amp;"*"&amp;"A"</f>
        <v>o 2*085*7400*A</v>
      </c>
      <c r="B774" s="277">
        <f>ROUND(AR59,0)</f>
        <v>17968</v>
      </c>
      <c r="C774" s="280">
        <f>ROUND(AR60,2)</f>
        <v>35.58</v>
      </c>
      <c r="D774" s="277">
        <f>ROUND(AR61,0)</f>
        <v>3202624</v>
      </c>
      <c r="E774" s="277">
        <f>ROUND(AR62,0)</f>
        <v>761165</v>
      </c>
      <c r="F774" s="277">
        <f>ROUND(AR63,0)</f>
        <v>87990</v>
      </c>
      <c r="G774" s="277">
        <f>ROUND(AR64,0)</f>
        <v>336584</v>
      </c>
      <c r="H774" s="277">
        <f>ROUND(AR65,0)</f>
        <v>7155</v>
      </c>
      <c r="I774" s="277">
        <f>ROUND(AR66,0)</f>
        <v>283680</v>
      </c>
      <c r="J774" s="277">
        <f>ROUND(AR67,0)</f>
        <v>92184</v>
      </c>
      <c r="K774" s="277">
        <f>ROUND(AR68,0)</f>
        <v>137536</v>
      </c>
      <c r="L774" s="277">
        <f>ROUND(AR70,0)</f>
        <v>0</v>
      </c>
      <c r="M774" s="277">
        <f>ROUND(AR71,0)</f>
        <v>5111999</v>
      </c>
      <c r="N774" s="277">
        <f>ROUND(AR76,0)</f>
        <v>4433</v>
      </c>
      <c r="O774" s="277">
        <f>ROUND(AR74,0)</f>
        <v>5166826</v>
      </c>
      <c r="P774" s="277">
        <f>IF(AR77&gt;0,ROUND(AR77,0),0)</f>
        <v>0</v>
      </c>
      <c r="Q774" s="277">
        <f>IF(AR78&gt;0,ROUND(AR78,0),0)</f>
        <v>0</v>
      </c>
      <c r="R774" s="277">
        <f>IF(AR79&gt;0,ROUND(AR79,0),0)</f>
        <v>0</v>
      </c>
      <c r="S774" s="277">
        <f>IF(AR80&gt;0,ROUND(AR80,0),0)</f>
        <v>15</v>
      </c>
      <c r="T774" s="280">
        <f>IF(AR81&gt;0,ROUND(AR81,2),0)</f>
        <v>0</v>
      </c>
      <c r="U774" s="277"/>
      <c r="X774" s="277"/>
      <c r="Y774" s="277"/>
      <c r="Z774" s="277">
        <f t="shared" si="21"/>
        <v>0</v>
      </c>
    </row>
    <row r="775" spans="1:26" ht="12.65" customHeight="1" x14ac:dyDescent="0.3">
      <c r="A775" s="207" t="str">
        <f>RIGHT($C$84,3)&amp;"*"&amp;RIGHT($C$83,4)&amp;"*"&amp;AS$55&amp;"*"&amp;"A"</f>
        <v>o 2*085*7410*A</v>
      </c>
      <c r="B775" s="277">
        <f>ROUND(AS59,0)</f>
        <v>0</v>
      </c>
      <c r="C775" s="280">
        <f>ROUND(AS60,2)</f>
        <v>0</v>
      </c>
      <c r="D775" s="277">
        <f>ROUND(AS61,0)</f>
        <v>0</v>
      </c>
      <c r="E775" s="277">
        <f>ROUND(AS62,0)</f>
        <v>0</v>
      </c>
      <c r="F775" s="277">
        <f>ROUND(AS63,0)</f>
        <v>0</v>
      </c>
      <c r="G775" s="277">
        <f>ROUND(AS64,0)</f>
        <v>0</v>
      </c>
      <c r="H775" s="277">
        <f>ROUND(AS65,0)</f>
        <v>0</v>
      </c>
      <c r="I775" s="277">
        <f>ROUND(AS66,0)</f>
        <v>0</v>
      </c>
      <c r="J775" s="277">
        <f>ROUND(AS67,0)</f>
        <v>0</v>
      </c>
      <c r="K775" s="277">
        <f>ROUND(AS68,0)</f>
        <v>0</v>
      </c>
      <c r="L775" s="277">
        <f>ROUND(AS70,0)</f>
        <v>0</v>
      </c>
      <c r="M775" s="277">
        <f>ROUND(AS71,0)</f>
        <v>0</v>
      </c>
      <c r="N775" s="277">
        <f>ROUND(AS76,0)</f>
        <v>0</v>
      </c>
      <c r="O775" s="277">
        <f>ROUND(AS74,0)</f>
        <v>0</v>
      </c>
      <c r="P775" s="277">
        <f>IF(AS77&gt;0,ROUND(AS77,0),0)</f>
        <v>0</v>
      </c>
      <c r="Q775" s="277">
        <f>IF(AS78&gt;0,ROUND(AS78,0),0)</f>
        <v>0</v>
      </c>
      <c r="R775" s="277">
        <f>IF(AS79&gt;0,ROUND(AS79,0),0)</f>
        <v>0</v>
      </c>
      <c r="S775" s="277">
        <f>IF(AS80&gt;0,ROUND(AS80,0),0)</f>
        <v>0</v>
      </c>
      <c r="T775" s="280">
        <f>IF(AS81&gt;0,ROUND(AS81,2),0)</f>
        <v>0</v>
      </c>
      <c r="U775" s="277"/>
      <c r="X775" s="277"/>
      <c r="Y775" s="277"/>
      <c r="Z775" s="277">
        <f t="shared" si="21"/>
        <v>890043</v>
      </c>
    </row>
    <row r="776" spans="1:26" ht="12.65" customHeight="1" x14ac:dyDescent="0.3">
      <c r="A776" s="207" t="str">
        <f>RIGHT($C$84,3)&amp;"*"&amp;RIGHT($C$83,4)&amp;"*"&amp;AT$55&amp;"*"&amp;"A"</f>
        <v>o 2*085*7420*A</v>
      </c>
      <c r="B776" s="277">
        <f>ROUND(AT59,0)</f>
        <v>0</v>
      </c>
      <c r="C776" s="280">
        <f>ROUND(AT60,2)</f>
        <v>0</v>
      </c>
      <c r="D776" s="277">
        <f>ROUND(AT61,0)</f>
        <v>0</v>
      </c>
      <c r="E776" s="277">
        <f>ROUND(AT62,0)</f>
        <v>0</v>
      </c>
      <c r="F776" s="277">
        <f>ROUND(AT63,0)</f>
        <v>0</v>
      </c>
      <c r="G776" s="277">
        <f>ROUND(AT64,0)</f>
        <v>0</v>
      </c>
      <c r="H776" s="277">
        <f>ROUND(AT65,0)</f>
        <v>0</v>
      </c>
      <c r="I776" s="277">
        <f>ROUND(AT66,0)</f>
        <v>0</v>
      </c>
      <c r="J776" s="277">
        <f>ROUND(AT67,0)</f>
        <v>0</v>
      </c>
      <c r="K776" s="277">
        <f>ROUND(AT68,0)</f>
        <v>0</v>
      </c>
      <c r="L776" s="277">
        <f>ROUND(AT70,0)</f>
        <v>0</v>
      </c>
      <c r="M776" s="277">
        <f>ROUND(AT71,0)</f>
        <v>0</v>
      </c>
      <c r="N776" s="277">
        <f>ROUND(AT76,0)</f>
        <v>0</v>
      </c>
      <c r="O776" s="277">
        <f>ROUND(AT74,0)</f>
        <v>0</v>
      </c>
      <c r="P776" s="277">
        <f>IF(AT77&gt;0,ROUND(AT77,0),0)</f>
        <v>0</v>
      </c>
      <c r="Q776" s="277">
        <f>IF(AT78&gt;0,ROUND(AT78,0),0)</f>
        <v>0</v>
      </c>
      <c r="R776" s="277">
        <f>IF(AT79&gt;0,ROUND(AT79,0),0)</f>
        <v>0</v>
      </c>
      <c r="S776" s="277">
        <f>IF(AT80&gt;0,ROUND(AT80,0),0)</f>
        <v>0</v>
      </c>
      <c r="T776" s="280">
        <f>IF(AT81&gt;0,ROUND(AT81,2),0)</f>
        <v>0</v>
      </c>
      <c r="U776" s="277"/>
      <c r="X776" s="277"/>
      <c r="Y776" s="277"/>
      <c r="Z776" s="277">
        <f t="shared" si="21"/>
        <v>0</v>
      </c>
    </row>
    <row r="777" spans="1:26" ht="12.65" customHeight="1" x14ac:dyDescent="0.3">
      <c r="A777" s="207" t="str">
        <f>RIGHT($C$84,3)&amp;"*"&amp;RIGHT($C$83,4)&amp;"*"&amp;AU$55&amp;"*"&amp;"A"</f>
        <v>o 2*085*7430*A</v>
      </c>
      <c r="B777" s="277">
        <f>ROUND(AU59,0)</f>
        <v>0</v>
      </c>
      <c r="C777" s="280">
        <f>ROUND(AU60,2)</f>
        <v>0</v>
      </c>
      <c r="D777" s="277">
        <f>ROUND(AU61,0)</f>
        <v>0</v>
      </c>
      <c r="E777" s="277">
        <f>ROUND(AU62,0)</f>
        <v>0</v>
      </c>
      <c r="F777" s="277">
        <f>ROUND(AU63,0)</f>
        <v>0</v>
      </c>
      <c r="G777" s="277">
        <f>ROUND(AU64,0)</f>
        <v>0</v>
      </c>
      <c r="H777" s="277">
        <f>ROUND(AU65,0)</f>
        <v>0</v>
      </c>
      <c r="I777" s="277">
        <f>ROUND(AU66,0)</f>
        <v>0</v>
      </c>
      <c r="J777" s="277">
        <f>ROUND(AU67,0)</f>
        <v>0</v>
      </c>
      <c r="K777" s="277">
        <f>ROUND(AU68,0)</f>
        <v>0</v>
      </c>
      <c r="L777" s="277">
        <f>ROUND(AU70,0)</f>
        <v>0</v>
      </c>
      <c r="M777" s="277">
        <f>ROUND(AU71,0)</f>
        <v>0</v>
      </c>
      <c r="N777" s="277">
        <f>ROUND(AU76,0)</f>
        <v>0</v>
      </c>
      <c r="O777" s="277">
        <f>ROUND(AU74,0)</f>
        <v>0</v>
      </c>
      <c r="P777" s="277">
        <f>IF(AU77&gt;0,ROUND(AU77,0),0)</f>
        <v>0</v>
      </c>
      <c r="Q777" s="277">
        <f>IF(AU78&gt;0,ROUND(AU78,0),0)</f>
        <v>0</v>
      </c>
      <c r="R777" s="277">
        <f>IF(AU79&gt;0,ROUND(AU79,0),0)</f>
        <v>0</v>
      </c>
      <c r="S777" s="277">
        <f>IF(AU80&gt;0,ROUND(AU80,0),0)</f>
        <v>0</v>
      </c>
      <c r="T777" s="280">
        <f>IF(AU81&gt;0,ROUND(AU81,2),0)</f>
        <v>0</v>
      </c>
      <c r="U777" s="277"/>
      <c r="X777" s="277"/>
      <c r="Y777" s="277"/>
      <c r="Z777" s="277">
        <f t="shared" si="21"/>
        <v>0</v>
      </c>
    </row>
    <row r="778" spans="1:26" ht="12.65" customHeight="1" x14ac:dyDescent="0.3">
      <c r="A778" s="207" t="str">
        <f>RIGHT($C$84,3)&amp;"*"&amp;RIGHT($C$83,4)&amp;"*"&amp;AV$55&amp;"*"&amp;"A"</f>
        <v>o 2*085*7490*A</v>
      </c>
      <c r="B778" s="277"/>
      <c r="C778" s="280">
        <f>ROUND(AV60,2)</f>
        <v>17.62</v>
      </c>
      <c r="D778" s="277">
        <f>ROUND(AV61,0)</f>
        <v>1369053</v>
      </c>
      <c r="E778" s="277">
        <f>ROUND(AV62,0)</f>
        <v>325382</v>
      </c>
      <c r="F778" s="277">
        <f>ROUND(AV63,0)</f>
        <v>519570</v>
      </c>
      <c r="G778" s="277">
        <f>ROUND(AV64,0)</f>
        <v>103228</v>
      </c>
      <c r="H778" s="277">
        <f>ROUND(AV65,0)</f>
        <v>105</v>
      </c>
      <c r="I778" s="277">
        <f>ROUND(AV66,0)</f>
        <v>2281</v>
      </c>
      <c r="J778" s="277">
        <f>ROUND(AV67,0)</f>
        <v>18338</v>
      </c>
      <c r="K778" s="277">
        <f>ROUND(AV68,0)</f>
        <v>0</v>
      </c>
      <c r="L778" s="277">
        <f>ROUND(AV70,0)</f>
        <v>5390</v>
      </c>
      <c r="M778" s="277">
        <f>ROUND(AV71,0)</f>
        <v>2372548</v>
      </c>
      <c r="N778" s="277">
        <f>ROUND(AV76,0)</f>
        <v>882</v>
      </c>
      <c r="O778" s="277">
        <f>ROUND(AV74,0)</f>
        <v>8397629</v>
      </c>
      <c r="P778" s="277">
        <f>IF(AV77&gt;0,ROUND(AV77,0),0)</f>
        <v>0</v>
      </c>
      <c r="Q778" s="277">
        <f>IF(AV78&gt;0,ROUND(AV78,0),0)</f>
        <v>3464</v>
      </c>
      <c r="R778" s="277">
        <f>IF(AV79&gt;0,ROUND(AV79,0),0)</f>
        <v>10724</v>
      </c>
      <c r="S778" s="277">
        <f>IF(AV80&gt;0,ROUND(AV80,0),0)</f>
        <v>4</v>
      </c>
      <c r="T778" s="280">
        <f>IF(AV81&gt;0,ROUND(AV81,2),0)</f>
        <v>0</v>
      </c>
      <c r="U778" s="277"/>
      <c r="X778" s="277"/>
      <c r="Y778" s="277"/>
      <c r="Z778" s="277">
        <f t="shared" si="21"/>
        <v>0</v>
      </c>
    </row>
    <row r="779" spans="1:26" ht="12.65" customHeight="1" x14ac:dyDescent="0.3">
      <c r="A779" s="207" t="str">
        <f>RIGHT($C$84,3)&amp;"*"&amp;RIGHT($C$83,4)&amp;"*"&amp;AW$55&amp;"*"&amp;"A"</f>
        <v>o 2*085*8200*A</v>
      </c>
      <c r="B779" s="277"/>
      <c r="C779" s="280">
        <f>ROUND(AW60,2)</f>
        <v>0</v>
      </c>
      <c r="D779" s="277">
        <f>ROUND(AW61,0)</f>
        <v>0</v>
      </c>
      <c r="E779" s="277">
        <f>ROUND(AW62,0)</f>
        <v>0</v>
      </c>
      <c r="F779" s="277">
        <f>ROUND(AW63,0)</f>
        <v>0</v>
      </c>
      <c r="G779" s="277">
        <f>ROUND(AW64,0)</f>
        <v>0</v>
      </c>
      <c r="H779" s="277">
        <f>ROUND(AW65,0)</f>
        <v>0</v>
      </c>
      <c r="I779" s="277">
        <f>ROUND(AW66,0)</f>
        <v>0</v>
      </c>
      <c r="J779" s="277">
        <f>ROUND(AW67,0)</f>
        <v>0</v>
      </c>
      <c r="K779" s="277">
        <f>ROUND(AW68,0)</f>
        <v>0</v>
      </c>
      <c r="L779" s="277">
        <f>ROUND(AW70,0)</f>
        <v>0</v>
      </c>
      <c r="M779" s="277">
        <f>ROUND(AW71,0)</f>
        <v>0</v>
      </c>
      <c r="N779" s="277"/>
      <c r="O779" s="277"/>
      <c r="P779" s="277">
        <f>IF(AW77&gt;0,ROUND(AW77,0),0)</f>
        <v>0</v>
      </c>
      <c r="Q779" s="277">
        <f>IF(AW78&gt;0,ROUND(AW78,0),0)</f>
        <v>0</v>
      </c>
      <c r="R779" s="277">
        <f>IF(AW79&gt;0,ROUND(AW79,0),0)</f>
        <v>0</v>
      </c>
      <c r="S779" s="277">
        <f>IF(AW80&gt;0,ROUND(AW80,0),0)</f>
        <v>0</v>
      </c>
      <c r="T779" s="280">
        <f>IF(AW81&gt;0,ROUND(AW81,2),0)</f>
        <v>0</v>
      </c>
      <c r="U779" s="277"/>
      <c r="X779" s="277"/>
      <c r="Y779" s="277"/>
      <c r="Z779" s="277"/>
    </row>
    <row r="780" spans="1:26" ht="12.65" customHeight="1" x14ac:dyDescent="0.3">
      <c r="A780" s="207" t="str">
        <f>RIGHT($C$84,3)&amp;"*"&amp;RIGHT($C$83,4)&amp;"*"&amp;AX$55&amp;"*"&amp;"A"</f>
        <v>o 2*085*8310*A</v>
      </c>
      <c r="B780" s="277"/>
      <c r="C780" s="280">
        <f>ROUND(AX60,2)</f>
        <v>0</v>
      </c>
      <c r="D780" s="277">
        <f>ROUND(AX61,0)</f>
        <v>0</v>
      </c>
      <c r="E780" s="277">
        <f>ROUND(AX62,0)</f>
        <v>0</v>
      </c>
      <c r="F780" s="277">
        <f>ROUND(AX63,0)</f>
        <v>0</v>
      </c>
      <c r="G780" s="277">
        <f>ROUND(AX64,0)</f>
        <v>0</v>
      </c>
      <c r="H780" s="277">
        <f>ROUND(AX65,0)</f>
        <v>0</v>
      </c>
      <c r="I780" s="277">
        <f>ROUND(AX66,0)</f>
        <v>0</v>
      </c>
      <c r="J780" s="277">
        <f>ROUND(AX67,0)</f>
        <v>0</v>
      </c>
      <c r="K780" s="277">
        <f>ROUND(AX68,0)</f>
        <v>0</v>
      </c>
      <c r="L780" s="277">
        <f>ROUND(AX70,0)</f>
        <v>0</v>
      </c>
      <c r="M780" s="277">
        <f>ROUND(AX71,0)</f>
        <v>0</v>
      </c>
      <c r="N780" s="277"/>
      <c r="O780" s="277"/>
      <c r="P780" s="277">
        <f>IF(AX77&gt;0,ROUND(AX77,0),0)</f>
        <v>0</v>
      </c>
      <c r="Q780" s="277">
        <f>IF(AX78&gt;0,ROUND(AX78,0),0)</f>
        <v>0</v>
      </c>
      <c r="R780" s="277">
        <f>IF(AX79&gt;0,ROUND(AX79,0),0)</f>
        <v>0</v>
      </c>
      <c r="S780" s="277">
        <f>IF(AX80&gt;0,ROUND(AX80,0),0)</f>
        <v>0</v>
      </c>
      <c r="T780" s="280">
        <f>IF(AX81&gt;0,ROUND(AX81,2),0)</f>
        <v>0</v>
      </c>
      <c r="U780" s="277"/>
      <c r="X780" s="277"/>
      <c r="Y780" s="277"/>
      <c r="Z780" s="277"/>
    </row>
    <row r="781" spans="1:26" ht="12.65" customHeight="1" x14ac:dyDescent="0.3">
      <c r="A781" s="207" t="str">
        <f>RIGHT($C$84,3)&amp;"*"&amp;RIGHT($C$83,4)&amp;"*"&amp;AY$55&amp;"*"&amp;"A"</f>
        <v>o 2*085*8320*A</v>
      </c>
      <c r="B781" s="277">
        <f>ROUND(AY59,0)</f>
        <v>15632</v>
      </c>
      <c r="C781" s="280">
        <f>ROUND(AY60,2)</f>
        <v>15.55</v>
      </c>
      <c r="D781" s="277">
        <f>ROUND(AY61,0)</f>
        <v>742339</v>
      </c>
      <c r="E781" s="277">
        <f>ROUND(AY62,0)</f>
        <v>176431</v>
      </c>
      <c r="F781" s="277">
        <f>ROUND(AY63,0)</f>
        <v>0</v>
      </c>
      <c r="G781" s="277">
        <f>ROUND(AY64,0)</f>
        <v>345083</v>
      </c>
      <c r="H781" s="277">
        <f>ROUND(AY65,0)</f>
        <v>525</v>
      </c>
      <c r="I781" s="277">
        <f>ROUND(AY66,0)</f>
        <v>6590</v>
      </c>
      <c r="J781" s="277">
        <f>ROUND(AY67,0)</f>
        <v>120450</v>
      </c>
      <c r="K781" s="277">
        <f>ROUND(AY68,0)</f>
        <v>1932</v>
      </c>
      <c r="L781" s="277">
        <f>ROUND(AY70,0)</f>
        <v>731862</v>
      </c>
      <c r="M781" s="277">
        <f>ROUND(AY71,0)</f>
        <v>664586</v>
      </c>
      <c r="N781" s="277"/>
      <c r="O781" s="277"/>
      <c r="P781" s="277">
        <f>IF(AY77&gt;0,ROUND(AY77,0),0)</f>
        <v>0</v>
      </c>
      <c r="Q781" s="277">
        <f>IF(AY78&gt;0,ROUND(AY78,0),0)</f>
        <v>0</v>
      </c>
      <c r="R781" s="277">
        <f>IF(AY79&gt;0,ROUND(AY79,0),0)</f>
        <v>0</v>
      </c>
      <c r="S781" s="277">
        <f>IF(AY80&gt;0,ROUND(AY80,0),0)</f>
        <v>0</v>
      </c>
      <c r="T781" s="280">
        <f>IF(AY81&gt;0,ROUND(AY81,2),0)</f>
        <v>0</v>
      </c>
      <c r="U781" s="277"/>
      <c r="X781" s="277"/>
      <c r="Y781" s="277"/>
      <c r="Z781" s="277"/>
    </row>
    <row r="782" spans="1:26" ht="12.65" customHeight="1" x14ac:dyDescent="0.3">
      <c r="A782" s="207" t="str">
        <f>RIGHT($C$84,3)&amp;"*"&amp;RIGHT($C$83,4)&amp;"*"&amp;AZ$55&amp;"*"&amp;"A"</f>
        <v>o 2*085*8330*A</v>
      </c>
      <c r="B782" s="277">
        <f>ROUND(AZ59,0)</f>
        <v>0</v>
      </c>
      <c r="C782" s="280">
        <f>ROUND(AZ60,2)</f>
        <v>0</v>
      </c>
      <c r="D782" s="277">
        <f>ROUND(AZ61,0)</f>
        <v>0</v>
      </c>
      <c r="E782" s="277">
        <f>ROUND(AZ62,0)</f>
        <v>0</v>
      </c>
      <c r="F782" s="277">
        <f>ROUND(AZ63,0)</f>
        <v>0</v>
      </c>
      <c r="G782" s="277">
        <f>ROUND(AZ64,0)</f>
        <v>0</v>
      </c>
      <c r="H782" s="277">
        <f>ROUND(AZ65,0)</f>
        <v>0</v>
      </c>
      <c r="I782" s="277">
        <f>ROUND(AZ66,0)</f>
        <v>0</v>
      </c>
      <c r="J782" s="277">
        <f>ROUND(AZ67,0)</f>
        <v>0</v>
      </c>
      <c r="K782" s="277">
        <f>ROUND(AZ68,0)</f>
        <v>0</v>
      </c>
      <c r="L782" s="277">
        <f>ROUND(AZ70,0)</f>
        <v>0</v>
      </c>
      <c r="M782" s="277">
        <f>ROUND(AZ71,0)</f>
        <v>0</v>
      </c>
      <c r="N782" s="277"/>
      <c r="O782" s="277"/>
      <c r="P782" s="277">
        <f>IF(AZ77&gt;0,ROUND(AZ77,0),0)</f>
        <v>0</v>
      </c>
      <c r="Q782" s="277">
        <f>IF(AZ78&gt;0,ROUND(AZ78,0),0)</f>
        <v>0</v>
      </c>
      <c r="R782" s="277">
        <f>IF(AZ79&gt;0,ROUND(AZ79,0),0)</f>
        <v>0</v>
      </c>
      <c r="S782" s="277">
        <f>IF(AZ80&gt;0,ROUND(AZ80,0),0)</f>
        <v>0</v>
      </c>
      <c r="T782" s="280">
        <f>IF(AZ81&gt;0,ROUND(AZ81,2),0)</f>
        <v>0</v>
      </c>
      <c r="U782" s="277"/>
      <c r="X782" s="277"/>
      <c r="Y782" s="277"/>
      <c r="Z782" s="277"/>
    </row>
    <row r="783" spans="1:26" ht="12.65" customHeight="1" x14ac:dyDescent="0.3">
      <c r="A783" s="207" t="str">
        <f>RIGHT($C$84,3)&amp;"*"&amp;RIGHT($C$83,4)&amp;"*"&amp;BA$55&amp;"*"&amp;"A"</f>
        <v>o 2*085*8350*A</v>
      </c>
      <c r="B783" s="277">
        <f>ROUND(BA59,0)</f>
        <v>0</v>
      </c>
      <c r="C783" s="280">
        <f>ROUND(BA60,2)</f>
        <v>0</v>
      </c>
      <c r="D783" s="277">
        <f>ROUND(BA61,0)</f>
        <v>0</v>
      </c>
      <c r="E783" s="277">
        <f>ROUND(BA62,0)</f>
        <v>0</v>
      </c>
      <c r="F783" s="277">
        <f>ROUND(BA63,0)</f>
        <v>0</v>
      </c>
      <c r="G783" s="277">
        <f>ROUND(BA64,0)</f>
        <v>58275</v>
      </c>
      <c r="H783" s="277">
        <f>ROUND(BA65,0)</f>
        <v>0</v>
      </c>
      <c r="I783" s="277">
        <f>ROUND(BA66,0)</f>
        <v>297684</v>
      </c>
      <c r="J783" s="277">
        <f>ROUND(BA67,0)</f>
        <v>0</v>
      </c>
      <c r="K783" s="277">
        <f>ROUND(BA68,0)</f>
        <v>0</v>
      </c>
      <c r="L783" s="277">
        <f>ROUND(BA70,0)</f>
        <v>0</v>
      </c>
      <c r="M783" s="277">
        <f>ROUND(BA71,0)</f>
        <v>355959</v>
      </c>
      <c r="N783" s="277"/>
      <c r="O783" s="277"/>
      <c r="P783" s="277">
        <f>IF(BA77&gt;0,ROUND(BA77,0),0)</f>
        <v>0</v>
      </c>
      <c r="Q783" s="277">
        <f>IF(BA78&gt;0,ROUND(BA78,0),0)</f>
        <v>0</v>
      </c>
      <c r="R783" s="277">
        <f>IF(BA79&gt;0,ROUND(BA79,0),0)</f>
        <v>0</v>
      </c>
      <c r="S783" s="277">
        <f>IF(BA80&gt;0,ROUND(BA80,0),0)</f>
        <v>0</v>
      </c>
      <c r="T783" s="280">
        <f>IF(BA81&gt;0,ROUND(BA81,2),0)</f>
        <v>0</v>
      </c>
      <c r="U783" s="277"/>
      <c r="X783" s="277"/>
      <c r="Y783" s="277"/>
      <c r="Z783" s="277"/>
    </row>
    <row r="784" spans="1:26" ht="12.65" customHeight="1" x14ac:dyDescent="0.3">
      <c r="A784" s="207" t="str">
        <f>RIGHT($C$84,3)&amp;"*"&amp;RIGHT($C$83,4)&amp;"*"&amp;BB$55&amp;"*"&amp;"A"</f>
        <v>o 2*085*8360*A</v>
      </c>
      <c r="B784" s="277"/>
      <c r="C784" s="280">
        <f>ROUND(BB60,2)</f>
        <v>0</v>
      </c>
      <c r="D784" s="277">
        <f>ROUND(BB61,0)</f>
        <v>0</v>
      </c>
      <c r="E784" s="277">
        <f>ROUND(BB62,0)</f>
        <v>0</v>
      </c>
      <c r="F784" s="277">
        <f>ROUND(BB63,0)</f>
        <v>0</v>
      </c>
      <c r="G784" s="277">
        <f>ROUND(BB64,0)</f>
        <v>0</v>
      </c>
      <c r="H784" s="277">
        <f>ROUND(BB65,0)</f>
        <v>0</v>
      </c>
      <c r="I784" s="277">
        <f>ROUND(BB66,0)</f>
        <v>0</v>
      </c>
      <c r="J784" s="277">
        <f>ROUND(BB67,0)</f>
        <v>1610</v>
      </c>
      <c r="K784" s="277">
        <f>ROUND(BB68,0)</f>
        <v>0</v>
      </c>
      <c r="L784" s="277">
        <f>ROUND(BB70,0)</f>
        <v>0</v>
      </c>
      <c r="M784" s="277">
        <f>ROUND(BB71,0)</f>
        <v>1610</v>
      </c>
      <c r="N784" s="277"/>
      <c r="O784" s="277"/>
      <c r="P784" s="277">
        <f>IF(BB77&gt;0,ROUND(BB77,0),0)</f>
        <v>0</v>
      </c>
      <c r="Q784" s="277">
        <f>IF(BB78&gt;0,ROUND(BB78,0),0)</f>
        <v>0</v>
      </c>
      <c r="R784" s="277">
        <f>IF(BB79&gt;0,ROUND(BB79,0),0)</f>
        <v>0</v>
      </c>
      <c r="S784" s="277">
        <f>IF(BB80&gt;0,ROUND(BB80,0),0)</f>
        <v>0</v>
      </c>
      <c r="T784" s="280">
        <f>IF(BB81&gt;0,ROUND(BB81,2),0)</f>
        <v>0</v>
      </c>
      <c r="U784" s="277"/>
      <c r="X784" s="277"/>
      <c r="Y784" s="277"/>
      <c r="Z784" s="277"/>
    </row>
    <row r="785" spans="1:26" ht="12.65" customHeight="1" x14ac:dyDescent="0.3">
      <c r="A785" s="207" t="str">
        <f>RIGHT($C$84,3)&amp;"*"&amp;RIGHT($C$83,4)&amp;"*"&amp;BC$55&amp;"*"&amp;"A"</f>
        <v>o 2*085*8370*A</v>
      </c>
      <c r="B785" s="277"/>
      <c r="C785" s="280">
        <f>ROUND(BC60,2)</f>
        <v>0</v>
      </c>
      <c r="D785" s="277">
        <f>ROUND(BC61,0)</f>
        <v>0</v>
      </c>
      <c r="E785" s="277">
        <f>ROUND(BC62,0)</f>
        <v>0</v>
      </c>
      <c r="F785" s="277">
        <f>ROUND(BC63,0)</f>
        <v>0</v>
      </c>
      <c r="G785" s="277">
        <f>ROUND(BC64,0)</f>
        <v>0</v>
      </c>
      <c r="H785" s="277">
        <f>ROUND(BC65,0)</f>
        <v>0</v>
      </c>
      <c r="I785" s="277">
        <f>ROUND(BC66,0)</f>
        <v>0</v>
      </c>
      <c r="J785" s="277">
        <f>ROUND(BC67,0)</f>
        <v>0</v>
      </c>
      <c r="K785" s="277">
        <f>ROUND(BC68,0)</f>
        <v>0</v>
      </c>
      <c r="L785" s="277">
        <f>ROUND(BC70,0)</f>
        <v>0</v>
      </c>
      <c r="M785" s="277">
        <f>ROUND(BC71,0)</f>
        <v>0</v>
      </c>
      <c r="N785" s="277"/>
      <c r="O785" s="277"/>
      <c r="P785" s="277">
        <f>IF(BC77&gt;0,ROUND(BC77,0),0)</f>
        <v>0</v>
      </c>
      <c r="Q785" s="277">
        <f>IF(BC78&gt;0,ROUND(BC78,0),0)</f>
        <v>0</v>
      </c>
      <c r="R785" s="277">
        <f>IF(BC79&gt;0,ROUND(BC79,0),0)</f>
        <v>0</v>
      </c>
      <c r="S785" s="277">
        <f>IF(BC80&gt;0,ROUND(BC80,0),0)</f>
        <v>0</v>
      </c>
      <c r="T785" s="280">
        <f>IF(BC81&gt;0,ROUND(BC81,2),0)</f>
        <v>0</v>
      </c>
      <c r="U785" s="277"/>
      <c r="X785" s="277"/>
      <c r="Y785" s="277"/>
      <c r="Z785" s="277"/>
    </row>
    <row r="786" spans="1:26" ht="12.65" customHeight="1" x14ac:dyDescent="0.3">
      <c r="A786" s="207" t="str">
        <f>RIGHT($C$84,3)&amp;"*"&amp;RIGHT($C$83,4)&amp;"*"&amp;BD$55&amp;"*"&amp;"A"</f>
        <v>o 2*085*8420*A</v>
      </c>
      <c r="B786" s="277"/>
      <c r="C786" s="280">
        <f>ROUND(BD60,2)</f>
        <v>8.1199999999999992</v>
      </c>
      <c r="D786" s="277">
        <f>ROUND(BD61,0)</f>
        <v>459314</v>
      </c>
      <c r="E786" s="277">
        <f>ROUND(BD62,0)</f>
        <v>109165</v>
      </c>
      <c r="F786" s="277">
        <f>ROUND(BD63,0)</f>
        <v>0</v>
      </c>
      <c r="G786" s="277">
        <f>ROUND(BD64,0)</f>
        <v>7297</v>
      </c>
      <c r="H786" s="277">
        <f>ROUND(BD65,0)</f>
        <v>2374</v>
      </c>
      <c r="I786" s="277">
        <f>ROUND(BD66,0)</f>
        <v>319</v>
      </c>
      <c r="J786" s="277">
        <f>ROUND(BD67,0)</f>
        <v>48947</v>
      </c>
      <c r="K786" s="277">
        <f>ROUND(BD68,0)</f>
        <v>39996</v>
      </c>
      <c r="L786" s="277">
        <f>ROUND(BD70,0)</f>
        <v>0</v>
      </c>
      <c r="M786" s="277">
        <f>ROUND(BD71,0)</f>
        <v>721398</v>
      </c>
      <c r="N786" s="277"/>
      <c r="O786" s="277"/>
      <c r="P786" s="277">
        <f>IF(BD77&gt;0,ROUND(BD77,0),0)</f>
        <v>0</v>
      </c>
      <c r="Q786" s="277">
        <f>IF(BD78&gt;0,ROUND(BD78,0),0)</f>
        <v>0</v>
      </c>
      <c r="R786" s="277">
        <f>IF(BD79&gt;0,ROUND(BD79,0),0)</f>
        <v>0</v>
      </c>
      <c r="S786" s="277">
        <f>IF(BD80&gt;0,ROUND(BD80,0),0)</f>
        <v>0</v>
      </c>
      <c r="T786" s="280">
        <f>IF(BD81&gt;0,ROUND(BD81,2),0)</f>
        <v>0</v>
      </c>
      <c r="U786" s="277"/>
      <c r="X786" s="277"/>
      <c r="Y786" s="277"/>
      <c r="Z786" s="277"/>
    </row>
    <row r="787" spans="1:26" ht="12.65" customHeight="1" x14ac:dyDescent="0.3">
      <c r="A787" s="207" t="str">
        <f>RIGHT($C$84,3)&amp;"*"&amp;RIGHT($C$83,4)&amp;"*"&amp;BE$55&amp;"*"&amp;"A"</f>
        <v>o 2*085*8430*A</v>
      </c>
      <c r="B787" s="277">
        <f>ROUND(BE59,0)</f>
        <v>228101</v>
      </c>
      <c r="C787" s="280">
        <f>ROUND(BE60,2)</f>
        <v>16.61</v>
      </c>
      <c r="D787" s="277">
        <f>ROUND(BE61,0)</f>
        <v>1087666</v>
      </c>
      <c r="E787" s="277">
        <f>ROUND(BE62,0)</f>
        <v>258505</v>
      </c>
      <c r="F787" s="277">
        <f>ROUND(BE63,0)</f>
        <v>2295</v>
      </c>
      <c r="G787" s="277">
        <f>ROUND(BE64,0)</f>
        <v>60748</v>
      </c>
      <c r="H787" s="277">
        <f>ROUND(BE65,0)</f>
        <v>797559</v>
      </c>
      <c r="I787" s="277">
        <f>ROUND(BE66,0)</f>
        <v>393920</v>
      </c>
      <c r="J787" s="277">
        <f>ROUND(BE67,0)</f>
        <v>1237753</v>
      </c>
      <c r="K787" s="277">
        <f>ROUND(BE68,0)</f>
        <v>25162</v>
      </c>
      <c r="L787" s="277">
        <f>ROUND(BE70,0)</f>
        <v>0</v>
      </c>
      <c r="M787" s="277">
        <f>ROUND(BE71,0)</f>
        <v>3953863</v>
      </c>
      <c r="N787" s="277"/>
      <c r="O787" s="277"/>
      <c r="P787" s="277">
        <f>IF(BE77&gt;0,ROUND(BE77,0),0)</f>
        <v>0</v>
      </c>
      <c r="Q787" s="277">
        <f>IF(BE78&gt;0,ROUND(BE78,0),0)</f>
        <v>0</v>
      </c>
      <c r="R787" s="277">
        <f>IF(BE79&gt;0,ROUND(BE79,0),0)</f>
        <v>0</v>
      </c>
      <c r="S787" s="277">
        <f>IF(BE80&gt;0,ROUND(BE80,0),0)</f>
        <v>0</v>
      </c>
      <c r="T787" s="280">
        <f>IF(BE81&gt;0,ROUND(BE81,2),0)</f>
        <v>0</v>
      </c>
      <c r="U787" s="277"/>
      <c r="X787" s="277"/>
      <c r="Y787" s="277"/>
      <c r="Z787" s="277"/>
    </row>
    <row r="788" spans="1:26" ht="12.65" customHeight="1" x14ac:dyDescent="0.3">
      <c r="A788" s="207" t="str">
        <f>RIGHT($C$84,3)&amp;"*"&amp;RIGHT($C$83,4)&amp;"*"&amp;BF$55&amp;"*"&amp;"A"</f>
        <v>o 2*085*8460*A</v>
      </c>
      <c r="B788" s="277"/>
      <c r="C788" s="280">
        <f>ROUND(BF60,2)</f>
        <v>25.06</v>
      </c>
      <c r="D788" s="277">
        <f>ROUND(BF61,0)</f>
        <v>1050726</v>
      </c>
      <c r="E788" s="277">
        <f>ROUND(BF62,0)</f>
        <v>249725</v>
      </c>
      <c r="F788" s="277">
        <f>ROUND(BF63,0)</f>
        <v>0</v>
      </c>
      <c r="G788" s="277">
        <f>ROUND(BF64,0)</f>
        <v>174414</v>
      </c>
      <c r="H788" s="277">
        <f>ROUND(BF65,0)</f>
        <v>0</v>
      </c>
      <c r="I788" s="277">
        <f>ROUND(BF66,0)</f>
        <v>19967</v>
      </c>
      <c r="J788" s="277">
        <f>ROUND(BF67,0)</f>
        <v>57434</v>
      </c>
      <c r="K788" s="277">
        <f>ROUND(BF68,0)</f>
        <v>0</v>
      </c>
      <c r="L788" s="277">
        <f>ROUND(BF70,0)</f>
        <v>0</v>
      </c>
      <c r="M788" s="277">
        <f>ROUND(BF71,0)</f>
        <v>1552512</v>
      </c>
      <c r="N788" s="277"/>
      <c r="O788" s="277"/>
      <c r="P788" s="277">
        <f>IF(BF77&gt;0,ROUND(BF77,0),0)</f>
        <v>0</v>
      </c>
      <c r="Q788" s="277">
        <f>IF(BF78&gt;0,ROUND(BF78,0),0)</f>
        <v>0</v>
      </c>
      <c r="R788" s="277">
        <f>IF(BF79&gt;0,ROUND(BF79,0),0)</f>
        <v>0</v>
      </c>
      <c r="S788" s="277">
        <f>IF(BF80&gt;0,ROUND(BF80,0),0)</f>
        <v>0</v>
      </c>
      <c r="T788" s="280">
        <f>IF(BF81&gt;0,ROUND(BF81,2),0)</f>
        <v>0</v>
      </c>
      <c r="U788" s="277"/>
      <c r="X788" s="277"/>
      <c r="Y788" s="277"/>
      <c r="Z788" s="277"/>
    </row>
    <row r="789" spans="1:26" ht="12.65" customHeight="1" x14ac:dyDescent="0.3">
      <c r="A789" s="207" t="str">
        <f>RIGHT($C$84,3)&amp;"*"&amp;RIGHT($C$83,4)&amp;"*"&amp;BG$55&amp;"*"&amp;"A"</f>
        <v>o 2*085*8470*A</v>
      </c>
      <c r="B789" s="277"/>
      <c r="C789" s="280">
        <f>ROUND(BG60,2)</f>
        <v>0</v>
      </c>
      <c r="D789" s="277">
        <f>ROUND(BG61,0)</f>
        <v>0</v>
      </c>
      <c r="E789" s="277">
        <f>ROUND(BG62,0)</f>
        <v>0</v>
      </c>
      <c r="F789" s="277">
        <f>ROUND(BG63,0)</f>
        <v>0</v>
      </c>
      <c r="G789" s="277">
        <f>ROUND(BG64,0)</f>
        <v>6915</v>
      </c>
      <c r="H789" s="277">
        <f>ROUND(BG65,0)</f>
        <v>184309</v>
      </c>
      <c r="I789" s="277">
        <f>ROUND(BG66,0)</f>
        <v>25699</v>
      </c>
      <c r="J789" s="277">
        <f>ROUND(BG67,0)</f>
        <v>0</v>
      </c>
      <c r="K789" s="277">
        <f>ROUND(BG68,0)</f>
        <v>0</v>
      </c>
      <c r="L789" s="277">
        <f>ROUND(BG70,0)</f>
        <v>0</v>
      </c>
      <c r="M789" s="277">
        <f>ROUND(BG71,0)</f>
        <v>252910</v>
      </c>
      <c r="N789" s="277"/>
      <c r="O789" s="277"/>
      <c r="P789" s="277">
        <f>IF(BG77&gt;0,ROUND(BG77,0),0)</f>
        <v>0</v>
      </c>
      <c r="Q789" s="277">
        <f>IF(BG78&gt;0,ROUND(BG78,0),0)</f>
        <v>0</v>
      </c>
      <c r="R789" s="277">
        <f>IF(BG79&gt;0,ROUND(BG79,0),0)</f>
        <v>0</v>
      </c>
      <c r="S789" s="277">
        <f>IF(BG80&gt;0,ROUND(BG80,0),0)</f>
        <v>0</v>
      </c>
      <c r="T789" s="280">
        <f>IF(BG81&gt;0,ROUND(BG81,2),0)</f>
        <v>0</v>
      </c>
      <c r="U789" s="277"/>
      <c r="X789" s="277"/>
      <c r="Y789" s="277"/>
      <c r="Z789" s="277"/>
    </row>
    <row r="790" spans="1:26" ht="12.65" customHeight="1" x14ac:dyDescent="0.3">
      <c r="A790" s="207" t="str">
        <f>RIGHT($C$84,3)&amp;"*"&amp;RIGHT($C$83,4)&amp;"*"&amp;BH$55&amp;"*"&amp;"A"</f>
        <v>o 2*085*8480*A</v>
      </c>
      <c r="B790" s="277"/>
      <c r="C790" s="280">
        <f>ROUND(BH60,2)</f>
        <v>14.76</v>
      </c>
      <c r="D790" s="277">
        <f>ROUND(BH61,0)</f>
        <v>1309781</v>
      </c>
      <c r="E790" s="277">
        <f>ROUND(BH62,0)</f>
        <v>311294</v>
      </c>
      <c r="F790" s="277">
        <f>ROUND(BH63,0)</f>
        <v>0</v>
      </c>
      <c r="G790" s="277">
        <f>ROUND(BH64,0)</f>
        <v>389544</v>
      </c>
      <c r="H790" s="277">
        <f>ROUND(BH65,0)</f>
        <v>2149</v>
      </c>
      <c r="I790" s="277">
        <f>ROUND(BH66,0)</f>
        <v>1587841</v>
      </c>
      <c r="J790" s="277">
        <f>ROUND(BH67,0)</f>
        <v>78402</v>
      </c>
      <c r="K790" s="277">
        <f>ROUND(BH68,0)</f>
        <v>0</v>
      </c>
      <c r="L790" s="277">
        <f>ROUND(BH70,0)</f>
        <v>33</v>
      </c>
      <c r="M790" s="277">
        <f>ROUND(BH71,0)</f>
        <v>3829356</v>
      </c>
      <c r="N790" s="277"/>
      <c r="O790" s="277"/>
      <c r="P790" s="277">
        <f>IF(BH77&gt;0,ROUND(BH77,0),0)</f>
        <v>0</v>
      </c>
      <c r="Q790" s="277">
        <f>IF(BH78&gt;0,ROUND(BH78,0),0)</f>
        <v>0</v>
      </c>
      <c r="R790" s="277">
        <f>IF(BH79&gt;0,ROUND(BH79,0),0)</f>
        <v>0</v>
      </c>
      <c r="S790" s="277">
        <f>IF(BH80&gt;0,ROUND(BH80,0),0)</f>
        <v>0</v>
      </c>
      <c r="T790" s="280">
        <f>IF(BH81&gt;0,ROUND(BH81,2),0)</f>
        <v>0</v>
      </c>
      <c r="U790" s="277"/>
      <c r="X790" s="277"/>
      <c r="Y790" s="277"/>
      <c r="Z790" s="277"/>
    </row>
    <row r="791" spans="1:26" ht="12.65" customHeight="1" x14ac:dyDescent="0.3">
      <c r="A791" s="207" t="str">
        <f>RIGHT($C$84,3)&amp;"*"&amp;RIGHT($C$83,4)&amp;"*"&amp;BI$55&amp;"*"&amp;"A"</f>
        <v>o 2*085*8490*A</v>
      </c>
      <c r="B791" s="277"/>
      <c r="C791" s="280">
        <f>ROUND(BI60,2)</f>
        <v>0</v>
      </c>
      <c r="D791" s="277">
        <f>ROUND(BI61,0)</f>
        <v>0</v>
      </c>
      <c r="E791" s="277">
        <f>ROUND(BI62,0)</f>
        <v>0</v>
      </c>
      <c r="F791" s="277">
        <f>ROUND(BI63,0)</f>
        <v>0</v>
      </c>
      <c r="G791" s="277">
        <f>ROUND(BI64,0)</f>
        <v>0</v>
      </c>
      <c r="H791" s="277">
        <f>ROUND(BI65,0)</f>
        <v>0</v>
      </c>
      <c r="I791" s="277">
        <f>ROUND(BI66,0)</f>
        <v>0</v>
      </c>
      <c r="J791" s="277">
        <f>ROUND(BI67,0)</f>
        <v>0</v>
      </c>
      <c r="K791" s="277">
        <f>ROUND(BI68,0)</f>
        <v>0</v>
      </c>
      <c r="L791" s="277">
        <f>ROUND(BI70,0)</f>
        <v>0</v>
      </c>
      <c r="M791" s="277">
        <f>ROUND(BI71,0)</f>
        <v>0</v>
      </c>
      <c r="N791" s="277"/>
      <c r="O791" s="277"/>
      <c r="P791" s="277">
        <f>IF(BI77&gt;0,ROUND(BI77,0),0)</f>
        <v>0</v>
      </c>
      <c r="Q791" s="277">
        <f>IF(BI78&gt;0,ROUND(BI78,0),0)</f>
        <v>0</v>
      </c>
      <c r="R791" s="277">
        <f>IF(BI79&gt;0,ROUND(BI79,0),0)</f>
        <v>0</v>
      </c>
      <c r="S791" s="277">
        <f>IF(BI80&gt;0,ROUND(BI80,0),0)</f>
        <v>0</v>
      </c>
      <c r="T791" s="280">
        <f>IF(BI81&gt;0,ROUND(BI81,2),0)</f>
        <v>0</v>
      </c>
      <c r="U791" s="277"/>
      <c r="X791" s="277"/>
      <c r="Y791" s="277"/>
      <c r="Z791" s="277"/>
    </row>
    <row r="792" spans="1:26" ht="12.65" customHeight="1" x14ac:dyDescent="0.3">
      <c r="A792" s="207" t="str">
        <f>RIGHT($C$84,3)&amp;"*"&amp;RIGHT($C$83,4)&amp;"*"&amp;BJ$55&amp;"*"&amp;"A"</f>
        <v>o 2*085*8510*A</v>
      </c>
      <c r="B792" s="277"/>
      <c r="C792" s="280">
        <f>ROUND(BJ60,2)</f>
        <v>7.13</v>
      </c>
      <c r="D792" s="277">
        <f>ROUND(BJ61,0)</f>
        <v>726018</v>
      </c>
      <c r="E792" s="277">
        <f>ROUND(BJ62,0)</f>
        <v>172552</v>
      </c>
      <c r="F792" s="277">
        <f>ROUND(BJ63,0)</f>
        <v>4360</v>
      </c>
      <c r="G792" s="277">
        <f>ROUND(BJ64,0)</f>
        <v>31011</v>
      </c>
      <c r="H792" s="277">
        <f>ROUND(BJ65,0)</f>
        <v>345</v>
      </c>
      <c r="I792" s="277">
        <f>ROUND(BJ66,0)</f>
        <v>83588</v>
      </c>
      <c r="J792" s="277">
        <f>ROUND(BJ67,0)</f>
        <v>22844</v>
      </c>
      <c r="K792" s="277">
        <f>ROUND(BJ68,0)</f>
        <v>5561</v>
      </c>
      <c r="L792" s="277">
        <f>ROUND(BJ70,0)</f>
        <v>0</v>
      </c>
      <c r="M792" s="277">
        <f>ROUND(BJ71,0)</f>
        <v>1098511</v>
      </c>
      <c r="N792" s="277"/>
      <c r="O792" s="277"/>
      <c r="P792" s="277">
        <f>IF(BJ77&gt;0,ROUND(BJ77,0),0)</f>
        <v>0</v>
      </c>
      <c r="Q792" s="277">
        <f>IF(BJ78&gt;0,ROUND(BJ78,0),0)</f>
        <v>0</v>
      </c>
      <c r="R792" s="277">
        <f>IF(BJ79&gt;0,ROUND(BJ79,0),0)</f>
        <v>0</v>
      </c>
      <c r="S792" s="277">
        <f>IF(BJ80&gt;0,ROUND(BJ80,0),0)</f>
        <v>0</v>
      </c>
      <c r="T792" s="280">
        <f>IF(BJ81&gt;0,ROUND(BJ81,2),0)</f>
        <v>0</v>
      </c>
      <c r="U792" s="277"/>
      <c r="X792" s="277"/>
      <c r="Y792" s="277"/>
      <c r="Z792" s="277"/>
    </row>
    <row r="793" spans="1:26" ht="12.65" customHeight="1" x14ac:dyDescent="0.3">
      <c r="A793" s="207" t="str">
        <f>RIGHT($C$84,3)&amp;"*"&amp;RIGHT($C$83,4)&amp;"*"&amp;BK$55&amp;"*"&amp;"A"</f>
        <v>o 2*085*8530*A</v>
      </c>
      <c r="B793" s="277"/>
      <c r="C793" s="280">
        <f>ROUND(BK60,2)</f>
        <v>14.4</v>
      </c>
      <c r="D793" s="277">
        <f>ROUND(BK61,0)</f>
        <v>820400</v>
      </c>
      <c r="E793" s="277">
        <f>ROUND(BK62,0)</f>
        <v>194984</v>
      </c>
      <c r="F793" s="277">
        <f>ROUND(BK63,0)</f>
        <v>6680</v>
      </c>
      <c r="G793" s="277">
        <f>ROUND(BK64,0)</f>
        <v>20366</v>
      </c>
      <c r="H793" s="277">
        <f>ROUND(BK65,0)</f>
        <v>5049</v>
      </c>
      <c r="I793" s="277">
        <f>ROUND(BK66,0)</f>
        <v>261346</v>
      </c>
      <c r="J793" s="277">
        <f>ROUND(BK67,0)</f>
        <v>83578</v>
      </c>
      <c r="K793" s="277">
        <f>ROUND(BK68,0)</f>
        <v>21494</v>
      </c>
      <c r="L793" s="277">
        <f>ROUND(BK70,0)</f>
        <v>0</v>
      </c>
      <c r="M793" s="277">
        <f>ROUND(BK71,0)</f>
        <v>1430940</v>
      </c>
      <c r="N793" s="277"/>
      <c r="O793" s="277"/>
      <c r="P793" s="277">
        <f>IF(BK77&gt;0,ROUND(BK77,0),0)</f>
        <v>0</v>
      </c>
      <c r="Q793" s="277">
        <f>IF(BK78&gt;0,ROUND(BK78,0),0)</f>
        <v>0</v>
      </c>
      <c r="R793" s="277">
        <f>IF(BK79&gt;0,ROUND(BK79,0),0)</f>
        <v>0</v>
      </c>
      <c r="S793" s="277">
        <f>IF(BK80&gt;0,ROUND(BK80,0),0)</f>
        <v>0</v>
      </c>
      <c r="T793" s="280">
        <f>IF(BK81&gt;0,ROUND(BK81,2),0)</f>
        <v>0</v>
      </c>
      <c r="U793" s="277"/>
      <c r="X793" s="277"/>
      <c r="Y793" s="277"/>
      <c r="Z793" s="277"/>
    </row>
    <row r="794" spans="1:26" ht="12.65" customHeight="1" x14ac:dyDescent="0.3">
      <c r="A794" s="207" t="str">
        <f>RIGHT($C$84,3)&amp;"*"&amp;RIGHT($C$83,4)&amp;"*"&amp;BL$55&amp;"*"&amp;"A"</f>
        <v>o 2*085*8560*A</v>
      </c>
      <c r="B794" s="277"/>
      <c r="C794" s="280">
        <f>ROUND(BL60,2)</f>
        <v>14.15</v>
      </c>
      <c r="D794" s="277">
        <f>ROUND(BL61,0)</f>
        <v>668404</v>
      </c>
      <c r="E794" s="277">
        <f>ROUND(BL62,0)</f>
        <v>158859</v>
      </c>
      <c r="F794" s="277">
        <f>ROUND(BL63,0)</f>
        <v>0</v>
      </c>
      <c r="G794" s="277">
        <f>ROUND(BL64,0)</f>
        <v>17287</v>
      </c>
      <c r="H794" s="277">
        <f>ROUND(BL65,0)</f>
        <v>0</v>
      </c>
      <c r="I794" s="277">
        <f>ROUND(BL66,0)</f>
        <v>32307</v>
      </c>
      <c r="J794" s="277">
        <f>ROUND(BL67,0)</f>
        <v>37656</v>
      </c>
      <c r="K794" s="277">
        <f>ROUND(BL68,0)</f>
        <v>0</v>
      </c>
      <c r="L794" s="277">
        <f>ROUND(BL70,0)</f>
        <v>0</v>
      </c>
      <c r="M794" s="277">
        <f>ROUND(BL71,0)</f>
        <v>915973</v>
      </c>
      <c r="N794" s="277"/>
      <c r="O794" s="277"/>
      <c r="P794" s="277">
        <f>IF(BL77&gt;0,ROUND(BL77,0),0)</f>
        <v>0</v>
      </c>
      <c r="Q794" s="277">
        <f>IF(BL78&gt;0,ROUND(BL78,0),0)</f>
        <v>0</v>
      </c>
      <c r="R794" s="277">
        <f>IF(BL79&gt;0,ROUND(BL79,0),0)</f>
        <v>0</v>
      </c>
      <c r="S794" s="277">
        <f>IF(BL80&gt;0,ROUND(BL80,0),0)</f>
        <v>0</v>
      </c>
      <c r="T794" s="280">
        <f>IF(BL81&gt;0,ROUND(BL81,2),0)</f>
        <v>0</v>
      </c>
      <c r="U794" s="277"/>
      <c r="X794" s="277"/>
      <c r="Y794" s="277"/>
      <c r="Z794" s="277"/>
    </row>
    <row r="795" spans="1:26" ht="12.65" customHeight="1" x14ac:dyDescent="0.3">
      <c r="A795" s="207" t="str">
        <f>RIGHT($C$84,3)&amp;"*"&amp;RIGHT($C$83,4)&amp;"*"&amp;BM$55&amp;"*"&amp;"A"</f>
        <v>o 2*085*8590*A</v>
      </c>
      <c r="B795" s="277"/>
      <c r="C795" s="280">
        <f>ROUND(BM60,2)</f>
        <v>4.75</v>
      </c>
      <c r="D795" s="277">
        <f>ROUND(BM61,0)</f>
        <v>380059</v>
      </c>
      <c r="E795" s="277">
        <f>ROUND(BM62,0)</f>
        <v>90328</v>
      </c>
      <c r="F795" s="277">
        <f>ROUND(BM63,0)</f>
        <v>112</v>
      </c>
      <c r="G795" s="277">
        <f>ROUND(BM64,0)</f>
        <v>2647</v>
      </c>
      <c r="H795" s="277">
        <f>ROUND(BM65,0)</f>
        <v>0</v>
      </c>
      <c r="I795" s="277">
        <f>ROUND(BM66,0)</f>
        <v>1078</v>
      </c>
      <c r="J795" s="277">
        <f>ROUND(BM67,0)</f>
        <v>833</v>
      </c>
      <c r="K795" s="277">
        <f>ROUND(BM68,0)</f>
        <v>0</v>
      </c>
      <c r="L795" s="277">
        <f>ROUND(BM70,0)</f>
        <v>0</v>
      </c>
      <c r="M795" s="277">
        <f>ROUND(BM71,0)</f>
        <v>481741</v>
      </c>
      <c r="N795" s="277"/>
      <c r="O795" s="277"/>
      <c r="P795" s="277">
        <f>IF(BM77&gt;0,ROUND(BM77,0),0)</f>
        <v>0</v>
      </c>
      <c r="Q795" s="277">
        <f>IF(BM78&gt;0,ROUND(BM78,0),0)</f>
        <v>0</v>
      </c>
      <c r="R795" s="277">
        <f>IF(BM79&gt;0,ROUND(BM79,0),0)</f>
        <v>0</v>
      </c>
      <c r="S795" s="277">
        <f>IF(BM80&gt;0,ROUND(BM80,0),0)</f>
        <v>0</v>
      </c>
      <c r="T795" s="280">
        <f>IF(BM81&gt;0,ROUND(BM81,2),0)</f>
        <v>0</v>
      </c>
      <c r="U795" s="277"/>
      <c r="X795" s="277"/>
      <c r="Y795" s="277"/>
      <c r="Z795" s="277"/>
    </row>
    <row r="796" spans="1:26" ht="12.65" customHeight="1" x14ac:dyDescent="0.3">
      <c r="A796" s="207" t="str">
        <f>RIGHT($C$84,3)&amp;"*"&amp;RIGHT($C$83,4)&amp;"*"&amp;BN$55&amp;"*"&amp;"A"</f>
        <v>o 2*085*8610*A</v>
      </c>
      <c r="B796" s="277"/>
      <c r="C796" s="280">
        <f>ROUND(BN60,2)</f>
        <v>9.08</v>
      </c>
      <c r="D796" s="277">
        <f>ROUND(BN61,0)</f>
        <v>1166781</v>
      </c>
      <c r="E796" s="277">
        <f>ROUND(BN62,0)</f>
        <v>277308</v>
      </c>
      <c r="F796" s="277">
        <f>ROUND(BN63,0)</f>
        <v>90412</v>
      </c>
      <c r="G796" s="277">
        <f>ROUND(BN64,0)</f>
        <v>57388</v>
      </c>
      <c r="H796" s="277">
        <f>ROUND(BN65,0)</f>
        <v>5285</v>
      </c>
      <c r="I796" s="277">
        <f>ROUND(BN66,0)</f>
        <v>175733</v>
      </c>
      <c r="J796" s="277">
        <f>ROUND(BN67,0)</f>
        <v>183433</v>
      </c>
      <c r="K796" s="277">
        <f>ROUND(BN68,0)</f>
        <v>87350</v>
      </c>
      <c r="L796" s="277">
        <f>ROUND(BN70,0)</f>
        <v>0</v>
      </c>
      <c r="M796" s="277">
        <f>ROUND(BN71,0)</f>
        <v>2414602</v>
      </c>
      <c r="N796" s="277"/>
      <c r="O796" s="277"/>
      <c r="P796" s="277">
        <f>IF(BN77&gt;0,ROUND(BN77,0),0)</f>
        <v>0</v>
      </c>
      <c r="Q796" s="277">
        <f>IF(BN78&gt;0,ROUND(BN78,0),0)</f>
        <v>0</v>
      </c>
      <c r="R796" s="277">
        <f>IF(BN79&gt;0,ROUND(BN79,0),0)</f>
        <v>0</v>
      </c>
      <c r="S796" s="277">
        <f>IF(BN80&gt;0,ROUND(BN80,0),0)</f>
        <v>0</v>
      </c>
      <c r="T796" s="280">
        <f>IF(BN81&gt;0,ROUND(BN81,2),0)</f>
        <v>0</v>
      </c>
      <c r="U796" s="277"/>
      <c r="X796" s="277"/>
      <c r="Y796" s="277"/>
      <c r="Z796" s="277"/>
    </row>
    <row r="797" spans="1:26" ht="12.65" customHeight="1" x14ac:dyDescent="0.3">
      <c r="A797" s="207" t="str">
        <f>RIGHT($C$84,3)&amp;"*"&amp;RIGHT($C$83,4)&amp;"*"&amp;BO$55&amp;"*"&amp;"A"</f>
        <v>o 2*085*8620*A</v>
      </c>
      <c r="B797" s="277"/>
      <c r="C797" s="280">
        <f>ROUND(BO60,2)</f>
        <v>0.37</v>
      </c>
      <c r="D797" s="277">
        <f>ROUND(BO61,0)</f>
        <v>20650</v>
      </c>
      <c r="E797" s="277">
        <f>ROUND(BO62,0)</f>
        <v>4908</v>
      </c>
      <c r="F797" s="277">
        <f>ROUND(BO63,0)</f>
        <v>0</v>
      </c>
      <c r="G797" s="277">
        <f>ROUND(BO64,0)</f>
        <v>47297</v>
      </c>
      <c r="H797" s="277">
        <f>ROUND(BO65,0)</f>
        <v>0</v>
      </c>
      <c r="I797" s="277">
        <f>ROUND(BO66,0)</f>
        <v>3816</v>
      </c>
      <c r="J797" s="277">
        <f>ROUND(BO67,0)</f>
        <v>5053</v>
      </c>
      <c r="K797" s="277">
        <f>ROUND(BO68,0)</f>
        <v>0</v>
      </c>
      <c r="L797" s="277">
        <f>ROUND(BO70,0)</f>
        <v>0</v>
      </c>
      <c r="M797" s="277">
        <f>ROUND(BO71,0)</f>
        <v>85308</v>
      </c>
      <c r="N797" s="277"/>
      <c r="O797" s="277"/>
      <c r="P797" s="277">
        <f>IF(BO77&gt;0,ROUND(BO77,0),0)</f>
        <v>0</v>
      </c>
      <c r="Q797" s="277">
        <f>IF(BO78&gt;0,ROUND(BO78,0),0)</f>
        <v>0</v>
      </c>
      <c r="R797" s="277">
        <f>IF(BO79&gt;0,ROUND(BO79,0),0)</f>
        <v>0</v>
      </c>
      <c r="S797" s="277">
        <f>IF(BO80&gt;0,ROUND(BO80,0),0)</f>
        <v>0</v>
      </c>
      <c r="T797" s="280">
        <f>IF(BO81&gt;0,ROUND(BO81,2),0)</f>
        <v>0</v>
      </c>
      <c r="U797" s="277"/>
      <c r="X797" s="277"/>
      <c r="Y797" s="277"/>
      <c r="Z797" s="277"/>
    </row>
    <row r="798" spans="1:26" ht="12.65" customHeight="1" x14ac:dyDescent="0.3">
      <c r="A798" s="207" t="str">
        <f>RIGHT($C$84,3)&amp;"*"&amp;RIGHT($C$83,4)&amp;"*"&amp;BP$55&amp;"*"&amp;"A"</f>
        <v>o 2*085*8630*A</v>
      </c>
      <c r="B798" s="277"/>
      <c r="C798" s="280">
        <f>ROUND(BP60,2)</f>
        <v>1</v>
      </c>
      <c r="D798" s="277">
        <f>ROUND(BP61,0)</f>
        <v>92253</v>
      </c>
      <c r="E798" s="277">
        <f>ROUND(BP62,0)</f>
        <v>21926</v>
      </c>
      <c r="F798" s="277">
        <f>ROUND(BP63,0)</f>
        <v>0</v>
      </c>
      <c r="G798" s="277">
        <f>ROUND(BP64,0)</f>
        <v>36838</v>
      </c>
      <c r="H798" s="277">
        <f>ROUND(BP65,0)</f>
        <v>0</v>
      </c>
      <c r="I798" s="277">
        <f>ROUND(BP66,0)</f>
        <v>50344</v>
      </c>
      <c r="J798" s="277">
        <f>ROUND(BP67,0)</f>
        <v>6008</v>
      </c>
      <c r="K798" s="277">
        <f>ROUND(BP68,0)</f>
        <v>0</v>
      </c>
      <c r="L798" s="277">
        <f>ROUND(BP70,0)</f>
        <v>0</v>
      </c>
      <c r="M798" s="277">
        <f>ROUND(BP71,0)</f>
        <v>387033</v>
      </c>
      <c r="N798" s="277"/>
      <c r="O798" s="277"/>
      <c r="P798" s="277">
        <f>IF(BP77&gt;0,ROUND(BP77,0),0)</f>
        <v>0</v>
      </c>
      <c r="Q798" s="277">
        <f>IF(BP78&gt;0,ROUND(BP78,0),0)</f>
        <v>0</v>
      </c>
      <c r="R798" s="277">
        <f>IF(BP79&gt;0,ROUND(BP79,0),0)</f>
        <v>0</v>
      </c>
      <c r="S798" s="277">
        <f>IF(BP80&gt;0,ROUND(BP80,0),0)</f>
        <v>0</v>
      </c>
      <c r="T798" s="280">
        <f>IF(BP81&gt;0,ROUND(BP81,2),0)</f>
        <v>0</v>
      </c>
      <c r="U798" s="277"/>
      <c r="X798" s="277"/>
      <c r="Y798" s="277"/>
      <c r="Z798" s="277"/>
    </row>
    <row r="799" spans="1:26" ht="12.65" customHeight="1" x14ac:dyDescent="0.3">
      <c r="A799" s="207" t="str">
        <f>RIGHT($C$84,3)&amp;"*"&amp;RIGHT($C$83,4)&amp;"*"&amp;BQ$55&amp;"*"&amp;"A"</f>
        <v>o 2*085*8640*A</v>
      </c>
      <c r="B799" s="277"/>
      <c r="C799" s="280">
        <f>ROUND(BQ60,2)</f>
        <v>0</v>
      </c>
      <c r="D799" s="277">
        <f>ROUND(BQ61,0)</f>
        <v>0</v>
      </c>
      <c r="E799" s="277">
        <f>ROUND(BQ62,0)</f>
        <v>0</v>
      </c>
      <c r="F799" s="277">
        <f>ROUND(BQ63,0)</f>
        <v>0</v>
      </c>
      <c r="G799" s="277">
        <f>ROUND(BQ64,0)</f>
        <v>0</v>
      </c>
      <c r="H799" s="277">
        <f>ROUND(BQ65,0)</f>
        <v>0</v>
      </c>
      <c r="I799" s="277">
        <f>ROUND(BQ66,0)</f>
        <v>0</v>
      </c>
      <c r="J799" s="277">
        <f>ROUND(BQ67,0)</f>
        <v>0</v>
      </c>
      <c r="K799" s="277">
        <f>ROUND(BQ68,0)</f>
        <v>0</v>
      </c>
      <c r="L799" s="277">
        <f>ROUND(BQ70,0)</f>
        <v>0</v>
      </c>
      <c r="M799" s="277">
        <f>ROUND(BQ71,0)</f>
        <v>0</v>
      </c>
      <c r="N799" s="277"/>
      <c r="O799" s="277"/>
      <c r="P799" s="277">
        <f>IF(BQ77&gt;0,ROUND(BQ77,0),0)</f>
        <v>0</v>
      </c>
      <c r="Q799" s="277">
        <f>IF(BQ78&gt;0,ROUND(BQ78,0),0)</f>
        <v>0</v>
      </c>
      <c r="R799" s="277">
        <f>IF(BQ79&gt;0,ROUND(BQ79,0),0)</f>
        <v>0</v>
      </c>
      <c r="S799" s="277">
        <f>IF(BQ80&gt;0,ROUND(BQ80,0),0)</f>
        <v>0</v>
      </c>
      <c r="T799" s="280">
        <f>IF(BQ81&gt;0,ROUND(BQ81,2),0)</f>
        <v>0</v>
      </c>
      <c r="U799" s="277"/>
      <c r="X799" s="277"/>
      <c r="Y799" s="277"/>
      <c r="Z799" s="277"/>
    </row>
    <row r="800" spans="1:26" ht="12.65" customHeight="1" x14ac:dyDescent="0.3">
      <c r="A800" s="207" t="str">
        <f>RIGHT($C$84,3)&amp;"*"&amp;RIGHT($C$83,4)&amp;"*"&amp;BR$55&amp;"*"&amp;"A"</f>
        <v>o 2*085*8650*A</v>
      </c>
      <c r="B800" s="277"/>
      <c r="C800" s="280">
        <f>ROUND(BR60,2)</f>
        <v>8.43</v>
      </c>
      <c r="D800" s="277">
        <f>ROUND(BR61,0)</f>
        <v>779190</v>
      </c>
      <c r="E800" s="277">
        <f>ROUND(BR62,0)</f>
        <v>185189</v>
      </c>
      <c r="F800" s="277">
        <f>ROUND(BR63,0)</f>
        <v>54361</v>
      </c>
      <c r="G800" s="277">
        <f>ROUND(BR64,0)</f>
        <v>30381</v>
      </c>
      <c r="H800" s="277">
        <f>ROUND(BR65,0)</f>
        <v>5407</v>
      </c>
      <c r="I800" s="277">
        <f>ROUND(BR66,0)</f>
        <v>31223</v>
      </c>
      <c r="J800" s="277">
        <f>ROUND(BR67,0)</f>
        <v>53805</v>
      </c>
      <c r="K800" s="277">
        <f>ROUND(BR68,0)</f>
        <v>1590</v>
      </c>
      <c r="L800" s="277">
        <f>ROUND(BR70,0)</f>
        <v>0</v>
      </c>
      <c r="M800" s="277">
        <f>ROUND(BR71,0)</f>
        <v>1195135</v>
      </c>
      <c r="N800" s="277"/>
      <c r="O800" s="277"/>
      <c r="P800" s="277">
        <f>IF(BR77&gt;0,ROUND(BR77,0),0)</f>
        <v>0</v>
      </c>
      <c r="Q800" s="277">
        <f>IF(BR78&gt;0,ROUND(BR78,0),0)</f>
        <v>0</v>
      </c>
      <c r="R800" s="277">
        <f>IF(BR79&gt;0,ROUND(BR79,0),0)</f>
        <v>0</v>
      </c>
      <c r="S800" s="277">
        <f>IF(BR80&gt;0,ROUND(BR80,0),0)</f>
        <v>0</v>
      </c>
      <c r="T800" s="280">
        <f>IF(BR81&gt;0,ROUND(BR81,2),0)</f>
        <v>0</v>
      </c>
      <c r="U800" s="277"/>
      <c r="X800" s="277"/>
      <c r="Y800" s="277"/>
      <c r="Z800" s="277"/>
    </row>
    <row r="801" spans="1:26" ht="12.65" customHeight="1" x14ac:dyDescent="0.3">
      <c r="A801" s="207" t="str">
        <f>RIGHT($C$84,3)&amp;"*"&amp;RIGHT($C$83,4)&amp;"*"&amp;BS$55&amp;"*"&amp;"A"</f>
        <v>o 2*085*8660*A</v>
      </c>
      <c r="B801" s="277"/>
      <c r="C801" s="280">
        <f>ROUND(BS60,2)</f>
        <v>0.74</v>
      </c>
      <c r="D801" s="277">
        <f>ROUND(BS61,0)</f>
        <v>77849</v>
      </c>
      <c r="E801" s="277">
        <f>ROUND(BS62,0)</f>
        <v>18502</v>
      </c>
      <c r="F801" s="277">
        <f>ROUND(BS63,0)</f>
        <v>0</v>
      </c>
      <c r="G801" s="277">
        <f>ROUND(BS64,0)</f>
        <v>3392</v>
      </c>
      <c r="H801" s="277">
        <f>ROUND(BS65,0)</f>
        <v>0</v>
      </c>
      <c r="I801" s="277">
        <f>ROUND(BS66,0)</f>
        <v>0</v>
      </c>
      <c r="J801" s="277">
        <f>ROUND(BS67,0)</f>
        <v>11962</v>
      </c>
      <c r="K801" s="277">
        <f>ROUND(BS68,0)</f>
        <v>0</v>
      </c>
      <c r="L801" s="277">
        <f>ROUND(BS70,0)</f>
        <v>3450</v>
      </c>
      <c r="M801" s="277">
        <f>ROUND(BS71,0)</f>
        <v>108255</v>
      </c>
      <c r="N801" s="277"/>
      <c r="O801" s="277"/>
      <c r="P801" s="277">
        <f>IF(BS77&gt;0,ROUND(BS77,0),0)</f>
        <v>0</v>
      </c>
      <c r="Q801" s="277">
        <f>IF(BS78&gt;0,ROUND(BS78,0),0)</f>
        <v>0</v>
      </c>
      <c r="R801" s="277">
        <f>IF(BS79&gt;0,ROUND(BS79,0),0)</f>
        <v>0</v>
      </c>
      <c r="S801" s="277">
        <f>IF(BS80&gt;0,ROUND(BS80,0),0)</f>
        <v>0</v>
      </c>
      <c r="T801" s="280">
        <f>IF(BS81&gt;0,ROUND(BS81,2),0)</f>
        <v>0</v>
      </c>
      <c r="U801" s="277"/>
      <c r="X801" s="277"/>
      <c r="Y801" s="277"/>
      <c r="Z801" s="277"/>
    </row>
    <row r="802" spans="1:26" ht="12.65" customHeight="1" x14ac:dyDescent="0.3">
      <c r="A802" s="207" t="str">
        <f>RIGHT($C$84,3)&amp;"*"&amp;RIGHT($C$83,4)&amp;"*"&amp;BT$55&amp;"*"&amp;"A"</f>
        <v>o 2*085*8670*A</v>
      </c>
      <c r="B802" s="277"/>
      <c r="C802" s="280">
        <f>ROUND(BT60,2)</f>
        <v>0</v>
      </c>
      <c r="D802" s="277">
        <f>ROUND(BT61,0)</f>
        <v>0</v>
      </c>
      <c r="E802" s="277">
        <f>ROUND(BT62,0)</f>
        <v>0</v>
      </c>
      <c r="F802" s="277">
        <f>ROUND(BT63,0)</f>
        <v>0</v>
      </c>
      <c r="G802" s="277">
        <f>ROUND(BT64,0)</f>
        <v>0</v>
      </c>
      <c r="H802" s="277">
        <f>ROUND(BT65,0)</f>
        <v>0</v>
      </c>
      <c r="I802" s="277">
        <f>ROUND(BT66,0)</f>
        <v>0</v>
      </c>
      <c r="J802" s="277">
        <f>ROUND(BT67,0)</f>
        <v>0</v>
      </c>
      <c r="K802" s="277">
        <f>ROUND(BT68,0)</f>
        <v>0</v>
      </c>
      <c r="L802" s="277">
        <f>ROUND(BT70,0)</f>
        <v>0</v>
      </c>
      <c r="M802" s="277">
        <f>ROUND(BT71,0)</f>
        <v>0</v>
      </c>
      <c r="N802" s="277"/>
      <c r="O802" s="277"/>
      <c r="P802" s="277">
        <f>IF(BT77&gt;0,ROUND(BT77,0),0)</f>
        <v>0</v>
      </c>
      <c r="Q802" s="277">
        <f>IF(BT78&gt;0,ROUND(BT78,0),0)</f>
        <v>0</v>
      </c>
      <c r="R802" s="277">
        <f>IF(BT79&gt;0,ROUND(BT79,0),0)</f>
        <v>0</v>
      </c>
      <c r="S802" s="277">
        <f>IF(BT80&gt;0,ROUND(BT80,0),0)</f>
        <v>0</v>
      </c>
      <c r="T802" s="280">
        <f>IF(BT81&gt;0,ROUND(BT81,2),0)</f>
        <v>0</v>
      </c>
      <c r="U802" s="277"/>
      <c r="X802" s="277"/>
      <c r="Y802" s="277"/>
      <c r="Z802" s="277"/>
    </row>
    <row r="803" spans="1:26" ht="12.65" customHeight="1" x14ac:dyDescent="0.3">
      <c r="A803" s="207" t="str">
        <f>RIGHT($C$84,3)&amp;"*"&amp;RIGHT($C$83,4)&amp;"*"&amp;BU$55&amp;"*"&amp;"A"</f>
        <v>o 2*085*8680*A</v>
      </c>
      <c r="B803" s="277"/>
      <c r="C803" s="280">
        <f>ROUND(BU60,2)</f>
        <v>0</v>
      </c>
      <c r="D803" s="277">
        <f>ROUND(BU61,0)</f>
        <v>0</v>
      </c>
      <c r="E803" s="277">
        <f>ROUND(BU62,0)</f>
        <v>0</v>
      </c>
      <c r="F803" s="277">
        <f>ROUND(BU63,0)</f>
        <v>0</v>
      </c>
      <c r="G803" s="277">
        <f>ROUND(BU64,0)</f>
        <v>0</v>
      </c>
      <c r="H803" s="277">
        <f>ROUND(BU65,0)</f>
        <v>0</v>
      </c>
      <c r="I803" s="277">
        <f>ROUND(BU66,0)</f>
        <v>0</v>
      </c>
      <c r="J803" s="277">
        <f>ROUND(BU67,0)</f>
        <v>0</v>
      </c>
      <c r="K803" s="277">
        <f>ROUND(BU68,0)</f>
        <v>0</v>
      </c>
      <c r="L803" s="277">
        <f>ROUND(BU70,0)</f>
        <v>0</v>
      </c>
      <c r="M803" s="277">
        <f>ROUND(BU71,0)</f>
        <v>0</v>
      </c>
      <c r="N803" s="277"/>
      <c r="O803" s="277"/>
      <c r="P803" s="277">
        <f>IF(BU77&gt;0,ROUND(BU77,0),0)</f>
        <v>0</v>
      </c>
      <c r="Q803" s="277">
        <f>IF(BU78&gt;0,ROUND(BU78,0),0)</f>
        <v>0</v>
      </c>
      <c r="R803" s="277">
        <f>IF(BU79&gt;0,ROUND(BU79,0),0)</f>
        <v>0</v>
      </c>
      <c r="S803" s="277">
        <f>IF(BU80&gt;0,ROUND(BU80,0),0)</f>
        <v>0</v>
      </c>
      <c r="T803" s="280">
        <f>IF(BU81&gt;0,ROUND(BU81,2),0)</f>
        <v>0</v>
      </c>
      <c r="U803" s="277"/>
      <c r="X803" s="277"/>
      <c r="Y803" s="277"/>
      <c r="Z803" s="277"/>
    </row>
    <row r="804" spans="1:26" ht="12.65" customHeight="1" x14ac:dyDescent="0.3">
      <c r="A804" s="207" t="str">
        <f>RIGHT($C$84,3)&amp;"*"&amp;RIGHT($C$83,4)&amp;"*"&amp;BV$55&amp;"*"&amp;"A"</f>
        <v>o 2*085*8690*A</v>
      </c>
      <c r="B804" s="277"/>
      <c r="C804" s="280">
        <f>ROUND(BV60,2)</f>
        <v>12.01</v>
      </c>
      <c r="D804" s="277">
        <f>ROUND(BV61,0)</f>
        <v>583295</v>
      </c>
      <c r="E804" s="277">
        <f>ROUND(BV62,0)</f>
        <v>138631</v>
      </c>
      <c r="F804" s="277">
        <f>ROUND(BV63,0)</f>
        <v>0</v>
      </c>
      <c r="G804" s="277">
        <f>ROUND(BV64,0)</f>
        <v>10518</v>
      </c>
      <c r="H804" s="277">
        <f>ROUND(BV65,0)</f>
        <v>6865</v>
      </c>
      <c r="I804" s="277">
        <f>ROUND(BV66,0)</f>
        <v>98123</v>
      </c>
      <c r="J804" s="277">
        <f>ROUND(BV67,0)</f>
        <v>22958</v>
      </c>
      <c r="K804" s="277">
        <f>ROUND(BV68,0)</f>
        <v>21494</v>
      </c>
      <c r="L804" s="277">
        <f>ROUND(BV70,0)</f>
        <v>0</v>
      </c>
      <c r="M804" s="277">
        <f>ROUND(BV71,0)</f>
        <v>894369</v>
      </c>
      <c r="N804" s="277"/>
      <c r="O804" s="277"/>
      <c r="P804" s="277">
        <f>IF(BV77&gt;0,ROUND(BV77,0),0)</f>
        <v>0</v>
      </c>
      <c r="Q804" s="277">
        <f>IF(BV78&gt;0,ROUND(BV78,0),0)</f>
        <v>0</v>
      </c>
      <c r="R804" s="277">
        <f>IF(BV79&gt;0,ROUND(BV79,0),0)</f>
        <v>0</v>
      </c>
      <c r="S804" s="277">
        <f>IF(BV80&gt;0,ROUND(BV80,0),0)</f>
        <v>0</v>
      </c>
      <c r="T804" s="280">
        <f>IF(BV81&gt;0,ROUND(BV81,2),0)</f>
        <v>0</v>
      </c>
      <c r="U804" s="277"/>
      <c r="X804" s="277"/>
      <c r="Y804" s="277"/>
      <c r="Z804" s="277"/>
    </row>
    <row r="805" spans="1:26" ht="12.65" customHeight="1" x14ac:dyDescent="0.3">
      <c r="A805" s="207" t="str">
        <f>RIGHT($C$84,3)&amp;"*"&amp;RIGHT($C$83,4)&amp;"*"&amp;BW$55&amp;"*"&amp;"A"</f>
        <v>o 2*085*8700*A</v>
      </c>
      <c r="B805" s="277"/>
      <c r="C805" s="280">
        <f>ROUND(BW60,2)</f>
        <v>3.61</v>
      </c>
      <c r="D805" s="277">
        <f>ROUND(BW61,0)</f>
        <v>605211</v>
      </c>
      <c r="E805" s="277">
        <f>ROUND(BW62,0)</f>
        <v>143840</v>
      </c>
      <c r="F805" s="277">
        <f>ROUND(BW63,0)</f>
        <v>13200</v>
      </c>
      <c r="G805" s="277">
        <f>ROUND(BW64,0)</f>
        <v>23981</v>
      </c>
      <c r="H805" s="277">
        <f>ROUND(BW65,0)</f>
        <v>0</v>
      </c>
      <c r="I805" s="277">
        <f>ROUND(BW66,0)</f>
        <v>55180</v>
      </c>
      <c r="J805" s="277">
        <f>ROUND(BW67,0)</f>
        <v>8008</v>
      </c>
      <c r="K805" s="277">
        <f>ROUND(BW68,0)</f>
        <v>1000</v>
      </c>
      <c r="L805" s="277">
        <f>ROUND(BW70,0)</f>
        <v>0</v>
      </c>
      <c r="M805" s="277">
        <f>ROUND(BW71,0)</f>
        <v>908498</v>
      </c>
      <c r="N805" s="277"/>
      <c r="O805" s="277"/>
      <c r="P805" s="277">
        <f>IF(BW77&gt;0,ROUND(BW77,0),0)</f>
        <v>0</v>
      </c>
      <c r="Q805" s="277">
        <f>IF(BW78&gt;0,ROUND(BW78,0),0)</f>
        <v>0</v>
      </c>
      <c r="R805" s="277">
        <f>IF(BW79&gt;0,ROUND(BW79,0),0)</f>
        <v>0</v>
      </c>
      <c r="S805" s="277">
        <f>IF(BW80&gt;0,ROUND(BW80,0),0)</f>
        <v>0</v>
      </c>
      <c r="T805" s="280">
        <f>IF(BW81&gt;0,ROUND(BW81,2),0)</f>
        <v>0</v>
      </c>
      <c r="U805" s="277"/>
      <c r="X805" s="277"/>
      <c r="Y805" s="277"/>
      <c r="Z805" s="277"/>
    </row>
    <row r="806" spans="1:26" ht="12.65" customHeight="1" x14ac:dyDescent="0.3">
      <c r="A806" s="207" t="str">
        <f>RIGHT($C$84,3)&amp;"*"&amp;RIGHT($C$83,4)&amp;"*"&amp;BX$55&amp;"*"&amp;"A"</f>
        <v>o 2*085*8710*A</v>
      </c>
      <c r="B806" s="277"/>
      <c r="C806" s="280">
        <f>ROUND(BX60,2)</f>
        <v>4.2300000000000004</v>
      </c>
      <c r="D806" s="277">
        <f>ROUND(BX61,0)</f>
        <v>413212</v>
      </c>
      <c r="E806" s="277">
        <f>ROUND(BX62,0)</f>
        <v>98208</v>
      </c>
      <c r="F806" s="277">
        <f>ROUND(BX63,0)</f>
        <v>0</v>
      </c>
      <c r="G806" s="277">
        <f>ROUND(BX64,0)</f>
        <v>3945</v>
      </c>
      <c r="H806" s="277">
        <f>ROUND(BX65,0)</f>
        <v>0</v>
      </c>
      <c r="I806" s="277">
        <f>ROUND(BX66,0)</f>
        <v>18121</v>
      </c>
      <c r="J806" s="277">
        <f>ROUND(BX67,0)</f>
        <v>2324</v>
      </c>
      <c r="K806" s="277">
        <f>ROUND(BX68,0)</f>
        <v>0</v>
      </c>
      <c r="L806" s="277">
        <f>ROUND(BX70,0)</f>
        <v>0</v>
      </c>
      <c r="M806" s="277">
        <f>ROUND(BX71,0)</f>
        <v>538096</v>
      </c>
      <c r="N806" s="277"/>
      <c r="O806" s="277"/>
      <c r="P806" s="277">
        <f>IF(BX77&gt;0,ROUND(BX77,0),0)</f>
        <v>0</v>
      </c>
      <c r="Q806" s="277">
        <f>IF(BX78&gt;0,ROUND(BX78,0),0)</f>
        <v>0</v>
      </c>
      <c r="R806" s="277">
        <f>IF(BX79&gt;0,ROUND(BX79,0),0)</f>
        <v>0</v>
      </c>
      <c r="S806" s="277">
        <f>IF(BX80&gt;0,ROUND(BX80,0),0)</f>
        <v>0</v>
      </c>
      <c r="T806" s="280">
        <f>IF(BX81&gt;0,ROUND(BX81,2),0)</f>
        <v>0</v>
      </c>
      <c r="U806" s="277"/>
      <c r="X806" s="277"/>
      <c r="Y806" s="277"/>
      <c r="Z806" s="277"/>
    </row>
    <row r="807" spans="1:26" ht="12.65" customHeight="1" x14ac:dyDescent="0.3">
      <c r="A807" s="207" t="str">
        <f>RIGHT($C$84,3)&amp;"*"&amp;RIGHT($C$83,4)&amp;"*"&amp;BY$55&amp;"*"&amp;"A"</f>
        <v>o 2*085*8720*A</v>
      </c>
      <c r="B807" s="277"/>
      <c r="C807" s="280">
        <f>ROUND(BY60,2)</f>
        <v>8.23</v>
      </c>
      <c r="D807" s="277">
        <f>ROUND(BY61,0)</f>
        <v>1027183</v>
      </c>
      <c r="E807" s="277">
        <f>ROUND(BY62,0)</f>
        <v>244130</v>
      </c>
      <c r="F807" s="277">
        <f>ROUND(BY63,0)</f>
        <v>0</v>
      </c>
      <c r="G807" s="277">
        <f>ROUND(BY64,0)</f>
        <v>4782</v>
      </c>
      <c r="H807" s="277">
        <f>ROUND(BY65,0)</f>
        <v>0</v>
      </c>
      <c r="I807" s="277">
        <f>ROUND(BY66,0)</f>
        <v>113631</v>
      </c>
      <c r="J807" s="277">
        <f>ROUND(BY67,0)</f>
        <v>16158</v>
      </c>
      <c r="K807" s="277">
        <f>ROUND(BY68,0)</f>
        <v>-84</v>
      </c>
      <c r="L807" s="277">
        <f>ROUND(BY70,0)</f>
        <v>0</v>
      </c>
      <c r="M807" s="277">
        <f>ROUND(BY71,0)</f>
        <v>1425827</v>
      </c>
      <c r="N807" s="277"/>
      <c r="O807" s="277"/>
      <c r="P807" s="277">
        <f>IF(BY77&gt;0,ROUND(BY77,0),0)</f>
        <v>0</v>
      </c>
      <c r="Q807" s="277">
        <f>IF(BY78&gt;0,ROUND(BY78,0),0)</f>
        <v>0</v>
      </c>
      <c r="R807" s="277">
        <f>IF(BY79&gt;0,ROUND(BY79,0),0)</f>
        <v>0</v>
      </c>
      <c r="S807" s="277">
        <f>IF(BY80&gt;0,ROUND(BY80,0),0)</f>
        <v>0</v>
      </c>
      <c r="T807" s="280">
        <f>IF(BY81&gt;0,ROUND(BY81,2),0)</f>
        <v>0</v>
      </c>
      <c r="U807" s="277"/>
      <c r="X807" s="277"/>
      <c r="Y807" s="277"/>
      <c r="Z807" s="277"/>
    </row>
    <row r="808" spans="1:26" ht="12.65" customHeight="1" x14ac:dyDescent="0.3">
      <c r="A808" s="207" t="str">
        <f>RIGHT($C$84,3)&amp;"*"&amp;RIGHT($C$83,4)&amp;"*"&amp;BZ$55&amp;"*"&amp;"A"</f>
        <v>o 2*085*8730*A</v>
      </c>
      <c r="B808" s="277"/>
      <c r="C808" s="280">
        <f>ROUND(BZ60,2)</f>
        <v>0</v>
      </c>
      <c r="D808" s="277">
        <f>ROUND(BZ61,0)</f>
        <v>0</v>
      </c>
      <c r="E808" s="277">
        <f>ROUND(BZ62,0)</f>
        <v>0</v>
      </c>
      <c r="F808" s="277">
        <f>ROUND(BZ63,0)</f>
        <v>0</v>
      </c>
      <c r="G808" s="277">
        <f>ROUND(BZ64,0)</f>
        <v>0</v>
      </c>
      <c r="H808" s="277">
        <f>ROUND(BZ65,0)</f>
        <v>0</v>
      </c>
      <c r="I808" s="277">
        <f>ROUND(BZ66,0)</f>
        <v>0</v>
      </c>
      <c r="J808" s="277">
        <f>ROUND(BZ67,0)</f>
        <v>0</v>
      </c>
      <c r="K808" s="277">
        <f>ROUND(BZ68,0)</f>
        <v>0</v>
      </c>
      <c r="L808" s="277">
        <f>ROUND(BZ70,0)</f>
        <v>0</v>
      </c>
      <c r="M808" s="277">
        <f>ROUND(BZ71,0)</f>
        <v>0</v>
      </c>
      <c r="N808" s="277"/>
      <c r="O808" s="277"/>
      <c r="P808" s="277">
        <f>IF(BZ77&gt;0,ROUND(BZ77,0),0)</f>
        <v>0</v>
      </c>
      <c r="Q808" s="277">
        <f>IF(BZ78&gt;0,ROUND(BZ78,0),0)</f>
        <v>0</v>
      </c>
      <c r="R808" s="277">
        <f>IF(BZ79&gt;0,ROUND(BZ79,0),0)</f>
        <v>0</v>
      </c>
      <c r="S808" s="277">
        <f>IF(BZ80&gt;0,ROUND(BZ80,0),0)</f>
        <v>0</v>
      </c>
      <c r="T808" s="280">
        <f>IF(BZ81&gt;0,ROUND(BZ81,2),0)</f>
        <v>0</v>
      </c>
      <c r="U808" s="277"/>
      <c r="X808" s="277"/>
      <c r="Y808" s="277"/>
      <c r="Z808" s="277"/>
    </row>
    <row r="809" spans="1:26" ht="12.65" customHeight="1" x14ac:dyDescent="0.3">
      <c r="A809" s="207" t="str">
        <f>RIGHT($C$84,3)&amp;"*"&amp;RIGHT($C$83,4)&amp;"*"&amp;CA$55&amp;"*"&amp;"A"</f>
        <v>o 2*085*8740*A</v>
      </c>
      <c r="B809" s="277"/>
      <c r="C809" s="280">
        <f>ROUND(CA60,2)</f>
        <v>0</v>
      </c>
      <c r="D809" s="277">
        <f>ROUND(CA61,0)</f>
        <v>0</v>
      </c>
      <c r="E809" s="277">
        <f>ROUND(CA62,0)</f>
        <v>0</v>
      </c>
      <c r="F809" s="277">
        <f>ROUND(CA63,0)</f>
        <v>0</v>
      </c>
      <c r="G809" s="277">
        <f>ROUND(CA64,0)</f>
        <v>0</v>
      </c>
      <c r="H809" s="277">
        <f>ROUND(CA65,0)</f>
        <v>0</v>
      </c>
      <c r="I809" s="277">
        <f>ROUND(CA66,0)</f>
        <v>0</v>
      </c>
      <c r="J809" s="277">
        <f>ROUND(CA67,0)</f>
        <v>0</v>
      </c>
      <c r="K809" s="277">
        <f>ROUND(CA68,0)</f>
        <v>0</v>
      </c>
      <c r="L809" s="277">
        <f>ROUND(CA70,0)</f>
        <v>0</v>
      </c>
      <c r="M809" s="277">
        <f>ROUND(CA71,0)</f>
        <v>0</v>
      </c>
      <c r="N809" s="277"/>
      <c r="O809" s="277"/>
      <c r="P809" s="277">
        <f>IF(CA77&gt;0,ROUND(CA77,0),0)</f>
        <v>0</v>
      </c>
      <c r="Q809" s="277">
        <f>IF(CA78&gt;0,ROUND(CA78,0),0)</f>
        <v>0</v>
      </c>
      <c r="R809" s="277">
        <f>IF(CA79&gt;0,ROUND(CA79,0),0)</f>
        <v>0</v>
      </c>
      <c r="S809" s="277">
        <f>IF(CA80&gt;0,ROUND(CA80,0),0)</f>
        <v>0</v>
      </c>
      <c r="T809" s="280">
        <f>IF(CA81&gt;0,ROUND(CA81,2),0)</f>
        <v>0</v>
      </c>
      <c r="U809" s="277"/>
      <c r="X809" s="277"/>
      <c r="Y809" s="277"/>
      <c r="Z809" s="277"/>
    </row>
    <row r="810" spans="1:26" ht="12.65" customHeight="1" x14ac:dyDescent="0.3">
      <c r="A810" s="207" t="str">
        <f>RIGHT($C$84,3)&amp;"*"&amp;RIGHT($C$83,4)&amp;"*"&amp;CB$55&amp;"*"&amp;"A"</f>
        <v>o 2*085*8770*A</v>
      </c>
      <c r="B810" s="277"/>
      <c r="C810" s="280">
        <f>ROUND(CB60,2)</f>
        <v>1.37</v>
      </c>
      <c r="D810" s="277">
        <f>ROUND(CB61,0)</f>
        <v>58619</v>
      </c>
      <c r="E810" s="277">
        <f>ROUND(CB62,0)</f>
        <v>13932</v>
      </c>
      <c r="F810" s="277">
        <f>ROUND(CB63,0)</f>
        <v>0</v>
      </c>
      <c r="G810" s="277">
        <f>ROUND(CB64,0)</f>
        <v>8602</v>
      </c>
      <c r="H810" s="277">
        <f>ROUND(CB65,0)</f>
        <v>3311</v>
      </c>
      <c r="I810" s="277">
        <f>ROUND(CB66,0)</f>
        <v>2289</v>
      </c>
      <c r="J810" s="277">
        <f>ROUND(CB67,0)</f>
        <v>33334</v>
      </c>
      <c r="K810" s="277">
        <f>ROUND(CB68,0)</f>
        <v>30297</v>
      </c>
      <c r="L810" s="277">
        <f>ROUND(CB70,0)</f>
        <v>47085</v>
      </c>
      <c r="M810" s="277">
        <f>ROUND(CB71,0)</f>
        <v>103848</v>
      </c>
      <c r="N810" s="277"/>
      <c r="O810" s="277"/>
      <c r="P810" s="277">
        <f>IF(CB77&gt;0,ROUND(CB77,0),0)</f>
        <v>0</v>
      </c>
      <c r="Q810" s="277">
        <f>IF(CB78&gt;0,ROUND(CB78,0),0)</f>
        <v>0</v>
      </c>
      <c r="R810" s="277">
        <f>IF(CB79&gt;0,ROUND(CB79,0),0)</f>
        <v>0</v>
      </c>
      <c r="S810" s="277">
        <f>IF(CB80&gt;0,ROUND(CB80,0),0)</f>
        <v>0</v>
      </c>
      <c r="T810" s="280">
        <f>IF(CB81&gt;0,ROUND(CB81,2),0)</f>
        <v>0</v>
      </c>
      <c r="U810" s="277"/>
      <c r="X810" s="277"/>
      <c r="Y810" s="277"/>
      <c r="Z810" s="277"/>
    </row>
    <row r="811" spans="1:26" ht="12.65" customHeight="1" x14ac:dyDescent="0.3">
      <c r="A811" s="207" t="str">
        <f>RIGHT($C$84,3)&amp;"*"&amp;RIGHT($C$83,4)&amp;"*"&amp;CC$55&amp;"*"&amp;"A"</f>
        <v>o 2*085*8790*A</v>
      </c>
      <c r="B811" s="277"/>
      <c r="C811" s="280">
        <f>ROUND(CC60,2)</f>
        <v>10.43</v>
      </c>
      <c r="D811" s="277">
        <f>ROUND(CC61,0)</f>
        <v>1235261</v>
      </c>
      <c r="E811" s="277">
        <f>ROUND(CC62,0)</f>
        <v>293583</v>
      </c>
      <c r="F811" s="277">
        <f>ROUND(CC63,0)</f>
        <v>72013</v>
      </c>
      <c r="G811" s="277">
        <f>ROUND(CC64,0)</f>
        <v>52797</v>
      </c>
      <c r="H811" s="277">
        <f>ROUND(CC65,0)</f>
        <v>1716</v>
      </c>
      <c r="I811" s="277">
        <f>ROUND(CC66,0)</f>
        <v>185761</v>
      </c>
      <c r="J811" s="277">
        <f>ROUND(CC67,0)</f>
        <v>57867</v>
      </c>
      <c r="K811" s="277">
        <f>ROUND(CC68,0)</f>
        <v>52705</v>
      </c>
      <c r="L811" s="277">
        <f>ROUND(CC70,0)</f>
        <v>149206</v>
      </c>
      <c r="M811" s="277">
        <f>ROUND(CC71,0)</f>
        <v>2277279</v>
      </c>
      <c r="N811" s="277"/>
      <c r="O811" s="277"/>
      <c r="P811" s="277">
        <f>IF(CC77&gt;0,ROUND(CC77,0),0)</f>
        <v>0</v>
      </c>
      <c r="Q811" s="277">
        <f>IF(CC78&gt;0,ROUND(CC78,0),0)</f>
        <v>0</v>
      </c>
      <c r="R811" s="277">
        <f>IF(CC79&gt;0,ROUND(CC79,0),0)</f>
        <v>0</v>
      </c>
      <c r="S811" s="277">
        <f>IF(CC80&gt;0,ROUND(CC80,0),0)</f>
        <v>0</v>
      </c>
      <c r="T811" s="280">
        <f>IF(CC81&gt;0,ROUND(CC81,2),0)</f>
        <v>0</v>
      </c>
      <c r="U811" s="277"/>
      <c r="X811" s="277"/>
      <c r="Y811" s="277"/>
      <c r="Z811" s="277"/>
    </row>
    <row r="812" spans="1:26" ht="12.65" customHeight="1" x14ac:dyDescent="0.3">
      <c r="A812" s="207" t="str">
        <f>RIGHT($C$84,3)&amp;"*"&amp;RIGHT($C$83,4)&amp;"*"&amp;"9000"&amp;"*"&amp;"A"</f>
        <v>o 2*085*9000*A</v>
      </c>
      <c r="B812" s="277"/>
      <c r="C812" s="281"/>
      <c r="D812" s="277"/>
      <c r="E812" s="277"/>
      <c r="F812" s="277"/>
      <c r="G812" s="277"/>
      <c r="H812" s="277"/>
      <c r="I812" s="277"/>
      <c r="J812" s="277"/>
      <c r="K812" s="277"/>
      <c r="L812" s="277"/>
      <c r="M812" s="277"/>
      <c r="N812" s="277"/>
      <c r="O812" s="277"/>
      <c r="P812" s="277"/>
      <c r="Q812" s="277"/>
      <c r="R812" s="277"/>
      <c r="S812" s="277"/>
      <c r="T812" s="281"/>
      <c r="U812" s="277">
        <f>ROUND(CD70,0)</f>
        <v>3782543</v>
      </c>
      <c r="V812" s="179">
        <f>ROUND(CD69,0)</f>
        <v>2448720</v>
      </c>
      <c r="W812" s="179">
        <f>ROUND(CD71,0)</f>
        <v>-1333823</v>
      </c>
      <c r="X812" s="277">
        <f>ROUND(CE73,0)</f>
        <v>45443363</v>
      </c>
      <c r="Y812" s="277">
        <f>ROUND(C132,0)</f>
        <v>0</v>
      </c>
      <c r="Z812" s="277"/>
    </row>
    <row r="814" spans="1:26" ht="12.65" customHeight="1" x14ac:dyDescent="0.3">
      <c r="B814" s="197" t="s">
        <v>1004</v>
      </c>
      <c r="C814" s="258">
        <f t="shared" ref="C814:K814" si="22">SUM(C733:C812)</f>
        <v>645.80999999999995</v>
      </c>
      <c r="D814" s="179">
        <f t="shared" si="22"/>
        <v>57874283</v>
      </c>
      <c r="E814" s="179">
        <f t="shared" si="22"/>
        <v>13754927</v>
      </c>
      <c r="F814" s="179">
        <f t="shared" si="22"/>
        <v>6575946</v>
      </c>
      <c r="G814" s="179">
        <f t="shared" si="22"/>
        <v>23375062</v>
      </c>
      <c r="H814" s="179">
        <f t="shared" si="22"/>
        <v>1175553</v>
      </c>
      <c r="I814" s="179">
        <f t="shared" si="22"/>
        <v>6534407</v>
      </c>
      <c r="J814" s="179">
        <f t="shared" si="22"/>
        <v>4743347</v>
      </c>
      <c r="K814" s="179">
        <f t="shared" si="22"/>
        <v>1631572</v>
      </c>
      <c r="L814" s="179">
        <f>SUM(L733:L812)+SUM(U733:U812)</f>
        <v>5538863</v>
      </c>
      <c r="M814" s="179">
        <f>SUM(M733:M812)+SUM(W733:W812)</f>
        <v>115695273</v>
      </c>
      <c r="N814" s="179">
        <f t="shared" ref="N814:Z814" si="23">SUM(N733:N812)</f>
        <v>127577</v>
      </c>
      <c r="O814" s="179">
        <f t="shared" si="23"/>
        <v>215960869</v>
      </c>
      <c r="P814" s="179">
        <f t="shared" si="23"/>
        <v>15632</v>
      </c>
      <c r="Q814" s="179">
        <f t="shared" si="23"/>
        <v>92428</v>
      </c>
      <c r="R814" s="179">
        <f t="shared" si="23"/>
        <v>286110</v>
      </c>
      <c r="S814" s="179">
        <f t="shared" si="23"/>
        <v>114</v>
      </c>
      <c r="T814" s="258">
        <f t="shared" si="23"/>
        <v>0</v>
      </c>
      <c r="U814" s="179">
        <f t="shared" si="23"/>
        <v>3782543</v>
      </c>
      <c r="V814" s="179">
        <f t="shared" si="23"/>
        <v>2448720</v>
      </c>
      <c r="W814" s="179">
        <f t="shared" si="23"/>
        <v>-1333823</v>
      </c>
      <c r="X814" s="179">
        <f t="shared" si="23"/>
        <v>45443363</v>
      </c>
      <c r="Y814" s="179">
        <f t="shared" si="23"/>
        <v>0</v>
      </c>
      <c r="Z814" s="179">
        <f t="shared" si="23"/>
        <v>23584660</v>
      </c>
    </row>
    <row r="815" spans="1:26" ht="12.65" customHeight="1" x14ac:dyDescent="0.3">
      <c r="B815" s="179" t="s">
        <v>1005</v>
      </c>
      <c r="C815" s="258">
        <f>CE60</f>
        <v>645.78988430104766</v>
      </c>
      <c r="D815" s="179">
        <f>CE61</f>
        <v>57874283</v>
      </c>
      <c r="E815" s="179">
        <f>CE62</f>
        <v>13754927</v>
      </c>
      <c r="F815" s="179">
        <f>CE63</f>
        <v>6575946</v>
      </c>
      <c r="G815" s="179">
        <f>CE64</f>
        <v>23375062</v>
      </c>
      <c r="H815" s="235">
        <f>CE65</f>
        <v>1175553</v>
      </c>
      <c r="I815" s="235">
        <f>CE66</f>
        <v>6534407</v>
      </c>
      <c r="J815" s="235">
        <f>CE67</f>
        <v>4743347</v>
      </c>
      <c r="K815" s="235">
        <f>CE68</f>
        <v>1631572</v>
      </c>
      <c r="L815" s="235">
        <f>CE70</f>
        <v>5538863</v>
      </c>
      <c r="M815" s="235">
        <f>CE71</f>
        <v>115695273</v>
      </c>
      <c r="N815" s="179">
        <f>CE76</f>
        <v>228101.29999999996</v>
      </c>
      <c r="O815" s="179">
        <f>CE74</f>
        <v>215960869</v>
      </c>
      <c r="P815" s="179">
        <f>CE77</f>
        <v>15632</v>
      </c>
      <c r="Q815" s="179">
        <f>CE78</f>
        <v>92428.88</v>
      </c>
      <c r="R815" s="179">
        <f>CE79</f>
        <v>286110</v>
      </c>
      <c r="S815" s="179">
        <f>CE80</f>
        <v>113.2860336538462</v>
      </c>
      <c r="T815" s="258">
        <f>CE81</f>
        <v>0</v>
      </c>
      <c r="U815" s="180" t="s">
        <v>1006</v>
      </c>
      <c r="V815" s="180" t="s">
        <v>1006</v>
      </c>
      <c r="W815" s="180" t="s">
        <v>1006</v>
      </c>
      <c r="X815" s="180" t="s">
        <v>1006</v>
      </c>
      <c r="Y815" s="180" t="s">
        <v>1006</v>
      </c>
      <c r="Z815" s="179">
        <f>M715</f>
        <v>24263784</v>
      </c>
    </row>
    <row r="816" spans="1:26" ht="12.65" customHeight="1" x14ac:dyDescent="0.3">
      <c r="B816" s="179" t="s">
        <v>471</v>
      </c>
      <c r="C816" s="197" t="s">
        <v>1007</v>
      </c>
      <c r="D816" s="179">
        <f>C376</f>
        <v>0</v>
      </c>
      <c r="E816" s="179">
        <f>C377</f>
        <v>0</v>
      </c>
      <c r="F816" s="179">
        <f>C378</f>
        <v>57874283</v>
      </c>
      <c r="G816" s="235">
        <f>C379</f>
        <v>13754925</v>
      </c>
      <c r="H816" s="235">
        <f>C380</f>
        <v>6575946</v>
      </c>
      <c r="I816" s="235">
        <f>C381</f>
        <v>23375062</v>
      </c>
      <c r="J816" s="235">
        <f>C382</f>
        <v>1175553</v>
      </c>
      <c r="K816" s="235">
        <f>C383</f>
        <v>6534407</v>
      </c>
      <c r="L816" s="235">
        <f>C384+C385+C386+C388</f>
        <v>8080593</v>
      </c>
      <c r="M816" s="235">
        <f>C368</f>
        <v>0</v>
      </c>
      <c r="N816" s="179">
        <f>D360</f>
        <v>0</v>
      </c>
      <c r="O816" s="179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5" t="s">
        <v>1008</v>
      </c>
    </row>
    <row r="2" spans="2:13" ht="16" thickTop="1" x14ac:dyDescent="0.35">
      <c r="B2" s="140"/>
      <c r="C2" s="141"/>
      <c r="D2" s="141"/>
      <c r="E2" s="141"/>
      <c r="F2" s="141"/>
      <c r="G2" s="141"/>
      <c r="H2" s="141"/>
      <c r="I2" s="141"/>
      <c r="J2" s="142"/>
    </row>
    <row r="3" spans="2:13" ht="15.5" x14ac:dyDescent="0.35">
      <c r="B3" s="143"/>
      <c r="C3" s="8"/>
      <c r="D3" s="8"/>
      <c r="E3" s="8"/>
      <c r="F3" s="76" t="s">
        <v>1009</v>
      </c>
      <c r="G3" s="76"/>
      <c r="H3" s="8"/>
      <c r="I3" s="8"/>
      <c r="J3" s="144"/>
    </row>
    <row r="4" spans="2:13" ht="15.5" x14ac:dyDescent="0.35">
      <c r="B4" s="143"/>
      <c r="C4" s="8"/>
      <c r="D4" s="8"/>
      <c r="E4" s="8"/>
      <c r="F4" s="76" t="s">
        <v>1010</v>
      </c>
      <c r="G4" s="76"/>
      <c r="H4" s="8"/>
      <c r="I4" s="8"/>
      <c r="J4" s="144"/>
    </row>
    <row r="5" spans="2:13" ht="15.5" x14ac:dyDescent="0.35">
      <c r="B5" s="143"/>
      <c r="C5" s="8"/>
      <c r="D5" s="8"/>
      <c r="E5" s="8"/>
      <c r="F5" s="8"/>
      <c r="G5" s="8"/>
      <c r="H5" s="8"/>
      <c r="I5" s="8"/>
      <c r="J5" s="144"/>
    </row>
    <row r="6" spans="2:13" ht="16" thickBot="1" x14ac:dyDescent="0.4">
      <c r="B6" s="145"/>
      <c r="C6" s="146"/>
      <c r="D6" s="146"/>
      <c r="E6" s="146"/>
      <c r="F6" s="146"/>
      <c r="G6" s="146"/>
      <c r="H6" s="146"/>
      <c r="I6" s="146"/>
      <c r="J6" s="284" t="s">
        <v>1263</v>
      </c>
    </row>
    <row r="7" spans="2:13" ht="16" thickTop="1" x14ac:dyDescent="0.35">
      <c r="B7" s="143"/>
      <c r="C7" s="8"/>
      <c r="D7" s="8"/>
      <c r="E7" s="8"/>
      <c r="F7" s="8"/>
      <c r="G7" s="8"/>
      <c r="H7" s="8"/>
      <c r="I7" s="8"/>
      <c r="J7" s="144"/>
    </row>
    <row r="8" spans="2:13" ht="16" thickBot="1" x14ac:dyDescent="0.4">
      <c r="B8" s="143"/>
      <c r="C8" s="8"/>
      <c r="D8" s="8"/>
      <c r="E8" s="8"/>
      <c r="F8" s="76" t="s">
        <v>1011</v>
      </c>
      <c r="G8" s="76"/>
      <c r="H8" s="8"/>
      <c r="I8" s="8"/>
      <c r="J8" s="144"/>
    </row>
    <row r="9" spans="2:13" ht="16" thickTop="1" x14ac:dyDescent="0.35">
      <c r="B9" s="140"/>
      <c r="C9" s="141"/>
      <c r="D9" s="141"/>
      <c r="E9" s="141"/>
      <c r="F9" s="148" t="s">
        <v>1012</v>
      </c>
      <c r="G9" s="148"/>
      <c r="H9" s="141"/>
      <c r="I9" s="141"/>
      <c r="J9" s="142"/>
    </row>
    <row r="10" spans="2:13" ht="15.5" x14ac:dyDescent="0.35">
      <c r="B10" s="143"/>
      <c r="C10" s="8"/>
      <c r="D10" s="8"/>
      <c r="E10" s="8"/>
      <c r="F10" s="76" t="s">
        <v>1260</v>
      </c>
      <c r="G10" s="76"/>
      <c r="H10" s="8"/>
      <c r="I10" s="8"/>
      <c r="J10" s="144"/>
    </row>
    <row r="11" spans="2:13" ht="15.5" x14ac:dyDescent="0.35">
      <c r="B11" s="143"/>
      <c r="C11" s="8"/>
      <c r="D11" s="8"/>
      <c r="E11" s="8"/>
      <c r="F11" s="76"/>
      <c r="G11" s="76"/>
      <c r="H11" s="8"/>
      <c r="I11" s="8"/>
      <c r="J11" s="144"/>
    </row>
    <row r="12" spans="2:13" ht="15.5" x14ac:dyDescent="0.35">
      <c r="B12" s="143"/>
      <c r="C12" s="8"/>
      <c r="D12" s="8"/>
      <c r="E12" s="8"/>
      <c r="F12" s="76" t="s">
        <v>1261</v>
      </c>
      <c r="G12" s="76"/>
      <c r="H12" s="8"/>
      <c r="I12" s="8"/>
      <c r="J12" s="144"/>
    </row>
    <row r="13" spans="2:13" ht="15.5" x14ac:dyDescent="0.35">
      <c r="B13" s="143"/>
      <c r="C13" s="8"/>
      <c r="D13" s="8"/>
      <c r="E13" s="8"/>
      <c r="F13" s="76" t="s">
        <v>1262</v>
      </c>
      <c r="G13" s="76"/>
      <c r="H13" s="8"/>
      <c r="I13" s="8"/>
      <c r="J13" s="144"/>
    </row>
    <row r="14" spans="2:13" ht="16" thickBot="1" x14ac:dyDescent="0.4">
      <c r="B14" s="145"/>
      <c r="C14" s="146"/>
      <c r="D14" s="146"/>
      <c r="E14" s="146"/>
      <c r="F14" s="146"/>
      <c r="G14" s="146"/>
      <c r="H14" s="146"/>
      <c r="I14" s="146"/>
      <c r="J14" s="147"/>
    </row>
    <row r="15" spans="2:13" ht="16" thickTop="1" x14ac:dyDescent="0.35">
      <c r="B15" s="143"/>
      <c r="C15" s="8"/>
      <c r="D15" s="8"/>
      <c r="E15" s="8"/>
      <c r="F15" s="8"/>
      <c r="G15" s="8"/>
      <c r="H15" s="8"/>
      <c r="I15" s="8"/>
      <c r="J15" s="144"/>
      <c r="M15" s="254"/>
    </row>
    <row r="16" spans="2:13" ht="16" thickBot="1" x14ac:dyDescent="0.4">
      <c r="B16" s="143"/>
      <c r="C16" s="8"/>
      <c r="D16" s="8"/>
      <c r="E16" s="8"/>
      <c r="F16" s="8" t="s">
        <v>1013</v>
      </c>
      <c r="G16" s="8"/>
      <c r="H16" s="8"/>
      <c r="I16" s="8"/>
      <c r="J16" s="144"/>
    </row>
    <row r="17" spans="2:10" ht="16" thickTop="1" x14ac:dyDescent="0.35">
      <c r="B17" s="140"/>
      <c r="C17" s="149" t="s">
        <v>1014</v>
      </c>
      <c r="D17" s="149"/>
      <c r="E17" s="141" t="str">
        <f>+data!C84</f>
        <v>Jefferson County Public Hospital District No 2</v>
      </c>
      <c r="F17" s="148"/>
      <c r="G17" s="148"/>
      <c r="H17" s="141"/>
      <c r="I17" s="141"/>
      <c r="J17" s="142"/>
    </row>
    <row r="18" spans="2:10" ht="15.5" x14ac:dyDescent="0.35">
      <c r="B18" s="143"/>
      <c r="C18" s="150" t="s">
        <v>1015</v>
      </c>
      <c r="D18" s="150"/>
      <c r="E18" s="8" t="str">
        <f>+"H-"&amp;data!C83</f>
        <v>H-085</v>
      </c>
      <c r="F18" s="76"/>
      <c r="G18" s="76"/>
      <c r="H18" s="8"/>
      <c r="I18" s="8"/>
      <c r="J18" s="144"/>
    </row>
    <row r="19" spans="2:10" ht="15.5" x14ac:dyDescent="0.35">
      <c r="B19" s="143"/>
      <c r="C19" s="150" t="s">
        <v>1016</v>
      </c>
      <c r="D19" s="150"/>
      <c r="E19" s="8" t="str">
        <f>+data!C85</f>
        <v>834 Sheridan Street</v>
      </c>
      <c r="F19" s="76"/>
      <c r="G19" s="76"/>
      <c r="H19" s="8"/>
      <c r="I19" s="8"/>
      <c r="J19" s="144"/>
    </row>
    <row r="20" spans="2:10" ht="15.5" x14ac:dyDescent="0.35">
      <c r="B20" s="143"/>
      <c r="C20" s="150" t="s">
        <v>1017</v>
      </c>
      <c r="D20" s="150"/>
      <c r="E20" s="8" t="str">
        <f>+data!C86</f>
        <v>834 Sheridan Street</v>
      </c>
      <c r="F20" s="76"/>
      <c r="G20" s="76"/>
      <c r="H20" s="8"/>
      <c r="I20" s="8"/>
      <c r="J20" s="144"/>
    </row>
    <row r="21" spans="2:10" ht="15.5" x14ac:dyDescent="0.35">
      <c r="B21" s="143"/>
      <c r="C21" s="150" t="s">
        <v>1018</v>
      </c>
      <c r="D21" s="150"/>
      <c r="E21" s="8" t="str">
        <f>+data!C87</f>
        <v>Port Townsend, WA 98368</v>
      </c>
      <c r="F21" s="76"/>
      <c r="G21" s="76"/>
      <c r="H21" s="8"/>
      <c r="I21" s="8"/>
      <c r="J21" s="144"/>
    </row>
    <row r="22" spans="2:10" ht="16" thickBot="1" x14ac:dyDescent="0.4">
      <c r="B22" s="145"/>
      <c r="C22" s="146"/>
      <c r="D22" s="146"/>
      <c r="E22" s="146"/>
      <c r="F22" s="146"/>
      <c r="G22" s="146"/>
      <c r="H22" s="146"/>
      <c r="I22" s="146"/>
      <c r="J22" s="147"/>
    </row>
    <row r="23" spans="2:10" ht="16" thickTop="1" x14ac:dyDescent="0.35">
      <c r="B23" s="143"/>
      <c r="C23" s="8"/>
      <c r="D23" s="8"/>
      <c r="E23" s="8"/>
      <c r="F23" s="8"/>
      <c r="G23" s="8"/>
      <c r="H23" s="8"/>
      <c r="I23" s="8"/>
      <c r="J23" s="144"/>
    </row>
    <row r="24" spans="2:10" ht="15.5" x14ac:dyDescent="0.35">
      <c r="B24" s="143"/>
      <c r="C24" s="8"/>
      <c r="D24" s="8"/>
      <c r="E24" s="8"/>
      <c r="F24" s="8"/>
      <c r="G24" s="8"/>
      <c r="H24" s="8"/>
      <c r="I24" s="8"/>
      <c r="J24" s="144"/>
    </row>
    <row r="25" spans="2:10" ht="15.5" x14ac:dyDescent="0.35">
      <c r="B25" s="143"/>
      <c r="C25" s="8"/>
      <c r="D25" s="8"/>
      <c r="E25" s="8"/>
      <c r="F25" s="8"/>
      <c r="G25" s="8"/>
      <c r="H25" s="8"/>
      <c r="I25" s="8"/>
      <c r="J25" s="144"/>
    </row>
    <row r="26" spans="2:10" ht="15.5" x14ac:dyDescent="0.35">
      <c r="B26" s="151"/>
      <c r="C26" s="70"/>
      <c r="D26" s="70"/>
      <c r="E26" s="70"/>
      <c r="F26" s="152" t="s">
        <v>1019</v>
      </c>
      <c r="G26" s="70"/>
      <c r="H26" s="70"/>
      <c r="I26" s="70"/>
      <c r="J26" s="153"/>
    </row>
    <row r="27" spans="2:10" ht="15.5" x14ac:dyDescent="0.35">
      <c r="B27" s="154" t="s">
        <v>1020</v>
      </c>
      <c r="C27" s="120"/>
      <c r="D27" s="120"/>
      <c r="E27" s="120"/>
      <c r="F27" s="120"/>
      <c r="G27" s="120"/>
      <c r="H27" s="120"/>
      <c r="I27" s="120"/>
      <c r="J27" s="155"/>
    </row>
    <row r="28" spans="2:10" ht="15.5" x14ac:dyDescent="0.35">
      <c r="B28" s="143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4"/>
    </row>
    <row r="29" spans="2:10" ht="15.5" x14ac:dyDescent="0.35">
      <c r="B29" s="143" t="s">
        <v>1021</v>
      </c>
      <c r="C29" s="8"/>
      <c r="D29" s="8"/>
      <c r="E29" s="8"/>
      <c r="F29" s="8"/>
      <c r="G29" s="8"/>
      <c r="H29" s="8"/>
      <c r="I29" s="8"/>
      <c r="J29" s="144"/>
    </row>
    <row r="30" spans="2:10" ht="15.5" x14ac:dyDescent="0.35">
      <c r="B30" s="156" t="s">
        <v>1022</v>
      </c>
      <c r="C30" s="119"/>
      <c r="D30" s="119"/>
      <c r="E30" s="119"/>
      <c r="F30" s="119"/>
      <c r="G30" s="119"/>
      <c r="H30" s="119"/>
      <c r="I30" s="119"/>
      <c r="J30" s="157"/>
    </row>
    <row r="31" spans="2:10" ht="15.5" x14ac:dyDescent="0.35">
      <c r="B31" s="154"/>
      <c r="C31" s="120"/>
      <c r="D31" s="120"/>
      <c r="E31" s="120"/>
      <c r="F31" s="120"/>
      <c r="G31" s="120"/>
      <c r="H31" s="120"/>
      <c r="I31" s="120"/>
      <c r="J31" s="155"/>
    </row>
    <row r="32" spans="2:10" ht="15.5" x14ac:dyDescent="0.35">
      <c r="B32" s="143"/>
      <c r="C32" s="8"/>
      <c r="D32" s="8"/>
      <c r="E32" s="8"/>
      <c r="F32" s="8"/>
      <c r="G32" s="8"/>
      <c r="H32" s="8"/>
      <c r="I32" s="8"/>
      <c r="J32" s="144"/>
    </row>
    <row r="33" spans="2:10" ht="15.5" x14ac:dyDescent="0.35">
      <c r="B33" s="158" t="s">
        <v>221</v>
      </c>
      <c r="C33" s="119"/>
      <c r="D33" s="119"/>
      <c r="E33" s="119"/>
      <c r="F33" s="119"/>
      <c r="G33" s="119"/>
      <c r="H33" s="119"/>
      <c r="I33" s="119"/>
      <c r="J33" s="157"/>
    </row>
    <row r="34" spans="2:10" ht="15.5" x14ac:dyDescent="0.35">
      <c r="B34" s="151" t="s">
        <v>1023</v>
      </c>
      <c r="C34" s="70"/>
      <c r="D34" s="70"/>
      <c r="E34" s="70"/>
      <c r="F34" s="152"/>
      <c r="G34" s="70"/>
      <c r="H34" s="70"/>
      <c r="I34" s="70"/>
      <c r="J34" s="153"/>
    </row>
    <row r="35" spans="2:10" ht="15.5" x14ac:dyDescent="0.35">
      <c r="B35" s="151" t="s">
        <v>1024</v>
      </c>
      <c r="C35" s="70"/>
      <c r="D35" s="70"/>
      <c r="E35" s="70"/>
      <c r="F35" s="152"/>
      <c r="G35" s="70"/>
      <c r="H35" s="70"/>
      <c r="I35" s="70"/>
      <c r="J35" s="153"/>
    </row>
    <row r="36" spans="2:10" ht="15.5" x14ac:dyDescent="0.35">
      <c r="B36" s="151" t="s">
        <v>1025</v>
      </c>
      <c r="C36" s="70"/>
      <c r="D36" s="70"/>
      <c r="E36" s="70"/>
      <c r="F36" s="152"/>
      <c r="G36" s="70"/>
      <c r="H36" s="70"/>
      <c r="I36" s="70"/>
      <c r="J36" s="153"/>
    </row>
    <row r="37" spans="2:10" ht="15.5" x14ac:dyDescent="0.35">
      <c r="B37" s="154"/>
      <c r="C37" s="120"/>
      <c r="D37" s="120"/>
      <c r="E37" s="120"/>
      <c r="F37" s="120"/>
      <c r="G37" s="120"/>
      <c r="H37" s="120"/>
      <c r="I37" s="120"/>
      <c r="J37" s="155"/>
    </row>
    <row r="38" spans="2:10" ht="15.5" x14ac:dyDescent="0.35">
      <c r="B38" s="143"/>
      <c r="C38" s="8"/>
      <c r="D38" s="8"/>
      <c r="E38" s="8"/>
      <c r="F38" s="8"/>
      <c r="G38" s="8"/>
      <c r="H38" s="8"/>
      <c r="I38" s="8"/>
      <c r="J38" s="144"/>
    </row>
    <row r="39" spans="2:10" ht="15.5" x14ac:dyDescent="0.35">
      <c r="B39" s="158" t="s">
        <v>221</v>
      </c>
      <c r="C39" s="119"/>
      <c r="D39" s="119"/>
      <c r="E39" s="119"/>
      <c r="F39" s="119"/>
      <c r="G39" s="119"/>
      <c r="H39" s="119"/>
      <c r="I39" s="119"/>
      <c r="J39" s="157"/>
    </row>
    <row r="40" spans="2:10" ht="15.5" x14ac:dyDescent="0.35">
      <c r="B40" s="151" t="s">
        <v>1026</v>
      </c>
      <c r="C40" s="70"/>
      <c r="D40" s="70"/>
      <c r="E40" s="70"/>
      <c r="F40" s="152"/>
      <c r="G40" s="70"/>
      <c r="H40" s="70"/>
      <c r="I40" s="70"/>
      <c r="J40" s="153"/>
    </row>
    <row r="41" spans="2:10" ht="15.5" x14ac:dyDescent="0.35">
      <c r="B41" s="151" t="s">
        <v>1024</v>
      </c>
      <c r="C41" s="70"/>
      <c r="D41" s="70"/>
      <c r="E41" s="70"/>
      <c r="F41" s="152"/>
      <c r="G41" s="70"/>
      <c r="H41" s="70"/>
      <c r="I41" s="70"/>
      <c r="J41" s="153"/>
    </row>
    <row r="42" spans="2:10" ht="16" thickBot="1" x14ac:dyDescent="0.4">
      <c r="B42" s="159" t="s">
        <v>1025</v>
      </c>
      <c r="C42" s="160"/>
      <c r="D42" s="160"/>
      <c r="E42" s="160"/>
      <c r="F42" s="161"/>
      <c r="G42" s="160"/>
      <c r="H42" s="160"/>
      <c r="I42" s="160"/>
      <c r="J42" s="162"/>
    </row>
    <row r="43" spans="2:10" ht="13" thickTop="1" x14ac:dyDescent="0.25"/>
    <row r="44" spans="2:10" x14ac:dyDescent="0.25">
      <c r="B44" s="163"/>
      <c r="C44" s="163"/>
      <c r="D44" s="163"/>
      <c r="E44" s="163"/>
      <c r="F44" s="163"/>
      <c r="G44" s="163"/>
      <c r="H44" s="163"/>
      <c r="I44" s="163"/>
      <c r="J44" s="163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8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H-85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Jefferson County Public Hospital District No 2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Jefferson County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Mike Glenn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Tyler Freeman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Jill Rienstra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360-385-2200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360-379-2242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79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975</v>
      </c>
      <c r="G23" s="21">
        <f>data!D111</f>
        <v>2851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10</v>
      </c>
      <c r="G24" s="21">
        <f>data!D112</f>
        <v>152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88</v>
      </c>
      <c r="G26" s="13">
        <f>data!D114</f>
        <v>197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5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4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J22" sqref="J22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4" t="s">
        <v>1053</v>
      </c>
    </row>
    <row r="2" spans="1:13" ht="20.149999999999999" customHeight="1" x14ac:dyDescent="0.35">
      <c r="A2" s="105" t="str">
        <f>"Hospital Name: "&amp;data!C84</f>
        <v>Hospital Name: Jefferson County Public Hospital District No 2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732</v>
      </c>
      <c r="C7" s="48">
        <f>data!B139</f>
        <v>2132</v>
      </c>
      <c r="D7" s="48">
        <f>data!B140</f>
        <v>0</v>
      </c>
      <c r="E7" s="48">
        <f>data!B141</f>
        <v>23856769</v>
      </c>
      <c r="F7" s="48">
        <f>data!B142</f>
        <v>131770813</v>
      </c>
      <c r="G7" s="48">
        <f>data!B141+data!B142</f>
        <v>155627582</v>
      </c>
    </row>
    <row r="8" spans="1:13" ht="20.149999999999999" customHeight="1" x14ac:dyDescent="0.35">
      <c r="A8" s="23" t="s">
        <v>297</v>
      </c>
      <c r="B8" s="48">
        <f>data!C138</f>
        <v>99</v>
      </c>
      <c r="C8" s="48">
        <f>data!C139</f>
        <v>340</v>
      </c>
      <c r="D8" s="48">
        <f>data!C140</f>
        <v>0</v>
      </c>
      <c r="E8" s="48">
        <f>data!C141</f>
        <v>5594630</v>
      </c>
      <c r="F8" s="48">
        <f>data!C142</f>
        <v>28781995</v>
      </c>
      <c r="G8" s="48">
        <f>data!C141+data!C142</f>
        <v>34376625</v>
      </c>
    </row>
    <row r="9" spans="1:13" ht="20.149999999999999" customHeight="1" x14ac:dyDescent="0.35">
      <c r="A9" s="23" t="s">
        <v>1058</v>
      </c>
      <c r="B9" s="48">
        <f>data!D138</f>
        <v>144</v>
      </c>
      <c r="C9" s="48">
        <f>data!D139</f>
        <v>379</v>
      </c>
      <c r="D9" s="48">
        <f>data!D140</f>
        <v>0</v>
      </c>
      <c r="E9" s="48">
        <f>data!D141</f>
        <v>6929288</v>
      </c>
      <c r="F9" s="48">
        <f>data!D142</f>
        <v>58968123</v>
      </c>
      <c r="G9" s="48">
        <f>data!D141+data!D142</f>
        <v>65897411</v>
      </c>
    </row>
    <row r="10" spans="1:13" ht="20.149999999999999" customHeight="1" x14ac:dyDescent="0.35">
      <c r="A10" s="111" t="s">
        <v>203</v>
      </c>
      <c r="B10" s="48">
        <f>data!E138</f>
        <v>975</v>
      </c>
      <c r="C10" s="48">
        <f>data!E139</f>
        <v>2851</v>
      </c>
      <c r="D10" s="48">
        <f>data!E140</f>
        <v>0</v>
      </c>
      <c r="E10" s="48">
        <f>data!E141</f>
        <v>36380687</v>
      </c>
      <c r="F10" s="48">
        <f>data!E142</f>
        <v>219520931</v>
      </c>
      <c r="G10" s="48">
        <f>data!E141+data!E142</f>
        <v>255901618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79"/>
    </row>
    <row r="16" spans="1:13" ht="20.149999999999999" customHeight="1" x14ac:dyDescent="0.35">
      <c r="A16" s="23" t="s">
        <v>296</v>
      </c>
      <c r="B16" s="48">
        <f>data!B144</f>
        <v>7</v>
      </c>
      <c r="C16" s="48">
        <f>data!B145</f>
        <v>122</v>
      </c>
      <c r="D16" s="48">
        <f>data!B146</f>
        <v>0</v>
      </c>
      <c r="E16" s="48">
        <f>data!B147</f>
        <v>226058</v>
      </c>
      <c r="F16" s="48">
        <f>data!B148</f>
        <v>0</v>
      </c>
      <c r="G16" s="48">
        <f>data!B147+data!B148</f>
        <v>226058</v>
      </c>
    </row>
    <row r="17" spans="1:7" ht="20.149999999999999" customHeight="1" x14ac:dyDescent="0.35">
      <c r="A17" s="23" t="s">
        <v>297</v>
      </c>
      <c r="B17" s="48">
        <f>data!C144</f>
        <v>1</v>
      </c>
      <c r="C17" s="48">
        <f>data!C145</f>
        <v>12</v>
      </c>
      <c r="D17" s="48">
        <f>data!C146</f>
        <v>0</v>
      </c>
      <c r="E17" s="48">
        <f>data!C147</f>
        <v>7236</v>
      </c>
      <c r="F17" s="48">
        <f>data!C148</f>
        <v>0</v>
      </c>
      <c r="G17" s="48">
        <f>data!C147+data!C148</f>
        <v>7236</v>
      </c>
    </row>
    <row r="18" spans="1:7" ht="20.149999999999999" customHeight="1" x14ac:dyDescent="0.35">
      <c r="A18" s="23" t="s">
        <v>1058</v>
      </c>
      <c r="B18" s="48">
        <f>data!D144</f>
        <v>2</v>
      </c>
      <c r="C18" s="48">
        <f>data!D145</f>
        <v>18</v>
      </c>
      <c r="D18" s="48">
        <f>data!D146</f>
        <v>0</v>
      </c>
      <c r="E18" s="48">
        <f>data!D147</f>
        <v>31338</v>
      </c>
      <c r="F18" s="48">
        <f>data!D148</f>
        <v>0</v>
      </c>
      <c r="G18" s="48">
        <f>data!D147+data!D148</f>
        <v>31338</v>
      </c>
    </row>
    <row r="19" spans="1:7" ht="20.149999999999999" customHeight="1" x14ac:dyDescent="0.35">
      <c r="A19" s="111" t="s">
        <v>203</v>
      </c>
      <c r="B19" s="48">
        <f>data!E144</f>
        <v>10</v>
      </c>
      <c r="C19" s="48">
        <f>data!E145</f>
        <v>152</v>
      </c>
      <c r="D19" s="48">
        <f>data!E146</f>
        <v>0</v>
      </c>
      <c r="E19" s="48">
        <f>data!E147</f>
        <v>264632</v>
      </c>
      <c r="F19" s="48">
        <f>data!E148</f>
        <v>0</v>
      </c>
      <c r="G19" s="48">
        <f>data!E147+data!E148</f>
        <v>264632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31008939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9302681.6999999993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3" zoomScale="75" workbookViewId="0">
      <selection activeCell="C38" sqref="C38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6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Jefferson County Public Hospital District No 2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4257243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209472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424046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7297614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79884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2384763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81638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16436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14751096</v>
      </c>
    </row>
    <row r="15" spans="1:13" ht="20.149999999999999" customHeight="1" x14ac:dyDescent="0.35">
      <c r="A15" s="57"/>
      <c r="B15" s="45"/>
      <c r="C15" s="98"/>
      <c r="M15" s="179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648078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968143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1616221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699240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198544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897784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0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348">
        <f>data!C188</f>
        <v>764625</v>
      </c>
    </row>
    <row r="39" spans="1:3" ht="20.149999999999999" customHeight="1" x14ac:dyDescent="0.35">
      <c r="A39" s="13">
        <v>27</v>
      </c>
      <c r="B39" s="49" t="s">
        <v>325</v>
      </c>
      <c r="C39" s="348">
        <f>data!C189</f>
        <v>195865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960490</v>
      </c>
    </row>
    <row r="41" spans="1:3" x14ac:dyDescent="0.3">
      <c r="A41" s="3"/>
      <c r="B41" s="3"/>
      <c r="C41" s="3"/>
    </row>
  </sheetData>
  <phoneticPr fontId="0" type="noConversion"/>
  <printOptions horizontalCentered="1" verticalCentered="1" gridLinesSet="0"/>
  <pageMargins left="0" right="0" top="0" bottom="0" header="0" footer="0"/>
  <pageSetup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10" zoomScale="75" workbookViewId="0">
      <selection activeCell="D12" sqref="D12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6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Jefferson County Public Hospital District No 2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1549711.19</v>
      </c>
      <c r="D7" s="21">
        <f>data!C195</f>
        <v>165620</v>
      </c>
      <c r="E7" s="21">
        <f>data!D195</f>
        <v>0</v>
      </c>
      <c r="F7" s="21">
        <f>data!E195</f>
        <v>1715331.19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4028158</v>
      </c>
      <c r="D8" s="21">
        <f>data!C196</f>
        <v>0</v>
      </c>
      <c r="E8" s="21">
        <f>data!D196</f>
        <v>0</v>
      </c>
      <c r="F8" s="21">
        <f>data!E196</f>
        <v>4028158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40757243</v>
      </c>
      <c r="D9" s="21">
        <f>data!C197</f>
        <v>0</v>
      </c>
      <c r="E9" s="21">
        <f>data!D197</f>
        <v>0</v>
      </c>
      <c r="F9" s="21">
        <f>data!E197</f>
        <v>40757243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39493280</v>
      </c>
      <c r="D12" s="21">
        <f>data!C200</f>
        <v>2037024</v>
      </c>
      <c r="E12" s="21">
        <f>data!D200</f>
        <v>0</v>
      </c>
      <c r="F12" s="21">
        <f>data!E200</f>
        <v>41530304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1361180</v>
      </c>
      <c r="D14" s="21">
        <f>data!C202</f>
        <v>0</v>
      </c>
      <c r="E14" s="21">
        <f>data!D202</f>
        <v>0</v>
      </c>
      <c r="F14" s="21">
        <f>data!E202</f>
        <v>1361180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493251</v>
      </c>
      <c r="D15" s="21">
        <f>data!C203</f>
        <v>501992</v>
      </c>
      <c r="E15" s="21">
        <f>data!D203</f>
        <v>0</v>
      </c>
      <c r="F15" s="21">
        <f>data!E203</f>
        <v>995243</v>
      </c>
      <c r="M15" s="264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87682823.189999998</v>
      </c>
      <c r="D16" s="21">
        <f>data!C204</f>
        <v>2704636</v>
      </c>
      <c r="E16" s="21">
        <f>data!D204</f>
        <v>0</v>
      </c>
      <c r="F16" s="21">
        <f>data!E204</f>
        <v>90387459.189999998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1515043</v>
      </c>
      <c r="D24" s="21">
        <f>data!C209</f>
        <v>251000</v>
      </c>
      <c r="E24" s="21">
        <f>data!D209</f>
        <v>0</v>
      </c>
      <c r="F24" s="21">
        <f>data!E209</f>
        <v>1766043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20142436</v>
      </c>
      <c r="D25" s="21">
        <f>data!C210</f>
        <v>1722816</v>
      </c>
      <c r="E25" s="21">
        <f>data!D210</f>
        <v>0</v>
      </c>
      <c r="F25" s="21">
        <f>data!E210</f>
        <v>21865252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22593911</v>
      </c>
      <c r="D28" s="21">
        <f>data!C213</f>
        <v>2666214</v>
      </c>
      <c r="E28" s="21">
        <f>data!D213</f>
        <v>0</v>
      </c>
      <c r="F28" s="21">
        <f>data!E213</f>
        <v>25260125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778739</v>
      </c>
      <c r="D30" s="21">
        <f>data!C215</f>
        <v>118978</v>
      </c>
      <c r="E30" s="21">
        <f>data!D215</f>
        <v>0</v>
      </c>
      <c r="F30" s="21">
        <f>data!E215</f>
        <v>897717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45030129</v>
      </c>
      <c r="D32" s="21">
        <f>data!C217</f>
        <v>4759008</v>
      </c>
      <c r="E32" s="21">
        <f>data!D217</f>
        <v>0</v>
      </c>
      <c r="F32" s="21">
        <f>data!E217</f>
        <v>49789137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D16" sqref="D16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8" t="s">
        <v>1090</v>
      </c>
    </row>
    <row r="2" spans="1:13" ht="20.149999999999999" customHeight="1" x14ac:dyDescent="0.35">
      <c r="A2" s="29" t="str">
        <f>"Hospital: "&amp;data!C84</f>
        <v>Hospital: Jefferson County Public Hospital District No 2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3778000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90312560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20739856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111052416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347">
        <f>+data!C231</f>
        <v>1773</v>
      </c>
      <c r="M16" s="264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336849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3339718.8199999938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3676567.8199999938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0">
        <v>20</v>
      </c>
      <c r="B24" s="55">
        <v>5970</v>
      </c>
      <c r="C24" s="14" t="s">
        <v>357</v>
      </c>
      <c r="D24" s="14">
        <f>data!C238</f>
        <v>99324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22473973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141080280.81999999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12" zoomScale="75" workbookViewId="0">
      <selection activeCell="C16" sqref="C16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6" t="s">
        <v>1102</v>
      </c>
    </row>
    <row r="3" spans="1:13" ht="20.149999999999999" customHeight="1" x14ac:dyDescent="0.35">
      <c r="A3" s="29" t="str">
        <f>"HOSPITAL: "&amp;data!C84</f>
        <v>HOSPITAL: Jefferson County Public Hospital District No 2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8737552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18331175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3713000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2609993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1522924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4278466.6900000004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1212852.75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4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32979963.440000001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47779134.609999999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10939.32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47790073.93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1715331.19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4028158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40757243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41530304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1361180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89392216.189999998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49789137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39603079.189999998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120373116.56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6" t="s">
        <v>1124</v>
      </c>
    </row>
    <row r="55" spans="1:3" ht="20.149999999999999" customHeight="1" x14ac:dyDescent="0.35">
      <c r="A55" s="29" t="str">
        <f>"HOSPITAL: "&amp;data!C84</f>
        <v>HOSPITAL: Jefferson County Public Hospital District No 2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3252332.93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8033225.3300000001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18241170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381629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29908357.259999998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3923948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24343151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28267099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28267099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63160338.240000002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63160338.240000002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121335794.5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6" t="s">
        <v>1151</v>
      </c>
    </row>
    <row r="107" spans="1:3" ht="20.149999999999999" customHeight="1" x14ac:dyDescent="0.35">
      <c r="A107" s="29" t="str">
        <f>"HOSPITAL: "&amp;data!C84</f>
        <v>HOSPITAL: Jefferson County Public Hospital District No 2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36422817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219712976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256135793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69" t="s">
        <v>450</v>
      </c>
      <c r="C115" s="48">
        <f>data!C363</f>
        <v>3778000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106984645.75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3658134.69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26659500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141080280.44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115055512.56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15262648.530000001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15262648.530000001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130318161.09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65363392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14751096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3034303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24818051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1201686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8330773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4814047.3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1616221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897783.02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749436.77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977279.25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3222117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129776185.33999999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541975.7500000149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1008586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1550561.7500000149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1550561.7500000149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7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H13" sqref="H13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7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Jefferson County Public Hospital District No 2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682</v>
      </c>
      <c r="D9" s="14">
        <f>data!D59</f>
        <v>0</v>
      </c>
      <c r="E9" s="14">
        <f>data!E59</f>
        <v>3002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9.5734615384615385</v>
      </c>
      <c r="D10" s="26">
        <f>data!D60</f>
        <v>0</v>
      </c>
      <c r="E10" s="26">
        <f>data!E60</f>
        <v>38.469999999999992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971999</v>
      </c>
      <c r="D11" s="14">
        <f>data!D61</f>
        <v>0</v>
      </c>
      <c r="E11" s="14">
        <f>data!E61</f>
        <v>2990380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219359</v>
      </c>
      <c r="D12" s="14">
        <f>data!D62</f>
        <v>0</v>
      </c>
      <c r="E12" s="14">
        <f>data!E62</f>
        <v>674864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17502</v>
      </c>
      <c r="D13" s="14">
        <f>data!D63</f>
        <v>0</v>
      </c>
      <c r="E13" s="14">
        <f>data!E63</f>
        <v>76305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65686</v>
      </c>
      <c r="D14" s="14">
        <f>data!D64</f>
        <v>0</v>
      </c>
      <c r="E14" s="14">
        <f>data!E64</f>
        <v>213749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3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4210</v>
      </c>
      <c r="D16" s="14">
        <f>data!D66</f>
        <v>0</v>
      </c>
      <c r="E16" s="14">
        <f>data!E66</f>
        <v>8827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58678</v>
      </c>
      <c r="D17" s="14">
        <f>data!D67</f>
        <v>0</v>
      </c>
      <c r="E17" s="14">
        <f>data!E67</f>
        <v>125409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2327</v>
      </c>
      <c r="D19" s="14">
        <f>data!D69</f>
        <v>0</v>
      </c>
      <c r="E19" s="14">
        <f>data!E69</f>
        <v>21310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1339761</v>
      </c>
      <c r="D21" s="14">
        <f>data!D71</f>
        <v>0</v>
      </c>
      <c r="E21" s="14">
        <f>data!E71</f>
        <v>4110844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08"/>
      <c r="D22" s="209"/>
      <c r="E22" s="209"/>
      <c r="F22" s="209"/>
      <c r="G22" s="209"/>
      <c r="H22" s="209"/>
      <c r="I22" s="209"/>
    </row>
    <row r="23" spans="1:9" ht="20.149999999999999" customHeight="1" x14ac:dyDescent="0.35">
      <c r="A23" s="23">
        <v>18</v>
      </c>
      <c r="B23" s="14" t="s">
        <v>1181</v>
      </c>
      <c r="C23" s="342">
        <f>+data!M668</f>
        <v>512041</v>
      </c>
      <c r="D23" s="342">
        <f>+data!M669</f>
        <v>0</v>
      </c>
      <c r="E23" s="342">
        <f>+data!M670</f>
        <v>2476535</v>
      </c>
      <c r="F23" s="342">
        <f>+data!M671</f>
        <v>0</v>
      </c>
      <c r="G23" s="342">
        <f>+data!M672</f>
        <v>0</v>
      </c>
      <c r="H23" s="342">
        <f>+data!M673</f>
        <v>0</v>
      </c>
      <c r="I23" s="342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1988716</v>
      </c>
      <c r="D24" s="14">
        <f>data!D73</f>
        <v>0</v>
      </c>
      <c r="E24" s="14">
        <f>data!E73</f>
        <v>7015219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13107</v>
      </c>
      <c r="D25" s="14">
        <f>data!D74</f>
        <v>0</v>
      </c>
      <c r="E25" s="14">
        <f>data!E74</f>
        <v>1811737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2001823</v>
      </c>
      <c r="D26" s="14">
        <f>data!D75</f>
        <v>0</v>
      </c>
      <c r="E26" s="14">
        <f>data!E75</f>
        <v>8826956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09"/>
      <c r="D27" s="209"/>
      <c r="E27" s="209"/>
      <c r="F27" s="209"/>
      <c r="G27" s="209"/>
      <c r="H27" s="209"/>
      <c r="I27" s="209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2604.9500000000003</v>
      </c>
      <c r="D28" s="14">
        <f>data!D76</f>
        <v>0</v>
      </c>
      <c r="E28" s="14">
        <f>data!E76</f>
        <v>5567.3899999999985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736</v>
      </c>
      <c r="D29" s="14">
        <f>data!D77</f>
        <v>0</v>
      </c>
      <c r="E29" s="14">
        <f>data!E77</f>
        <v>11556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1048.1232945257636</v>
      </c>
      <c r="D30" s="14">
        <f>data!D78</f>
        <v>0</v>
      </c>
      <c r="E30" s="14">
        <f>data!E78</f>
        <v>5482.7257094508841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14257</v>
      </c>
      <c r="D31" s="14">
        <f>data!D79</f>
        <v>0</v>
      </c>
      <c r="E31" s="14">
        <f>data!E79</f>
        <v>64663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6.9399278846153907</v>
      </c>
      <c r="D32" s="84">
        <f>data!D80</f>
        <v>0</v>
      </c>
      <c r="E32" s="84">
        <f>data!E80</f>
        <v>18.744644230769193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7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Jefferson County Public Hospital District No 2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341">
        <f>data!J59</f>
        <v>149</v>
      </c>
      <c r="D41" s="14">
        <f>data!K59</f>
        <v>0</v>
      </c>
      <c r="E41" s="14">
        <f>data!L59</f>
        <v>167</v>
      </c>
      <c r="F41" s="14">
        <f>data!M59</f>
        <v>0</v>
      </c>
      <c r="G41" s="341">
        <f>data!N59</f>
        <v>0</v>
      </c>
      <c r="H41" s="14">
        <f>data!O59</f>
        <v>88</v>
      </c>
      <c r="I41" s="14">
        <f>data!P59</f>
        <v>164548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2.3076923076923079E-3</v>
      </c>
      <c r="F42" s="26">
        <f>data!M60</f>
        <v>0</v>
      </c>
      <c r="G42" s="26">
        <f>data!N60</f>
        <v>0</v>
      </c>
      <c r="H42" s="26">
        <f>data!O60</f>
        <v>10.579615384615387</v>
      </c>
      <c r="I42" s="26">
        <f>data!P60</f>
        <v>18.545000000000002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78</v>
      </c>
      <c r="F43" s="14">
        <f>data!M61</f>
        <v>0</v>
      </c>
      <c r="G43" s="14">
        <f>data!N61</f>
        <v>2000323</v>
      </c>
      <c r="H43" s="14">
        <f>data!O61</f>
        <v>1136879</v>
      </c>
      <c r="I43" s="14">
        <f>data!P61</f>
        <v>1763663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18</v>
      </c>
      <c r="F44" s="14">
        <f>data!M62</f>
        <v>0</v>
      </c>
      <c r="G44" s="14">
        <f>data!N62</f>
        <v>451429</v>
      </c>
      <c r="H44" s="14">
        <f>data!O62</f>
        <v>256569</v>
      </c>
      <c r="I44" s="14">
        <f>data!P62</f>
        <v>398020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40517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7507</v>
      </c>
      <c r="H46" s="14">
        <f>data!O64</f>
        <v>44115</v>
      </c>
      <c r="I46" s="14">
        <f>data!P64</f>
        <v>1253780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2611</v>
      </c>
      <c r="I48" s="14">
        <f>data!P66</f>
        <v>91524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1946</v>
      </c>
      <c r="D49" s="14">
        <f>data!K67</f>
        <v>0</v>
      </c>
      <c r="E49" s="14">
        <f>data!L67</f>
        <v>49333</v>
      </c>
      <c r="F49" s="14">
        <f>data!M67</f>
        <v>0</v>
      </c>
      <c r="G49" s="14">
        <f>data!N67</f>
        <v>6532</v>
      </c>
      <c r="H49" s="14">
        <f>data!O67</f>
        <v>65673</v>
      </c>
      <c r="I49" s="14">
        <f>data!P67</f>
        <v>220005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4095</v>
      </c>
      <c r="I50" s="14">
        <f>data!P68</f>
        <v>126940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38379</v>
      </c>
      <c r="H51" s="14">
        <f>data!O69</f>
        <v>18751</v>
      </c>
      <c r="I51" s="14">
        <f>data!P69</f>
        <v>36339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1946</v>
      </c>
      <c r="D53" s="14">
        <f>data!K71</f>
        <v>0</v>
      </c>
      <c r="E53" s="14">
        <f>data!L71</f>
        <v>49429</v>
      </c>
      <c r="F53" s="14">
        <f>data!M71</f>
        <v>0</v>
      </c>
      <c r="G53" s="14">
        <f>data!N71</f>
        <v>2504170</v>
      </c>
      <c r="H53" s="14">
        <f>data!O71</f>
        <v>1528693</v>
      </c>
      <c r="I53" s="14">
        <f>data!P71</f>
        <v>3930788</v>
      </c>
    </row>
    <row r="54" spans="1:9" ht="20.149999999999999" customHeight="1" x14ac:dyDescent="0.35">
      <c r="A54" s="23">
        <v>17</v>
      </c>
      <c r="B54" s="14" t="s">
        <v>244</v>
      </c>
      <c r="C54" s="209"/>
      <c r="D54" s="209"/>
      <c r="E54" s="209"/>
      <c r="F54" s="209"/>
      <c r="G54" s="209"/>
      <c r="H54" s="209"/>
      <c r="I54" s="209"/>
    </row>
    <row r="55" spans="1:9" ht="20.149999999999999" customHeight="1" x14ac:dyDescent="0.35">
      <c r="A55" s="23">
        <v>18</v>
      </c>
      <c r="B55" s="14" t="s">
        <v>1181</v>
      </c>
      <c r="C55" s="342">
        <f>+data!M675</f>
        <v>12565</v>
      </c>
      <c r="D55" s="342">
        <f>+data!M676</f>
        <v>0</v>
      </c>
      <c r="E55" s="342">
        <f>+data!M677</f>
        <v>99962</v>
      </c>
      <c r="F55" s="342">
        <f>+data!M678</f>
        <v>0</v>
      </c>
      <c r="G55" s="342">
        <f>+data!M679</f>
        <v>304030</v>
      </c>
      <c r="H55" s="342">
        <f>+data!M680</f>
        <v>465288</v>
      </c>
      <c r="I55" s="342">
        <f>+data!M681</f>
        <v>2143213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239815</v>
      </c>
      <c r="D56" s="14">
        <f>data!K73</f>
        <v>0</v>
      </c>
      <c r="E56" s="14">
        <f>data!L73</f>
        <v>264632</v>
      </c>
      <c r="F56" s="14">
        <f>data!M73</f>
        <v>0</v>
      </c>
      <c r="G56" s="14">
        <f>data!N73</f>
        <v>1651219</v>
      </c>
      <c r="H56" s="14">
        <f>data!O73</f>
        <v>775981</v>
      </c>
      <c r="I56" s="14">
        <f>data!P73</f>
        <v>8722989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669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389154</v>
      </c>
      <c r="H57" s="14">
        <f>data!O74</f>
        <v>206615</v>
      </c>
      <c r="I57" s="14">
        <f>data!P74</f>
        <v>15142369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240484</v>
      </c>
      <c r="D58" s="14">
        <f>data!K75</f>
        <v>0</v>
      </c>
      <c r="E58" s="14">
        <f>data!L75</f>
        <v>264632</v>
      </c>
      <c r="F58" s="14">
        <f>data!M75</f>
        <v>0</v>
      </c>
      <c r="G58" s="14">
        <f>data!N75</f>
        <v>2040373</v>
      </c>
      <c r="H58" s="14">
        <f>data!O75</f>
        <v>982596</v>
      </c>
      <c r="I58" s="14">
        <f>data!P75</f>
        <v>23865358</v>
      </c>
    </row>
    <row r="59" spans="1:9" ht="20.149999999999999" customHeight="1" x14ac:dyDescent="0.35">
      <c r="A59" s="23" t="s">
        <v>1185</v>
      </c>
      <c r="B59" s="60"/>
      <c r="C59" s="209"/>
      <c r="D59" s="209"/>
      <c r="E59" s="209"/>
      <c r="F59" s="209"/>
      <c r="G59" s="209"/>
      <c r="H59" s="209"/>
      <c r="I59" s="209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86.40000000000002</v>
      </c>
      <c r="D60" s="14">
        <f>data!K76</f>
        <v>0</v>
      </c>
      <c r="E60" s="14">
        <f>data!L76</f>
        <v>2190.0999999999995</v>
      </c>
      <c r="F60" s="14">
        <f>data!M76</f>
        <v>0</v>
      </c>
      <c r="G60" s="14">
        <f>data!N76</f>
        <v>290</v>
      </c>
      <c r="H60" s="14">
        <f>data!O76</f>
        <v>2915.5</v>
      </c>
      <c r="I60" s="14">
        <f>data!P76</f>
        <v>9766.899999999996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527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341">
        <f>data!O78</f>
        <v>1105.6957272188847</v>
      </c>
      <c r="I62" s="341">
        <f>data!P78</f>
        <v>5619.2219406041113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341">
        <f>data!O79</f>
        <v>0</v>
      </c>
      <c r="I63" s="14">
        <f>data!P79</f>
        <v>41607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2.403846153846154E-3</v>
      </c>
      <c r="F64" s="26">
        <f>data!M80</f>
        <v>0</v>
      </c>
      <c r="G64" s="26">
        <f>data!N80</f>
        <v>0</v>
      </c>
      <c r="H64" s="26">
        <f>data!O80</f>
        <v>9.6889951923076865</v>
      </c>
      <c r="I64" s="26">
        <f>data!P80</f>
        <v>9.4553461538461612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7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Jefferson County Public Hospital District No 2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0"/>
      <c r="F72" s="210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36379</v>
      </c>
      <c r="D73" s="48">
        <f>data!R59</f>
        <v>166554</v>
      </c>
      <c r="E73" s="210"/>
      <c r="F73" s="210"/>
      <c r="G73" s="14">
        <f>data!U59</f>
        <v>223520</v>
      </c>
      <c r="H73" s="341">
        <f>data!V59</f>
        <v>983</v>
      </c>
      <c r="I73" s="14">
        <f>data!W59</f>
        <v>2147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1.5000000000000001E-2</v>
      </c>
      <c r="D74" s="26">
        <f>data!R60</f>
        <v>0</v>
      </c>
      <c r="E74" s="26">
        <f>data!S60</f>
        <v>2.742692307692308</v>
      </c>
      <c r="F74" s="26">
        <f>data!T60</f>
        <v>0</v>
      </c>
      <c r="G74" s="26">
        <f>data!U60</f>
        <v>25.882307692307695</v>
      </c>
      <c r="H74" s="26">
        <f>data!V60</f>
        <v>0</v>
      </c>
      <c r="I74" s="26">
        <f>data!W60</f>
        <v>1.9950000000000001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1257</v>
      </c>
      <c r="D75" s="14">
        <f>data!R61</f>
        <v>1208319</v>
      </c>
      <c r="E75" s="14">
        <f>data!S61</f>
        <v>140124</v>
      </c>
      <c r="F75" s="14">
        <f>data!T61</f>
        <v>0</v>
      </c>
      <c r="G75" s="14">
        <f>data!U61</f>
        <v>1709739</v>
      </c>
      <c r="H75" s="14">
        <f>data!V61</f>
        <v>0</v>
      </c>
      <c r="I75" s="14">
        <f>data!W61</f>
        <v>200996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284</v>
      </c>
      <c r="D76" s="14">
        <f>data!R62</f>
        <v>272691</v>
      </c>
      <c r="E76" s="14">
        <f>data!S62</f>
        <v>31623</v>
      </c>
      <c r="F76" s="14">
        <f>data!T62</f>
        <v>0</v>
      </c>
      <c r="G76" s="14">
        <f>data!U62</f>
        <v>385851</v>
      </c>
      <c r="H76" s="14">
        <f>data!V62</f>
        <v>0</v>
      </c>
      <c r="I76" s="14">
        <f>data!W62</f>
        <v>45360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28110</v>
      </c>
      <c r="F77" s="14">
        <f>data!T63</f>
        <v>0</v>
      </c>
      <c r="G77" s="14">
        <f>data!U63</f>
        <v>34825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12085</v>
      </c>
      <c r="D78" s="14">
        <f>data!R64</f>
        <v>121740</v>
      </c>
      <c r="E78" s="14">
        <f>data!S64</f>
        <v>1561315</v>
      </c>
      <c r="F78" s="14">
        <f>data!T64</f>
        <v>0</v>
      </c>
      <c r="G78" s="14">
        <f>data!U64</f>
        <v>1289699</v>
      </c>
      <c r="H78" s="14">
        <f>data!V64</f>
        <v>0</v>
      </c>
      <c r="I78" s="14">
        <f>data!W64</f>
        <v>30225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7966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8014</v>
      </c>
      <c r="E80" s="14">
        <f>data!S66</f>
        <v>0</v>
      </c>
      <c r="F80" s="14">
        <f>data!T66</f>
        <v>0</v>
      </c>
      <c r="G80" s="14">
        <f>data!U66</f>
        <v>2533888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13256</v>
      </c>
      <c r="D81" s="14">
        <f>data!R67</f>
        <v>3063</v>
      </c>
      <c r="E81" s="14">
        <f>data!S67</f>
        <v>16806</v>
      </c>
      <c r="F81" s="14">
        <f>data!T67</f>
        <v>0</v>
      </c>
      <c r="G81" s="14">
        <f>data!U67</f>
        <v>88318</v>
      </c>
      <c r="H81" s="14">
        <f>data!V67</f>
        <v>0</v>
      </c>
      <c r="I81" s="14">
        <f>data!W67</f>
        <v>24940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3193</v>
      </c>
      <c r="E82" s="14">
        <f>data!S68</f>
        <v>0</v>
      </c>
      <c r="F82" s="14">
        <f>data!T68</f>
        <v>0</v>
      </c>
      <c r="G82" s="14">
        <f>data!U68</f>
        <v>214366</v>
      </c>
      <c r="H82" s="14">
        <f>data!V68</f>
        <v>0</v>
      </c>
      <c r="I82" s="14">
        <f>data!W68</f>
        <v>251390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27025</v>
      </c>
      <c r="E83" s="14">
        <f>data!S69</f>
        <v>4578</v>
      </c>
      <c r="F83" s="14">
        <f>data!T69</f>
        <v>0</v>
      </c>
      <c r="G83" s="14">
        <f>data!U69</f>
        <v>77292</v>
      </c>
      <c r="H83" s="14">
        <f>data!V69</f>
        <v>0</v>
      </c>
      <c r="I83" s="14">
        <f>data!W69</f>
        <v>110567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26882</v>
      </c>
      <c r="D85" s="14">
        <f>data!R71</f>
        <v>1644045</v>
      </c>
      <c r="E85" s="14">
        <f>data!S71</f>
        <v>1782556</v>
      </c>
      <c r="F85" s="14">
        <f>data!T71</f>
        <v>0</v>
      </c>
      <c r="G85" s="14">
        <f>data!U71</f>
        <v>6341944</v>
      </c>
      <c r="H85" s="14">
        <f>data!V71</f>
        <v>0</v>
      </c>
      <c r="I85" s="14">
        <f>data!W71</f>
        <v>663478</v>
      </c>
    </row>
    <row r="86" spans="1:9" ht="20.149999999999999" customHeight="1" x14ac:dyDescent="0.35">
      <c r="A86" s="23">
        <v>17</v>
      </c>
      <c r="B86" s="14" t="s">
        <v>244</v>
      </c>
      <c r="C86" s="209"/>
      <c r="D86" s="209"/>
      <c r="E86" s="209"/>
      <c r="F86" s="209"/>
      <c r="G86" s="209"/>
      <c r="H86" s="209"/>
      <c r="I86" s="209"/>
    </row>
    <row r="87" spans="1:9" ht="20.149999999999999" customHeight="1" x14ac:dyDescent="0.35">
      <c r="A87" s="23">
        <v>18</v>
      </c>
      <c r="B87" s="14" t="s">
        <v>1181</v>
      </c>
      <c r="C87" s="342">
        <f>+data!M682</f>
        <v>217138</v>
      </c>
      <c r="D87" s="342">
        <f>+data!M683</f>
        <v>571215</v>
      </c>
      <c r="E87" s="342">
        <f>+data!M684</f>
        <v>253655</v>
      </c>
      <c r="F87" s="342">
        <f>+data!M685</f>
        <v>0</v>
      </c>
      <c r="G87" s="342">
        <f>+data!M686</f>
        <v>1538551</v>
      </c>
      <c r="H87" s="342">
        <f>+data!M687</f>
        <v>6</v>
      </c>
      <c r="I87" s="342">
        <f>+data!M688</f>
        <v>346904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539374</v>
      </c>
      <c r="D88" s="14">
        <f>data!R73</f>
        <v>2638417</v>
      </c>
      <c r="E88" s="14">
        <f>data!S73</f>
        <v>22617</v>
      </c>
      <c r="F88" s="14">
        <f>data!T73</f>
        <v>0</v>
      </c>
      <c r="G88" s="14">
        <f>data!U73</f>
        <v>1523448</v>
      </c>
      <c r="H88" s="14">
        <f>data!V73</f>
        <v>0</v>
      </c>
      <c r="I88" s="14">
        <f>data!W73</f>
        <v>346692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4015308</v>
      </c>
      <c r="D89" s="14">
        <f>data!R74</f>
        <v>6980654</v>
      </c>
      <c r="E89" s="14">
        <f>data!S74</f>
        <v>422114</v>
      </c>
      <c r="F89" s="14">
        <f>data!T74</f>
        <v>0</v>
      </c>
      <c r="G89" s="14">
        <f>data!U74</f>
        <v>16450267</v>
      </c>
      <c r="H89" s="14">
        <f>data!V74</f>
        <v>138</v>
      </c>
      <c r="I89" s="14">
        <f>data!W74</f>
        <v>4803596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4554682</v>
      </c>
      <c r="D90" s="14">
        <f>data!R75</f>
        <v>9619071</v>
      </c>
      <c r="E90" s="14">
        <f>data!S75</f>
        <v>444731</v>
      </c>
      <c r="F90" s="14">
        <f>data!T75</f>
        <v>0</v>
      </c>
      <c r="G90" s="14">
        <f>data!U75</f>
        <v>17973715</v>
      </c>
      <c r="H90" s="14">
        <f>data!V75</f>
        <v>138</v>
      </c>
      <c r="I90" s="14">
        <f>data!W75</f>
        <v>5150288</v>
      </c>
    </row>
    <row r="91" spans="1:9" ht="20.149999999999999" customHeight="1" x14ac:dyDescent="0.35">
      <c r="A91" s="23" t="s">
        <v>1185</v>
      </c>
      <c r="B91" s="60"/>
      <c r="C91" s="209"/>
      <c r="D91" s="209"/>
      <c r="E91" s="209"/>
      <c r="F91" s="209"/>
      <c r="G91" s="209"/>
      <c r="H91" s="209"/>
      <c r="I91" s="209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588.5</v>
      </c>
      <c r="D92" s="14">
        <f>data!R76</f>
        <v>135.99999999999997</v>
      </c>
      <c r="E92" s="14">
        <f>data!S76</f>
        <v>746.09999999999991</v>
      </c>
      <c r="F92" s="14">
        <f>data!T76</f>
        <v>0</v>
      </c>
      <c r="G92" s="14">
        <f>data!U76</f>
        <v>3920.8000000000011</v>
      </c>
      <c r="H92" s="14">
        <f>data!V76</f>
        <v>0</v>
      </c>
      <c r="I92" s="14">
        <f>data!W76</f>
        <v>1107.2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341">
        <f>data!S78</f>
        <v>47.405115661223455</v>
      </c>
      <c r="F94" s="14">
        <f>data!T78</f>
        <v>0</v>
      </c>
      <c r="G94" s="14">
        <f>data!U78</f>
        <v>81.97399356967594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341">
        <f>data!S79</f>
        <v>0</v>
      </c>
      <c r="F95" s="14">
        <f>data!T79</f>
        <v>0</v>
      </c>
      <c r="G95" s="341">
        <f>data!U79</f>
        <v>7715</v>
      </c>
      <c r="H95" s="14">
        <f>data!V79</f>
        <v>0</v>
      </c>
      <c r="I95" s="14">
        <f>data!W79</f>
        <v>33870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1.5048076923076923E-2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7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Jefferson County Public Hospital District No 2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0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5555</v>
      </c>
      <c r="D105" s="14">
        <f>data!Y59</f>
        <v>16265</v>
      </c>
      <c r="E105" s="14">
        <f>data!Z59</f>
        <v>0</v>
      </c>
      <c r="F105" s="341">
        <f>data!AA59</f>
        <v>446</v>
      </c>
      <c r="G105" s="210"/>
      <c r="H105" s="14">
        <f>data!AC59</f>
        <v>28724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1.329230769230769</v>
      </c>
      <c r="D106" s="26">
        <f>data!Y60</f>
        <v>20.157692307692312</v>
      </c>
      <c r="E106" s="26">
        <f>data!Z60</f>
        <v>0</v>
      </c>
      <c r="F106" s="26">
        <f>data!AA60</f>
        <v>0.70461538461538464</v>
      </c>
      <c r="G106" s="26">
        <f>data!AB60</f>
        <v>13.048846153846155</v>
      </c>
      <c r="H106" s="26">
        <f>data!AC60</f>
        <v>7.2815384615384611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106080</v>
      </c>
      <c r="D107" s="14">
        <f>data!Y61</f>
        <v>1674308</v>
      </c>
      <c r="E107" s="14">
        <f>data!Z61</f>
        <v>0</v>
      </c>
      <c r="F107" s="14">
        <f>data!AA61</f>
        <v>91358</v>
      </c>
      <c r="G107" s="14">
        <f>data!AB61</f>
        <v>1444377</v>
      </c>
      <c r="H107" s="14">
        <f>data!AC61</f>
        <v>699014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23940</v>
      </c>
      <c r="D108" s="14">
        <f>data!Y62</f>
        <v>377855</v>
      </c>
      <c r="E108" s="14">
        <f>data!Z62</f>
        <v>0</v>
      </c>
      <c r="F108" s="14">
        <f>data!AA62</f>
        <v>20618</v>
      </c>
      <c r="G108" s="14">
        <f>data!AB62</f>
        <v>325964</v>
      </c>
      <c r="H108" s="14">
        <f>data!AC62</f>
        <v>157752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35200</v>
      </c>
      <c r="E109" s="14">
        <f>data!Z63</f>
        <v>0</v>
      </c>
      <c r="F109" s="14">
        <f>data!AA63</f>
        <v>0</v>
      </c>
      <c r="G109" s="14">
        <f>data!AB63</f>
        <v>690669</v>
      </c>
      <c r="H109" s="14">
        <f>data!AC63</f>
        <v>64451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111642</v>
      </c>
      <c r="D110" s="14">
        <f>data!Y64</f>
        <v>71334</v>
      </c>
      <c r="E110" s="14">
        <f>data!Z64</f>
        <v>0</v>
      </c>
      <c r="F110" s="14">
        <f>data!AA64</f>
        <v>113413</v>
      </c>
      <c r="G110" s="14">
        <f>data!AB64</f>
        <v>14600179</v>
      </c>
      <c r="H110" s="14">
        <f>data!AC64</f>
        <v>99259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8250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278515</v>
      </c>
      <c r="E112" s="14">
        <f>data!Z66</f>
        <v>0</v>
      </c>
      <c r="F112" s="14">
        <f>data!AA66</f>
        <v>39087</v>
      </c>
      <c r="G112" s="14">
        <f>data!AB66</f>
        <v>192950</v>
      </c>
      <c r="H112" s="14">
        <f>data!AC66</f>
        <v>19077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12024</v>
      </c>
      <c r="D113" s="14">
        <f>data!Y67</f>
        <v>103760</v>
      </c>
      <c r="E113" s="14">
        <f>data!Z67</f>
        <v>0</v>
      </c>
      <c r="F113" s="14">
        <f>data!AA67</f>
        <v>8053</v>
      </c>
      <c r="G113" s="14">
        <f>data!AB67</f>
        <v>55884</v>
      </c>
      <c r="H113" s="14">
        <f>data!AC67</f>
        <v>41533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9614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219319</v>
      </c>
      <c r="H114" s="14">
        <f>data!AC68</f>
        <v>28145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97353</v>
      </c>
      <c r="D115" s="14">
        <f>data!Y69</f>
        <v>215930</v>
      </c>
      <c r="E115" s="14">
        <f>data!Z69</f>
        <v>0</v>
      </c>
      <c r="F115" s="14">
        <f>data!AA69</f>
        <v>247</v>
      </c>
      <c r="G115" s="14">
        <f>data!AB69</f>
        <v>153369</v>
      </c>
      <c r="H115" s="14">
        <f>data!AC69</f>
        <v>14468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341">
        <f>-data!AB70</f>
        <v>-3694223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360653</v>
      </c>
      <c r="D117" s="14">
        <f>data!Y71</f>
        <v>2756902</v>
      </c>
      <c r="E117" s="14">
        <f>data!Z71</f>
        <v>0</v>
      </c>
      <c r="F117" s="14">
        <f>data!AA71</f>
        <v>272776</v>
      </c>
      <c r="G117" s="14">
        <f>data!AB71</f>
        <v>13996738</v>
      </c>
      <c r="H117" s="14">
        <f>data!AC71</f>
        <v>1123699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09"/>
      <c r="D118" s="209"/>
      <c r="E118" s="209"/>
      <c r="F118" s="209"/>
      <c r="G118" s="209"/>
      <c r="H118" s="209"/>
      <c r="I118" s="209"/>
    </row>
    <row r="119" spans="1:9" ht="20.149999999999999" customHeight="1" x14ac:dyDescent="0.35">
      <c r="A119" s="23">
        <v>18</v>
      </c>
      <c r="B119" s="14" t="s">
        <v>1181</v>
      </c>
      <c r="C119" s="342">
        <f>+data!M689</f>
        <v>677411</v>
      </c>
      <c r="D119" s="342">
        <f>+data!M690</f>
        <v>1108942</v>
      </c>
      <c r="E119" s="342">
        <f>+data!M691</f>
        <v>0</v>
      </c>
      <c r="F119" s="342">
        <f>+data!M692</f>
        <v>164528</v>
      </c>
      <c r="G119" s="342">
        <f>+data!M693</f>
        <v>3962640</v>
      </c>
      <c r="H119" s="342">
        <f>+data!M694</f>
        <v>300469</v>
      </c>
      <c r="I119" s="342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922824</v>
      </c>
      <c r="D120" s="14">
        <f>data!Y73</f>
        <v>997206</v>
      </c>
      <c r="E120" s="14">
        <f>data!Z73</f>
        <v>0</v>
      </c>
      <c r="F120" s="14">
        <f>data!AA73</f>
        <v>11820</v>
      </c>
      <c r="G120" s="14">
        <f>data!AB73</f>
        <v>3526678</v>
      </c>
      <c r="H120" s="14">
        <f>data!AC73</f>
        <v>1612586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13219956</v>
      </c>
      <c r="D121" s="14">
        <f>data!Y74</f>
        <v>11390733</v>
      </c>
      <c r="E121" s="14">
        <f>data!Z74</f>
        <v>0</v>
      </c>
      <c r="F121" s="14">
        <f>data!AA74</f>
        <v>2875803</v>
      </c>
      <c r="G121" s="14">
        <f>data!AB74</f>
        <v>44684307</v>
      </c>
      <c r="H121" s="14">
        <f>data!AC74</f>
        <v>1673273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14142780</v>
      </c>
      <c r="D122" s="14">
        <f>data!Y75</f>
        <v>12387939</v>
      </c>
      <c r="E122" s="14">
        <f>data!Z75</f>
        <v>0</v>
      </c>
      <c r="F122" s="14">
        <f>data!AA75</f>
        <v>2887623</v>
      </c>
      <c r="G122" s="14">
        <f>data!AB75</f>
        <v>48210985</v>
      </c>
      <c r="H122" s="14">
        <f>data!AC75</f>
        <v>3285859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09"/>
      <c r="D123" s="209"/>
      <c r="E123" s="209"/>
      <c r="F123" s="209"/>
      <c r="G123" s="209"/>
      <c r="H123" s="209"/>
      <c r="I123" s="209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533.80000000000007</v>
      </c>
      <c r="D124" s="14">
        <f>data!Y76</f>
        <v>4606.3</v>
      </c>
      <c r="E124" s="14">
        <f>data!Z76</f>
        <v>0</v>
      </c>
      <c r="F124" s="14">
        <f>data!AA76</f>
        <v>357.50000000000017</v>
      </c>
      <c r="G124" s="14">
        <f>data!AB76</f>
        <v>2480.9</v>
      </c>
      <c r="H124" s="14">
        <f>data!AC76</f>
        <v>1843.8000000000004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341">
        <f>data!Y78</f>
        <v>3399.6966325408239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341">
        <f>data!Y79</f>
        <v>10096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0.26495192307692311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7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Jefferson County Public Hospital District No 2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75498</v>
      </c>
      <c r="D137" s="14">
        <f>data!AF59</f>
        <v>0</v>
      </c>
      <c r="E137" s="14">
        <f>data!AG59</f>
        <v>10664</v>
      </c>
      <c r="F137" s="14">
        <f>data!AH59</f>
        <v>0</v>
      </c>
      <c r="G137" s="341">
        <f>data!AI59</f>
        <v>17436</v>
      </c>
      <c r="H137" s="341">
        <f>data!AJ59</f>
        <v>85414</v>
      </c>
      <c r="I137" s="14">
        <f>data!AK59</f>
        <v>13118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33.45461538461538</v>
      </c>
      <c r="D138" s="26">
        <f>data!AF60</f>
        <v>0</v>
      </c>
      <c r="E138" s="26">
        <f>data!AG60</f>
        <v>26.750384615384618</v>
      </c>
      <c r="F138" s="26">
        <f>data!AH60</f>
        <v>0</v>
      </c>
      <c r="G138" s="26">
        <f>data!AI60</f>
        <v>23.06653846153846</v>
      </c>
      <c r="H138" s="26">
        <f>data!AJ60</f>
        <v>128.57871794871792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2692681</v>
      </c>
      <c r="D139" s="14">
        <f>data!AF61</f>
        <v>0</v>
      </c>
      <c r="E139" s="14">
        <f>data!AG61</f>
        <v>4482130</v>
      </c>
      <c r="F139" s="14">
        <f>data!AH61</f>
        <v>0</v>
      </c>
      <c r="G139" s="14">
        <f>data!AI61</f>
        <v>3407787</v>
      </c>
      <c r="H139" s="14">
        <f>data!AJ61</f>
        <v>19130395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607680</v>
      </c>
      <c r="D140" s="14">
        <f>data!AF62</f>
        <v>0</v>
      </c>
      <c r="E140" s="14">
        <f>data!AG62</f>
        <v>1011519</v>
      </c>
      <c r="F140" s="14">
        <f>data!AH62</f>
        <v>0</v>
      </c>
      <c r="G140" s="14">
        <f>data!AI62</f>
        <v>769063</v>
      </c>
      <c r="H140" s="14">
        <f>data!AJ62</f>
        <v>4317314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91966</v>
      </c>
      <c r="D141" s="14">
        <f>data!AF63</f>
        <v>0</v>
      </c>
      <c r="E141" s="14">
        <f>data!AG63</f>
        <v>123703</v>
      </c>
      <c r="F141" s="14">
        <f>data!AH63</f>
        <v>0</v>
      </c>
      <c r="G141" s="14">
        <f>data!AI63</f>
        <v>0</v>
      </c>
      <c r="H141" s="14">
        <f>data!AJ63</f>
        <v>1232723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58130</v>
      </c>
      <c r="D142" s="14">
        <f>data!AF64</f>
        <v>0</v>
      </c>
      <c r="E142" s="14">
        <f>data!AG64</f>
        <v>276913</v>
      </c>
      <c r="F142" s="14">
        <f>data!AH64</f>
        <v>0</v>
      </c>
      <c r="G142" s="14">
        <f>data!AI64</f>
        <v>358310</v>
      </c>
      <c r="H142" s="14">
        <f>data!AJ64</f>
        <v>1630887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135607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760</v>
      </c>
      <c r="D144" s="14">
        <f>data!AF66</f>
        <v>0</v>
      </c>
      <c r="E144" s="14">
        <f>data!AG66</f>
        <v>104765</v>
      </c>
      <c r="F144" s="14">
        <f>data!AH66</f>
        <v>0</v>
      </c>
      <c r="G144" s="14">
        <f>data!AI66</f>
        <v>83036</v>
      </c>
      <c r="H144" s="14">
        <f>data!AJ66</f>
        <v>873016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146137</v>
      </c>
      <c r="D145" s="14">
        <f>data!AF67</f>
        <v>0</v>
      </c>
      <c r="E145" s="14">
        <f>data!AG67</f>
        <v>143031</v>
      </c>
      <c r="F145" s="14">
        <f>data!AH67</f>
        <v>0</v>
      </c>
      <c r="G145" s="14">
        <f>data!AI67</f>
        <v>143511</v>
      </c>
      <c r="H145" s="14">
        <f>data!AJ67</f>
        <v>1009418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2172</v>
      </c>
      <c r="F146" s="14">
        <f>data!AH68</f>
        <v>0</v>
      </c>
      <c r="G146" s="14">
        <f>data!AI68</f>
        <v>0</v>
      </c>
      <c r="H146" s="14">
        <f>data!AJ68</f>
        <v>364849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28810</v>
      </c>
      <c r="D147" s="14">
        <f>data!AF69</f>
        <v>0</v>
      </c>
      <c r="E147" s="14">
        <f>data!AG69</f>
        <v>40735</v>
      </c>
      <c r="F147" s="14">
        <f>data!AH69</f>
        <v>0</v>
      </c>
      <c r="G147" s="14">
        <f>data!AI69</f>
        <v>31628</v>
      </c>
      <c r="H147" s="14">
        <f>data!AJ69</f>
        <v>165354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-4295</v>
      </c>
      <c r="H148" s="14">
        <f>-data!AJ70</f>
        <v>-408991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3626164</v>
      </c>
      <c r="D149" s="14">
        <f>data!AF71</f>
        <v>0</v>
      </c>
      <c r="E149" s="14">
        <f>data!AG71</f>
        <v>6184968</v>
      </c>
      <c r="F149" s="14">
        <f>data!AH71</f>
        <v>0</v>
      </c>
      <c r="G149" s="14">
        <f>data!AI71</f>
        <v>4789040</v>
      </c>
      <c r="H149" s="14">
        <f>data!AJ71</f>
        <v>28450572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09"/>
      <c r="D150" s="209"/>
      <c r="E150" s="209"/>
      <c r="F150" s="209"/>
      <c r="G150" s="209"/>
      <c r="H150" s="209"/>
      <c r="I150" s="209"/>
    </row>
    <row r="151" spans="1:9" ht="20.149999999999999" customHeight="1" x14ac:dyDescent="0.35">
      <c r="A151" s="23">
        <v>18</v>
      </c>
      <c r="B151" s="14" t="s">
        <v>1181</v>
      </c>
      <c r="C151" s="342">
        <f>+data!M696</f>
        <v>1048698</v>
      </c>
      <c r="D151" s="342">
        <f>+data!M697</f>
        <v>0</v>
      </c>
      <c r="E151" s="342">
        <f>+data!M698</f>
        <v>2647479</v>
      </c>
      <c r="F151" s="342">
        <f>+data!M699</f>
        <v>0</v>
      </c>
      <c r="G151" s="342">
        <f>+data!M700</f>
        <v>1245481</v>
      </c>
      <c r="H151" s="342">
        <f>+data!M701</f>
        <v>6046180</v>
      </c>
      <c r="I151" s="342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522288</v>
      </c>
      <c r="D152" s="14">
        <f>data!AF73</f>
        <v>0</v>
      </c>
      <c r="E152" s="14">
        <f>data!AG73</f>
        <v>1072142</v>
      </c>
      <c r="F152" s="14">
        <f>data!AH73</f>
        <v>0</v>
      </c>
      <c r="G152" s="14">
        <f>data!AI73</f>
        <v>33936</v>
      </c>
      <c r="H152" s="14">
        <f>data!AJ73</f>
        <v>1574402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7413485</v>
      </c>
      <c r="D153" s="14">
        <f>data!AF74</f>
        <v>0</v>
      </c>
      <c r="E153" s="14">
        <f>data!AG74</f>
        <v>29273848</v>
      </c>
      <c r="F153" s="14">
        <f>data!AH74</f>
        <v>0</v>
      </c>
      <c r="G153" s="14">
        <f>data!AI74</f>
        <v>7814620</v>
      </c>
      <c r="H153" s="14">
        <f>data!AJ74</f>
        <v>36398495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7935773</v>
      </c>
      <c r="D154" s="14">
        <f>data!AF75</f>
        <v>0</v>
      </c>
      <c r="E154" s="14">
        <f>data!AG75</f>
        <v>30345990</v>
      </c>
      <c r="F154" s="14">
        <f>data!AH75</f>
        <v>0</v>
      </c>
      <c r="G154" s="14">
        <f>data!AI75</f>
        <v>7848556</v>
      </c>
      <c r="H154" s="14">
        <f>data!AJ75</f>
        <v>37972897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09"/>
      <c r="D155" s="209"/>
      <c r="E155" s="209"/>
      <c r="F155" s="209"/>
      <c r="G155" s="209"/>
      <c r="H155" s="209"/>
      <c r="I155" s="209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6487.5999999999985</v>
      </c>
      <c r="D156" s="14">
        <f>data!AF76</f>
        <v>0</v>
      </c>
      <c r="E156" s="14">
        <f>data!AG76</f>
        <v>6349.699999999998</v>
      </c>
      <c r="F156" s="14">
        <f>data!AH76</f>
        <v>0</v>
      </c>
      <c r="G156" s="14">
        <f>data!AI76</f>
        <v>6371</v>
      </c>
      <c r="H156" s="14">
        <f>data!AJ76</f>
        <v>44812.021666666667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2880.019640747948</v>
      </c>
      <c r="D158" s="14">
        <f>data!AF78</f>
        <v>0</v>
      </c>
      <c r="E158" s="341">
        <f>data!AG78</f>
        <v>6302.3385536847445</v>
      </c>
      <c r="F158" s="14">
        <f>data!AH78</f>
        <v>0</v>
      </c>
      <c r="G158" s="14">
        <f>data!AI78</f>
        <v>1814.357724342161</v>
      </c>
      <c r="H158" s="14">
        <f>data!AJ78</f>
        <v>5159.4050278365339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29861</v>
      </c>
      <c r="D159" s="14">
        <f>data!AF79</f>
        <v>0</v>
      </c>
      <c r="E159" s="14">
        <f>data!AG79</f>
        <v>56819</v>
      </c>
      <c r="F159" s="14">
        <f>data!AH79</f>
        <v>0</v>
      </c>
      <c r="G159" s="341">
        <f>data!AI79</f>
        <v>32827</v>
      </c>
      <c r="H159" s="341">
        <f>data!AJ79</f>
        <v>50036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13.530028846153824</v>
      </c>
      <c r="F160" s="26">
        <f>data!AH80</f>
        <v>0</v>
      </c>
      <c r="G160" s="26">
        <f>data!AI80</f>
        <v>11.037567307692303</v>
      </c>
      <c r="H160" s="26">
        <f>data!AJ80</f>
        <v>24.392091346153848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7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Jefferson County Public Hospital District No 2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2593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9751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34.968076923076922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3012236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679796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-40000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135613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4650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269649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84182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111607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135247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4392980</v>
      </c>
    </row>
    <row r="182" spans="1:9" ht="20.149999999999999" customHeight="1" x14ac:dyDescent="0.35">
      <c r="A182" s="23">
        <v>17</v>
      </c>
      <c r="B182" s="14" t="s">
        <v>244</v>
      </c>
      <c r="C182" s="209"/>
      <c r="D182" s="209"/>
      <c r="E182" s="209"/>
      <c r="F182" s="209"/>
      <c r="G182" s="209"/>
      <c r="H182" s="209"/>
      <c r="I182" s="209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1043556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6399431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6399431</v>
      </c>
    </row>
    <row r="187" spans="1:9" ht="20.149999999999999" customHeight="1" x14ac:dyDescent="0.35">
      <c r="A187" s="23" t="s">
        <v>1185</v>
      </c>
      <c r="B187" s="60"/>
      <c r="C187" s="209"/>
      <c r="D187" s="209"/>
      <c r="E187" s="209"/>
      <c r="F187" s="209"/>
      <c r="G187" s="209"/>
      <c r="H187" s="209"/>
      <c r="I187" s="209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3737.1666666666661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343">
        <f>data!AR80</f>
        <v>13.744812500000023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7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Jefferson County Public Hospital District No 2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0"/>
      <c r="G200" s="210"/>
      <c r="H200" s="210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0"/>
      <c r="G201" s="210"/>
      <c r="H201" s="210"/>
      <c r="I201" s="14">
        <f>data!AY59</f>
        <v>12819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17.632653846153843</v>
      </c>
      <c r="G202" s="26">
        <f>data!AW60</f>
        <v>0</v>
      </c>
      <c r="H202" s="26">
        <f>data!AX60</f>
        <v>0</v>
      </c>
      <c r="I202" s="26">
        <f>data!AY60</f>
        <v>16.066923076923082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1546456</v>
      </c>
      <c r="G203" s="14">
        <f>data!AW61</f>
        <v>0</v>
      </c>
      <c r="H203" s="14">
        <f>data!AX61</f>
        <v>0</v>
      </c>
      <c r="I203" s="14">
        <f>data!AY61</f>
        <v>784265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349001</v>
      </c>
      <c r="G204" s="14">
        <f>data!AW62</f>
        <v>0</v>
      </c>
      <c r="H204" s="14">
        <f>data!AX62</f>
        <v>0</v>
      </c>
      <c r="I204" s="14">
        <f>data!AY62</f>
        <v>176992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337523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82235</v>
      </c>
      <c r="G206" s="14">
        <f>data!AW64</f>
        <v>0</v>
      </c>
      <c r="H206" s="14">
        <f>data!AX64</f>
        <v>0</v>
      </c>
      <c r="I206" s="14">
        <f>data!AY64</f>
        <v>348048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35</v>
      </c>
      <c r="G207" s="14">
        <f>data!AW65</f>
        <v>0</v>
      </c>
      <c r="H207" s="14">
        <f>data!AX65</f>
        <v>0</v>
      </c>
      <c r="I207" s="14">
        <f>data!AY65</f>
        <v>309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4456</v>
      </c>
      <c r="G208" s="14">
        <f>data!AW66</f>
        <v>0</v>
      </c>
      <c r="H208" s="14">
        <f>data!AX66</f>
        <v>0</v>
      </c>
      <c r="I208" s="14">
        <f>data!AY66</f>
        <v>24247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104296</v>
      </c>
      <c r="G209" s="14">
        <f>data!AW67</f>
        <v>0</v>
      </c>
      <c r="H209" s="14">
        <f>data!AX67</f>
        <v>0</v>
      </c>
      <c r="I209" s="14">
        <f>data!AY67</f>
        <v>87589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1652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18952</v>
      </c>
      <c r="G211" s="14">
        <f>data!AW69</f>
        <v>0</v>
      </c>
      <c r="H211" s="14">
        <f>data!AX69</f>
        <v>0</v>
      </c>
      <c r="I211" s="14">
        <f>data!AY69</f>
        <v>6522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-24282</v>
      </c>
      <c r="G212" s="14">
        <f>-data!AW70</f>
        <v>0</v>
      </c>
      <c r="H212" s="14">
        <f>-data!AX70</f>
        <v>0</v>
      </c>
      <c r="I212" s="341">
        <f>-data!AY70</f>
        <v>-600075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2418672</v>
      </c>
      <c r="G213" s="14">
        <f>data!AW71</f>
        <v>0</v>
      </c>
      <c r="H213" s="14">
        <f>data!AX71</f>
        <v>0</v>
      </c>
      <c r="I213" s="341">
        <f>data!AY71</f>
        <v>829549</v>
      </c>
    </row>
    <row r="214" spans="1:9" ht="20.149999999999999" customHeight="1" x14ac:dyDescent="0.35">
      <c r="A214" s="23">
        <v>17</v>
      </c>
      <c r="B214" s="14" t="s">
        <v>244</v>
      </c>
      <c r="C214" s="209"/>
      <c r="D214" s="209"/>
      <c r="E214" s="209"/>
      <c r="F214" s="209"/>
      <c r="G214" s="209"/>
      <c r="H214" s="209"/>
      <c r="I214" s="209"/>
    </row>
    <row r="215" spans="1:9" ht="20.149999999999999" customHeight="1" x14ac:dyDescent="0.35">
      <c r="A215" s="23">
        <v>18</v>
      </c>
      <c r="B215" s="14" t="s">
        <v>1181</v>
      </c>
      <c r="C215" s="342">
        <f>+data!M710</f>
        <v>0</v>
      </c>
      <c r="D215" s="342">
        <f>+data!M711</f>
        <v>0</v>
      </c>
      <c r="E215" s="342">
        <f>+data!M712</f>
        <v>0</v>
      </c>
      <c r="F215" s="342">
        <f>+data!M713</f>
        <v>911284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419573</v>
      </c>
      <c r="G216" s="211" t="str">
        <f>IF(data!AW73&gt;0,data!AW73,"")</f>
        <v>x</v>
      </c>
      <c r="H216" s="211" t="str">
        <f>IF(data!AX73&gt;0,data!AX73,"")</f>
        <v>x</v>
      </c>
      <c r="I216" s="211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8363997</v>
      </c>
      <c r="G217" s="211" t="str">
        <f>IF(data!AW74&gt;0,data!AW74,"")</f>
        <v>x</v>
      </c>
      <c r="H217" s="211" t="str">
        <f>IF(data!AX74&gt;0,data!AX74,"")</f>
        <v>x</v>
      </c>
      <c r="I217" s="211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8783570</v>
      </c>
      <c r="G218" s="211" t="str">
        <f>IF(data!AW75&gt;0,data!AW75,"")</f>
        <v>x</v>
      </c>
      <c r="H218" s="211" t="str">
        <f>IF(data!AX75&gt;0,data!AX75,"")</f>
        <v>x</v>
      </c>
      <c r="I218" s="211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09"/>
      <c r="D219" s="209"/>
      <c r="E219" s="209"/>
      <c r="F219" s="209"/>
      <c r="G219" s="209"/>
      <c r="H219" s="209"/>
      <c r="I219" s="209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4630.09</v>
      </c>
      <c r="G220" s="14">
        <f>data!AW76</f>
        <v>0</v>
      </c>
      <c r="H220" s="14">
        <f>data!AX76</f>
        <v>0</v>
      </c>
      <c r="I220" s="85">
        <f>data!AY76</f>
        <v>3888.416666666667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1" t="str">
        <f>IF(data!AX77&gt;0,data!AX77,"")</f>
        <v>x</v>
      </c>
      <c r="I221" s="211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1689.9351821643118</v>
      </c>
      <c r="G222" s="14">
        <f>data!AW78</f>
        <v>0</v>
      </c>
      <c r="H222" s="211" t="str">
        <f>IF(data!AX78&gt;0,data!AX78,"")</f>
        <v>x</v>
      </c>
      <c r="I222" s="211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341">
        <f>data!AV79</f>
        <v>32331</v>
      </c>
      <c r="G223" s="14">
        <f>data!AW79</f>
        <v>0</v>
      </c>
      <c r="H223" s="211" t="str">
        <f>IF(data!AX79&gt;0,data!AX79,"")</f>
        <v>x</v>
      </c>
      <c r="I223" s="211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3.8883990384615372</v>
      </c>
      <c r="G224" s="211" t="str">
        <f>IF(data!AW80&gt;0,data!AW80,"")</f>
        <v>x</v>
      </c>
      <c r="H224" s="211" t="str">
        <f>IF(data!AX80&gt;0,data!AX80,"")</f>
        <v>x</v>
      </c>
      <c r="I224" s="211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7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Jefferson County Public Hospital District No 2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0"/>
      <c r="F232" s="210"/>
      <c r="G232" s="210"/>
      <c r="H232" s="15" t="s">
        <v>232</v>
      </c>
      <c r="I232" s="210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0"/>
      <c r="F233" s="210"/>
      <c r="G233" s="210"/>
      <c r="H233" s="341">
        <f>data!BE59</f>
        <v>211271</v>
      </c>
      <c r="I233" s="210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7.8992307692307691</v>
      </c>
      <c r="H234" s="26">
        <f>data!BE60</f>
        <v>17.261153846153849</v>
      </c>
      <c r="I234" s="26">
        <f>data!BF60</f>
        <v>23.281153846153849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490643</v>
      </c>
      <c r="H235" s="14">
        <f>data!BE61</f>
        <v>1186674</v>
      </c>
      <c r="I235" s="14">
        <f>data!BF61</f>
        <v>999364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110727</v>
      </c>
      <c r="H236" s="14">
        <f>data!BE62</f>
        <v>267807</v>
      </c>
      <c r="I236" s="14">
        <f>data!BF62</f>
        <v>225535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3303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34743</v>
      </c>
      <c r="E238" s="14">
        <f>data!BB64</f>
        <v>0</v>
      </c>
      <c r="F238" s="14">
        <f>data!BC64</f>
        <v>0</v>
      </c>
      <c r="G238" s="14">
        <f>data!BD64</f>
        <v>66954</v>
      </c>
      <c r="H238" s="14">
        <f>data!BE64</f>
        <v>193629</v>
      </c>
      <c r="I238" s="14">
        <f>data!BF64</f>
        <v>191368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2658</v>
      </c>
      <c r="H239" s="14">
        <f>data!BE65</f>
        <v>750653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281372</v>
      </c>
      <c r="E240" s="14">
        <f>data!BB66</f>
        <v>0</v>
      </c>
      <c r="F240" s="14">
        <f>data!BC66</f>
        <v>0</v>
      </c>
      <c r="G240" s="14">
        <f>data!BD66</f>
        <v>453</v>
      </c>
      <c r="H240" s="14">
        <f>data!BE66</f>
        <v>320634</v>
      </c>
      <c r="I240" s="14">
        <f>data!BF66</f>
        <v>32086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1743</v>
      </c>
      <c r="F241" s="14">
        <f>data!BC67</f>
        <v>0</v>
      </c>
      <c r="G241" s="14">
        <f>data!BD67</f>
        <v>54845</v>
      </c>
      <c r="H241" s="341">
        <f>data!BE67</f>
        <v>269687</v>
      </c>
      <c r="I241" s="14">
        <f>data!BF67</f>
        <v>70259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38731</v>
      </c>
      <c r="H242" s="14">
        <f>data!BE68</f>
        <v>21269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42311</v>
      </c>
      <c r="H243" s="14">
        <f>data!BE69</f>
        <v>143695</v>
      </c>
      <c r="I243" s="14">
        <f>data!BF69</f>
        <v>2478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316115</v>
      </c>
      <c r="E245" s="14">
        <f>data!BB71</f>
        <v>1743</v>
      </c>
      <c r="F245" s="14">
        <f>data!BC71</f>
        <v>0</v>
      </c>
      <c r="G245" s="14">
        <f>data!BD71</f>
        <v>807322</v>
      </c>
      <c r="H245" s="14">
        <f>data!BE71</f>
        <v>3157351</v>
      </c>
      <c r="I245" s="14">
        <f>data!BF71</f>
        <v>1521090</v>
      </c>
    </row>
    <row r="246" spans="1:9" ht="20.149999999999999" customHeight="1" x14ac:dyDescent="0.35">
      <c r="A246" s="23">
        <v>17</v>
      </c>
      <c r="B246" s="14" t="s">
        <v>244</v>
      </c>
      <c r="C246" s="209"/>
      <c r="D246" s="209"/>
      <c r="E246" s="209"/>
      <c r="F246" s="209"/>
      <c r="G246" s="209"/>
      <c r="H246" s="209"/>
      <c r="I246" s="209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1" t="str">
        <f>IF(data!AZ73&gt;0,data!AZ73,"")</f>
        <v>x</v>
      </c>
      <c r="D248" s="211" t="str">
        <f>IF(data!BA73&gt;0,data!BA73,"")</f>
        <v>x</v>
      </c>
      <c r="E248" s="211" t="str">
        <f>IF(data!BB73&gt;0,data!BB73,"")</f>
        <v>x</v>
      </c>
      <c r="F248" s="211" t="str">
        <f>IF(data!BC73&gt;0,data!BC73,"")</f>
        <v>x</v>
      </c>
      <c r="G248" s="211" t="str">
        <f>IF(data!BD73&gt;0,data!BD73,"")</f>
        <v>x</v>
      </c>
      <c r="H248" s="211" t="str">
        <f>IF(data!BE73&gt;0,data!BE73,"")</f>
        <v>x</v>
      </c>
      <c r="I248" s="211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1" t="str">
        <f>IF(data!AZ74&gt;0,data!AZ74,"")</f>
        <v>x</v>
      </c>
      <c r="D249" s="211" t="str">
        <f>IF(data!BA74&gt;0,data!BA74,"")</f>
        <v>x</v>
      </c>
      <c r="E249" s="211" t="str">
        <f>IF(data!BB74&gt;0,data!BB74,"")</f>
        <v>x</v>
      </c>
      <c r="F249" s="211" t="str">
        <f>IF(data!BC74&gt;0,data!BC74,"")</f>
        <v>x</v>
      </c>
      <c r="G249" s="211" t="str">
        <f>IF(data!BD74&gt;0,data!BD74,"")</f>
        <v>x</v>
      </c>
      <c r="H249" s="211" t="str">
        <f>IF(data!BE74&gt;0,data!BE74,"")</f>
        <v>x</v>
      </c>
      <c r="I249" s="211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1" t="str">
        <f>IF(data!AZ75&gt;0,data!AZ75,"")</f>
        <v>x</v>
      </c>
      <c r="D250" s="211" t="str">
        <f>IF(data!BA75&gt;0,data!BA75,"")</f>
        <v>x</v>
      </c>
      <c r="E250" s="211" t="str">
        <f>IF(data!BB75&gt;0,data!BB75,"")</f>
        <v>x</v>
      </c>
      <c r="F250" s="211" t="str">
        <f>IF(data!BC75&gt;0,data!BC75,"")</f>
        <v>x</v>
      </c>
      <c r="G250" s="211" t="str">
        <f>IF(data!BD75&gt;0,data!BD75,"")</f>
        <v>x</v>
      </c>
      <c r="H250" s="211" t="str">
        <f>IF(data!BE75&gt;0,data!BE75,"")</f>
        <v>x</v>
      </c>
      <c r="I250" s="211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09"/>
      <c r="D251" s="209"/>
      <c r="E251" s="209"/>
      <c r="F251" s="209"/>
      <c r="G251" s="209"/>
      <c r="H251" s="209"/>
      <c r="I251" s="209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77.40000000000002</v>
      </c>
      <c r="F252" s="85">
        <f>data!BC76</f>
        <v>0</v>
      </c>
      <c r="G252" s="85">
        <f>data!BD76</f>
        <v>2434.8000000000002</v>
      </c>
      <c r="H252" s="85">
        <f>data!BE76</f>
        <v>11972.476666666667</v>
      </c>
      <c r="I252" s="85">
        <f>data!BF76</f>
        <v>3119.0916666666676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1" t="str">
        <f>IF(data!BD77&gt;0,data!BD77,"")</f>
        <v>x</v>
      </c>
      <c r="H253" s="211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1" t="str">
        <f>IF(data!AZ78&gt;0,data!AZ78,"")</f>
        <v>x</v>
      </c>
      <c r="D254" s="344">
        <f>data!BA78</f>
        <v>2419.058904814282</v>
      </c>
      <c r="E254" s="85">
        <f>data!BB78</f>
        <v>0</v>
      </c>
      <c r="F254" s="85">
        <f>data!BC78</f>
        <v>0</v>
      </c>
      <c r="G254" s="211" t="str">
        <f>IF(data!BD78&gt;0,data!BD78,"")</f>
        <v>x</v>
      </c>
      <c r="H254" s="211" t="str">
        <f>IF(data!BE78&gt;0,data!BE78,"")</f>
        <v>x</v>
      </c>
      <c r="I254" s="211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1" t="str">
        <f>IF(data!AZ79&gt;0,data!AZ79,"")</f>
        <v>x</v>
      </c>
      <c r="D255" s="211" t="str">
        <f>IF(data!BA79&gt;0,data!BA79,"")</f>
        <v>x</v>
      </c>
      <c r="E255" s="85">
        <f>data!BB79</f>
        <v>0</v>
      </c>
      <c r="F255" s="85">
        <f>data!BC79</f>
        <v>0</v>
      </c>
      <c r="G255" s="211" t="str">
        <f>IF(data!BD79&gt;0,data!BD79,"")</f>
        <v>x</v>
      </c>
      <c r="H255" s="211" t="str">
        <f>IF(data!BE79&gt;0,data!BE79,"")</f>
        <v>x</v>
      </c>
      <c r="I255" s="211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1" t="str">
        <f>IF(data!AZ80&gt;0,data!AZ80,"")</f>
        <v>x</v>
      </c>
      <c r="D256" s="211" t="str">
        <f>IF(data!BA80&gt;0,data!BA80,"")</f>
        <v>x</v>
      </c>
      <c r="E256" s="211" t="str">
        <f>IF(data!BB80&gt;0,data!BB80,"")</f>
        <v>x</v>
      </c>
      <c r="F256" s="211" t="str">
        <f>IF(data!BC80&gt;0,data!BC80,"")</f>
        <v>x</v>
      </c>
      <c r="G256" s="211" t="str">
        <f>IF(data!BD80&gt;0,data!BD80,"")</f>
        <v>x</v>
      </c>
      <c r="H256" s="211" t="str">
        <f>IF(data!BE80&gt;0,data!BE80,"")</f>
        <v>x</v>
      </c>
      <c r="I256" s="211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7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Jefferson County Public Hospital District No 2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0"/>
      <c r="D264" s="210"/>
      <c r="E264" s="210"/>
      <c r="F264" s="210"/>
      <c r="G264" s="210"/>
      <c r="H264" s="210"/>
      <c r="I264" s="210"/>
    </row>
    <row r="265" spans="1:9" ht="20.149999999999999" customHeight="1" x14ac:dyDescent="0.35">
      <c r="A265" s="23">
        <v>4</v>
      </c>
      <c r="B265" s="14" t="s">
        <v>233</v>
      </c>
      <c r="C265" s="210"/>
      <c r="D265" s="210"/>
      <c r="E265" s="210"/>
      <c r="F265" s="210"/>
      <c r="G265" s="210"/>
      <c r="H265" s="210"/>
      <c r="I265" s="210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16.456153846153839</v>
      </c>
      <c r="E266" s="26">
        <f>data!BI60</f>
        <v>0</v>
      </c>
      <c r="F266" s="26">
        <f>data!BJ60</f>
        <v>6.5176923076923092</v>
      </c>
      <c r="G266" s="26">
        <f>data!BK60</f>
        <v>14.024999999999999</v>
      </c>
      <c r="H266" s="26">
        <f>data!BL60</f>
        <v>14.133461538461539</v>
      </c>
      <c r="I266" s="26">
        <f>data!BM60</f>
        <v>4.6496153846153856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1453492</v>
      </c>
      <c r="E267" s="14">
        <f>data!BI61</f>
        <v>0</v>
      </c>
      <c r="F267" s="14">
        <f>data!BJ61</f>
        <v>726309</v>
      </c>
      <c r="G267" s="14">
        <f>data!BK61</f>
        <v>921558</v>
      </c>
      <c r="H267" s="14">
        <f>data!BL61</f>
        <v>657098</v>
      </c>
      <c r="I267" s="14">
        <f>data!BM61</f>
        <v>310547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328022</v>
      </c>
      <c r="E268" s="14">
        <f>data!BI62</f>
        <v>0</v>
      </c>
      <c r="F268" s="14">
        <f>data!BJ62</f>
        <v>163912</v>
      </c>
      <c r="G268" s="14">
        <f>data!BK62</f>
        <v>207976</v>
      </c>
      <c r="H268" s="14">
        <f>data!BL62</f>
        <v>148293</v>
      </c>
      <c r="I268" s="14">
        <f>data!BM62</f>
        <v>70084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104853</v>
      </c>
      <c r="G269" s="14">
        <f>data!BK63</f>
        <v>14223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42791</v>
      </c>
      <c r="D270" s="14">
        <f>data!BH64</f>
        <v>618718</v>
      </c>
      <c r="E270" s="14">
        <f>data!BI64</f>
        <v>0</v>
      </c>
      <c r="F270" s="14">
        <f>data!BJ64</f>
        <v>8332</v>
      </c>
      <c r="G270" s="14">
        <f>data!BK64</f>
        <v>12471</v>
      </c>
      <c r="H270" s="14">
        <f>data!BL64</f>
        <v>15478</v>
      </c>
      <c r="I270" s="14">
        <f>data!BM64</f>
        <v>3652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255798</v>
      </c>
      <c r="D271" s="14">
        <f>data!BH65</f>
        <v>772</v>
      </c>
      <c r="E271" s="14">
        <f>data!BI65</f>
        <v>0</v>
      </c>
      <c r="F271" s="14">
        <f>data!BJ65</f>
        <v>417</v>
      </c>
      <c r="G271" s="14">
        <f>data!BK65</f>
        <v>5158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-12067</v>
      </c>
      <c r="D272" s="14">
        <f>data!BH66</f>
        <v>1681661</v>
      </c>
      <c r="E272" s="14">
        <f>data!BI66</f>
        <v>0</v>
      </c>
      <c r="F272" s="14">
        <f>data!BJ66</f>
        <v>70881</v>
      </c>
      <c r="G272" s="14">
        <f>data!BK66</f>
        <v>488393</v>
      </c>
      <c r="H272" s="14">
        <f>data!BL66</f>
        <v>25277</v>
      </c>
      <c r="I272" s="14">
        <f>data!BM66</f>
        <v>32486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93774</v>
      </c>
      <c r="E273" s="14">
        <f>data!BI67</f>
        <v>0</v>
      </c>
      <c r="F273" s="14">
        <f>data!BJ67</f>
        <v>24414</v>
      </c>
      <c r="G273" s="14">
        <f>data!BK67</f>
        <v>85518</v>
      </c>
      <c r="H273" s="14">
        <f>data!BL67</f>
        <v>44623</v>
      </c>
      <c r="I273" s="14">
        <f>data!BM67</f>
        <v>8244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2923</v>
      </c>
      <c r="G274" s="14">
        <f>data!BK68</f>
        <v>20929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23004</v>
      </c>
      <c r="D275" s="14">
        <f>data!BH69</f>
        <v>288736</v>
      </c>
      <c r="E275" s="14">
        <f>data!BI69</f>
        <v>0</v>
      </c>
      <c r="F275" s="14">
        <f>data!BJ69</f>
        <v>120967</v>
      </c>
      <c r="G275" s="14">
        <f>data!BK69</f>
        <v>1897</v>
      </c>
      <c r="H275" s="14">
        <f>data!BL69</f>
        <v>506</v>
      </c>
      <c r="I275" s="14">
        <f>data!BM69</f>
        <v>5466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309526</v>
      </c>
      <c r="D277" s="14">
        <f>data!BH71</f>
        <v>4465175</v>
      </c>
      <c r="E277" s="14">
        <f>data!BI71</f>
        <v>0</v>
      </c>
      <c r="F277" s="14">
        <f>data!BJ71</f>
        <v>1223008</v>
      </c>
      <c r="G277" s="14">
        <f>data!BK71</f>
        <v>1758123</v>
      </c>
      <c r="H277" s="14">
        <f>data!BL71</f>
        <v>891275</v>
      </c>
      <c r="I277" s="14">
        <f>data!BM71</f>
        <v>430479</v>
      </c>
    </row>
    <row r="278" spans="1:9" ht="20.149999999999999" customHeight="1" x14ac:dyDescent="0.35">
      <c r="A278" s="23">
        <v>17</v>
      </c>
      <c r="B278" s="14" t="s">
        <v>244</v>
      </c>
      <c r="C278" s="209"/>
      <c r="D278" s="209"/>
      <c r="E278" s="209"/>
      <c r="F278" s="209"/>
      <c r="G278" s="209"/>
      <c r="H278" s="209"/>
      <c r="I278" s="209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1" t="str">
        <f>IF(data!BG73&gt;0,data!BG73,"")</f>
        <v>x</v>
      </c>
      <c r="D280" s="211" t="str">
        <f>IF(data!BH73&gt;0,data!BH73,"")</f>
        <v>x</v>
      </c>
      <c r="E280" s="211" t="str">
        <f>IF(data!BI73&gt;0,data!BI73,"")</f>
        <v>x</v>
      </c>
      <c r="F280" s="211" t="str">
        <f>IF(data!BJ73&gt;0,data!BJ73,"")</f>
        <v>x</v>
      </c>
      <c r="G280" s="211" t="str">
        <f>IF(data!BK73&gt;0,data!BK73,"")</f>
        <v>x</v>
      </c>
      <c r="H280" s="211" t="str">
        <f>IF(data!BL73&gt;0,data!BL73,"")</f>
        <v>x</v>
      </c>
      <c r="I280" s="211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1" t="str">
        <f>IF(data!BG74&gt;0,data!BG74,"")</f>
        <v>x</v>
      </c>
      <c r="D281" s="211" t="str">
        <f>IF(data!BH74&gt;0,data!BH74,"")</f>
        <v>x</v>
      </c>
      <c r="E281" s="211" t="str">
        <f>IF(data!BI74&gt;0,data!BI74,"")</f>
        <v>x</v>
      </c>
      <c r="F281" s="211" t="str">
        <f>IF(data!BJ74&gt;0,data!BJ74,"")</f>
        <v>x</v>
      </c>
      <c r="G281" s="211" t="str">
        <f>IF(data!BK74&gt;0,data!BK74,"")</f>
        <v>x</v>
      </c>
      <c r="H281" s="211" t="str">
        <f>IF(data!BL74&gt;0,data!BL74,"")</f>
        <v>x</v>
      </c>
      <c r="I281" s="211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1" t="str">
        <f>IF(data!BG75&gt;0,data!BG75,"")</f>
        <v>x</v>
      </c>
      <c r="D282" s="211" t="str">
        <f>IF(data!BH75&gt;0,data!BH75,"")</f>
        <v>x</v>
      </c>
      <c r="E282" s="211" t="str">
        <f>IF(data!BI75&gt;0,data!BI75,"")</f>
        <v>x</v>
      </c>
      <c r="F282" s="211" t="str">
        <f>IF(data!BJ75&gt;0,data!BJ75,"")</f>
        <v>x</v>
      </c>
      <c r="G282" s="211" t="str">
        <f>IF(data!BK75&gt;0,data!BK75,"")</f>
        <v>x</v>
      </c>
      <c r="H282" s="211" t="str">
        <f>IF(data!BL75&gt;0,data!BL75,"")</f>
        <v>x</v>
      </c>
      <c r="I282" s="211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3"/>
      <c r="D283" s="213"/>
      <c r="E283" s="213"/>
      <c r="F283" s="213"/>
      <c r="G283" s="213"/>
      <c r="H283" s="213"/>
      <c r="I283" s="213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4162.9816666666666</v>
      </c>
      <c r="E284" s="85">
        <f>data!BI76</f>
        <v>0</v>
      </c>
      <c r="F284" s="85">
        <f>data!BJ76</f>
        <v>1083.8483333333334</v>
      </c>
      <c r="G284" s="85">
        <f>data!BK76</f>
        <v>3796.5</v>
      </c>
      <c r="H284" s="85">
        <f>data!BL76</f>
        <v>1980.9999999999993</v>
      </c>
      <c r="I284" s="85">
        <f>data!BM76</f>
        <v>366</v>
      </c>
    </row>
    <row r="285" spans="1:9" ht="20.149999999999999" customHeight="1" x14ac:dyDescent="0.35">
      <c r="A285" s="23">
        <v>23</v>
      </c>
      <c r="B285" s="14" t="s">
        <v>1187</v>
      </c>
      <c r="C285" s="211" t="str">
        <f>IF(data!BG77&gt;0,data!BG77,"")</f>
        <v>x</v>
      </c>
      <c r="D285" s="85">
        <f>data!BH77</f>
        <v>0</v>
      </c>
      <c r="E285" s="85">
        <f>data!BI77</f>
        <v>0</v>
      </c>
      <c r="F285" s="211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1" t="str">
        <f>IF(data!BG78&gt;0,data!BG78,"")</f>
        <v>x</v>
      </c>
      <c r="D286" s="85">
        <f>data!BH78</f>
        <v>0</v>
      </c>
      <c r="E286" s="85">
        <f>data!BI78</f>
        <v>0</v>
      </c>
      <c r="F286" s="211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1" t="str">
        <f>IF(data!BG79&gt;0,data!BG79,"")</f>
        <v>x</v>
      </c>
      <c r="D287" s="85">
        <f>data!BH79</f>
        <v>0</v>
      </c>
      <c r="E287" s="344">
        <f>data!BI79</f>
        <v>82283</v>
      </c>
      <c r="F287" s="211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1" t="str">
        <f>IF(data!BG80&gt;0,data!BG80,"")</f>
        <v>x</v>
      </c>
      <c r="D288" s="211" t="str">
        <f>IF(data!BH80&gt;0,data!BH80,"")</f>
        <v>x</v>
      </c>
      <c r="E288" s="211" t="str">
        <f>IF(data!BI80&gt;0,data!BI80,"")</f>
        <v>x</v>
      </c>
      <c r="F288" s="211" t="str">
        <f>IF(data!BJ80&gt;0,data!BJ80,"")</f>
        <v>x</v>
      </c>
      <c r="G288" s="211" t="str">
        <f>IF(data!BK80&gt;0,data!BK80,"")</f>
        <v>x</v>
      </c>
      <c r="H288" s="211" t="str">
        <f>IF(data!BL80&gt;0,data!BL80,"")</f>
        <v>x</v>
      </c>
      <c r="I288" s="211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7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Jefferson County Public Hospital District No 2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0"/>
      <c r="D296" s="210"/>
      <c r="E296" s="210"/>
      <c r="F296" s="210"/>
      <c r="G296" s="210"/>
      <c r="H296" s="210"/>
      <c r="I296" s="210"/>
    </row>
    <row r="297" spans="1:9" ht="20.149999999999999" customHeight="1" x14ac:dyDescent="0.35">
      <c r="A297" s="23">
        <v>4</v>
      </c>
      <c r="B297" s="14" t="s">
        <v>233</v>
      </c>
      <c r="C297" s="210"/>
      <c r="D297" s="210"/>
      <c r="E297" s="210"/>
      <c r="F297" s="210"/>
      <c r="G297" s="210"/>
      <c r="H297" s="210"/>
      <c r="I297" s="210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20.474615384615383</v>
      </c>
      <c r="D298" s="26">
        <f>data!BO60</f>
        <v>0.41192307692307684</v>
      </c>
      <c r="E298" s="26">
        <f>data!BP60</f>
        <v>1</v>
      </c>
      <c r="F298" s="26">
        <f>data!BQ60</f>
        <v>0</v>
      </c>
      <c r="G298" s="26">
        <f>data!BR60</f>
        <v>8.5219230769230769</v>
      </c>
      <c r="H298" s="26">
        <f>data!BS60</f>
        <v>0.75269230769230744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2086880</v>
      </c>
      <c r="D299" s="14">
        <f>data!BO61</f>
        <v>35241</v>
      </c>
      <c r="E299" s="14">
        <f>data!BP61</f>
        <v>100207</v>
      </c>
      <c r="F299" s="14">
        <f>data!BQ61</f>
        <v>0</v>
      </c>
      <c r="G299" s="14">
        <f>data!BR61</f>
        <v>818831</v>
      </c>
      <c r="H299" s="14">
        <f>data!BS61</f>
        <v>82931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470963</v>
      </c>
      <c r="D300" s="14">
        <f>data!BO62</f>
        <v>7953</v>
      </c>
      <c r="E300" s="14">
        <f>data!BP62</f>
        <v>22615</v>
      </c>
      <c r="F300" s="14">
        <f>data!BQ62</f>
        <v>0</v>
      </c>
      <c r="G300" s="14">
        <f>data!BR62</f>
        <v>184792</v>
      </c>
      <c r="H300" s="14">
        <f>data!BS62</f>
        <v>18716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79651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24175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943179</v>
      </c>
      <c r="D302" s="14">
        <f>data!BO64</f>
        <v>36929</v>
      </c>
      <c r="E302" s="14">
        <f>data!BP64</f>
        <v>4997</v>
      </c>
      <c r="F302" s="14">
        <f>data!BQ64</f>
        <v>0</v>
      </c>
      <c r="G302" s="14">
        <f>data!BR64</f>
        <v>14552</v>
      </c>
      <c r="H302" s="14">
        <f>data!BS64</f>
        <v>1612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5622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4247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101993</v>
      </c>
      <c r="D304" s="14">
        <f>data!BO66</f>
        <v>4908</v>
      </c>
      <c r="E304" s="14">
        <f>data!BP66</f>
        <v>87607</v>
      </c>
      <c r="F304" s="14">
        <f>data!BQ66</f>
        <v>0</v>
      </c>
      <c r="G304" s="14">
        <f>data!BR66</f>
        <v>48099</v>
      </c>
      <c r="H304" s="14">
        <f>data!BS66</f>
        <v>44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253766</v>
      </c>
      <c r="D305" s="14">
        <f>data!BO67</f>
        <v>5474</v>
      </c>
      <c r="E305" s="14">
        <f>data!BP67</f>
        <v>6508</v>
      </c>
      <c r="F305" s="14">
        <f>data!BQ67</f>
        <v>0</v>
      </c>
      <c r="G305" s="14">
        <f>data!BR67</f>
        <v>36014</v>
      </c>
      <c r="H305" s="14">
        <f>data!BS67</f>
        <v>11979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106037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93130</v>
      </c>
      <c r="D307" s="14">
        <f>data!BO69</f>
        <v>357</v>
      </c>
      <c r="E307" s="14">
        <f>data!BP69</f>
        <v>141201</v>
      </c>
      <c r="F307" s="14">
        <f>data!BQ69</f>
        <v>0</v>
      </c>
      <c r="G307" s="14">
        <f>data!BR69</f>
        <v>114898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4141221</v>
      </c>
      <c r="D309" s="14">
        <f>data!BO71</f>
        <v>90862</v>
      </c>
      <c r="E309" s="14">
        <f>data!BP71</f>
        <v>363135</v>
      </c>
      <c r="F309" s="14">
        <f>data!BQ71</f>
        <v>0</v>
      </c>
      <c r="G309" s="14">
        <f>data!BR71</f>
        <v>1245608</v>
      </c>
      <c r="H309" s="14">
        <f>data!BS71</f>
        <v>115282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09"/>
      <c r="D310" s="209"/>
      <c r="E310" s="209"/>
      <c r="F310" s="209"/>
      <c r="G310" s="209"/>
      <c r="H310" s="209"/>
      <c r="I310" s="209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1" t="str">
        <f>IF(data!BN73&gt;0,data!BN73,"")</f>
        <v>x</v>
      </c>
      <c r="D312" s="211" t="str">
        <f>IF(data!BO73&gt;0,data!BO73,"")</f>
        <v>x</v>
      </c>
      <c r="E312" s="211" t="str">
        <f>IF(data!BP73&gt;0,data!BP73,"")</f>
        <v>x</v>
      </c>
      <c r="F312" s="211" t="str">
        <f>IF(data!BQ73&gt;0,data!BQ73,"")</f>
        <v>x</v>
      </c>
      <c r="G312" s="211" t="str">
        <f>IF(data!BR73&gt;0,data!BR73,"")</f>
        <v>x</v>
      </c>
      <c r="H312" s="211" t="str">
        <f>IF(data!BS73&gt;0,data!BS73,"")</f>
        <v>x</v>
      </c>
      <c r="I312" s="211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1" t="str">
        <f>IF(data!BN74&gt;0,data!BN74,"")</f>
        <v>x</v>
      </c>
      <c r="D313" s="211" t="str">
        <f>IF(data!BO74&gt;0,data!BO74,"")</f>
        <v>x</v>
      </c>
      <c r="E313" s="211" t="str">
        <f>IF(data!BP74&gt;0,data!BP74,"")</f>
        <v>x</v>
      </c>
      <c r="F313" s="211" t="str">
        <f>IF(data!BQ74&gt;0,data!BQ74,"")</f>
        <v>x</v>
      </c>
      <c r="G313" s="211" t="str">
        <f>IF(data!BR74&gt;0,data!BR74,"")</f>
        <v>x</v>
      </c>
      <c r="H313" s="211" t="str">
        <f>IF(data!BS74&gt;0,data!BS74,"")</f>
        <v>x</v>
      </c>
      <c r="I313" s="211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1" t="str">
        <f>IF(data!BN75&gt;0,data!BN75,"")</f>
        <v>x</v>
      </c>
      <c r="D314" s="211" t="str">
        <f>IF(data!BO75&gt;0,data!BO75,"")</f>
        <v>x</v>
      </c>
      <c r="E314" s="211" t="str">
        <f>IF(data!BP75&gt;0,data!BP75,"")</f>
        <v>x</v>
      </c>
      <c r="F314" s="211" t="str">
        <f>IF(data!BQ75&gt;0,data!BQ75,"")</f>
        <v>x</v>
      </c>
      <c r="G314" s="211" t="str">
        <f>IF(data!BR75&gt;0,data!BR75,"")</f>
        <v>x</v>
      </c>
      <c r="H314" s="211" t="str">
        <f>IF(data!BS75&gt;0,data!BS75,"")</f>
        <v>x</v>
      </c>
      <c r="I314" s="211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09"/>
      <c r="D315" s="209"/>
      <c r="E315" s="209"/>
      <c r="F315" s="209"/>
      <c r="G315" s="209"/>
      <c r="H315" s="209"/>
      <c r="I315" s="209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11265.671666666667</v>
      </c>
      <c r="D316" s="85">
        <f>data!BO76</f>
        <v>243</v>
      </c>
      <c r="E316" s="85">
        <f>data!BP76</f>
        <v>288.89999999999992</v>
      </c>
      <c r="F316" s="85">
        <f>data!BQ76</f>
        <v>0</v>
      </c>
      <c r="G316" s="85">
        <f>data!BR76</f>
        <v>1598.8000000000004</v>
      </c>
      <c r="H316" s="85">
        <f>data!BS76</f>
        <v>531.77916666666658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1" t="str">
        <f>IF(data!BN77&gt;0,data!BN77,"")</f>
        <v>x</v>
      </c>
      <c r="D317" s="211" t="str">
        <f>IF(data!BO77&gt;0,data!BO77,"")</f>
        <v>x</v>
      </c>
      <c r="E317" s="211" t="str">
        <f>IF(data!BP77&gt;0,data!BP77,"")</f>
        <v>x</v>
      </c>
      <c r="F317" s="211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1" t="str">
        <f>IF(data!BN78&gt;0,data!BN78,"")</f>
        <v>x</v>
      </c>
      <c r="D318" s="211" t="str">
        <f>IF(data!BO78&gt;0,data!BO78,"")</f>
        <v>x</v>
      </c>
      <c r="E318" s="211" t="str">
        <f>IF(data!BP78&gt;0,data!BP78,"")</f>
        <v>x</v>
      </c>
      <c r="F318" s="211" t="str">
        <f>IF(data!BQ78&gt;0,data!BQ78,"")</f>
        <v>x</v>
      </c>
      <c r="G318" s="211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1" t="str">
        <f>IF(data!BN79&gt;0,data!BN79,"")</f>
        <v>x</v>
      </c>
      <c r="D319" s="211" t="str">
        <f>IF(data!BO79&gt;0,data!BO79,"")</f>
        <v>x</v>
      </c>
      <c r="E319" s="211" t="str">
        <f>IF(data!BP79&gt;0,data!BP79,"")</f>
        <v>x</v>
      </c>
      <c r="F319" s="211" t="str">
        <f>IF(data!BQ79&gt;0,data!BQ79,"")</f>
        <v>x</v>
      </c>
      <c r="G319" s="211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4" t="str">
        <f>IF(data!BN80&gt;0,data!BN80,"")</f>
        <v>x</v>
      </c>
      <c r="D320" s="214" t="str">
        <f>IF(data!BO80&gt;0,data!BO80,"")</f>
        <v>x</v>
      </c>
      <c r="E320" s="214" t="str">
        <f>IF(data!BP80&gt;0,data!BP80,"")</f>
        <v>x</v>
      </c>
      <c r="F320" s="214" t="str">
        <f>IF(data!BQ80&gt;0,data!BQ80,"")</f>
        <v>x</v>
      </c>
      <c r="G320" s="214" t="str">
        <f>IF(data!BR80&gt;0,data!BR80,"")</f>
        <v>x</v>
      </c>
      <c r="H320" s="214" t="str">
        <f>IF(data!BS80&gt;0,data!BS80,"")</f>
        <v>x</v>
      </c>
      <c r="I320" s="214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7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Jefferson County Public Hospital District No 2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0"/>
      <c r="D328" s="210"/>
      <c r="E328" s="210"/>
      <c r="F328" s="210"/>
      <c r="G328" s="210"/>
      <c r="H328" s="210"/>
      <c r="I328" s="210"/>
    </row>
    <row r="329" spans="1:9" ht="20.149999999999999" customHeight="1" x14ac:dyDescent="0.35">
      <c r="A329" s="23">
        <v>4</v>
      </c>
      <c r="B329" s="14" t="s">
        <v>233</v>
      </c>
      <c r="C329" s="210"/>
      <c r="D329" s="210"/>
      <c r="E329" s="210"/>
      <c r="F329" s="210"/>
      <c r="G329" s="210"/>
      <c r="H329" s="210"/>
      <c r="I329" s="210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12.629615384615388</v>
      </c>
      <c r="E330" s="26">
        <f>data!BW60</f>
        <v>1.639230769230769</v>
      </c>
      <c r="F330" s="26">
        <f>data!BX60</f>
        <v>6.0238461538461552</v>
      </c>
      <c r="G330" s="26">
        <f>data!BY60</f>
        <v>8.5026923076923051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648675</v>
      </c>
      <c r="E331" s="86">
        <f>data!BW61</f>
        <v>548179</v>
      </c>
      <c r="F331" s="86">
        <f>data!BX61</f>
        <v>528564</v>
      </c>
      <c r="G331" s="86">
        <f>data!BY61</f>
        <v>1116417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146392</v>
      </c>
      <c r="E332" s="86">
        <f>data!BW62</f>
        <v>123712</v>
      </c>
      <c r="F332" s="86">
        <f>data!BX62</f>
        <v>119285</v>
      </c>
      <c r="G332" s="86">
        <f>data!BY62</f>
        <v>251951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3865</v>
      </c>
      <c r="F333" s="86">
        <f>data!BX63</f>
        <v>0</v>
      </c>
      <c r="G333" s="86">
        <f>data!BY63</f>
        <v>65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10422</v>
      </c>
      <c r="E334" s="86">
        <f>data!BW64</f>
        <v>10425</v>
      </c>
      <c r="F334" s="86">
        <f>data!BX64</f>
        <v>3707</v>
      </c>
      <c r="G334" s="86">
        <f>data!BY64</f>
        <v>20940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11300</v>
      </c>
      <c r="E335" s="86">
        <f>data!BW65</f>
        <v>33</v>
      </c>
      <c r="F335" s="86">
        <f>data!BX65</f>
        <v>0</v>
      </c>
      <c r="G335" s="86">
        <f>data!BY65</f>
        <v>2239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48777</v>
      </c>
      <c r="E336" s="86">
        <f>data!BW66</f>
        <v>58313</v>
      </c>
      <c r="F336" s="86">
        <f>data!BX66</f>
        <v>3548</v>
      </c>
      <c r="G336" s="86">
        <f>data!BY66</f>
        <v>147023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19102</v>
      </c>
      <c r="E337" s="86">
        <f>data!BW67</f>
        <v>8808</v>
      </c>
      <c r="F337" s="86">
        <f>data!BX67</f>
        <v>8114</v>
      </c>
      <c r="G337" s="86">
        <f>data!BY67</f>
        <v>20391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20928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997</v>
      </c>
      <c r="E339" s="86">
        <f>data!BW69</f>
        <v>15237</v>
      </c>
      <c r="F339" s="86">
        <f>data!BX69</f>
        <v>874</v>
      </c>
      <c r="G339" s="86">
        <f>data!BY69</f>
        <v>18755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906593</v>
      </c>
      <c r="E341" s="14">
        <f>data!BW71</f>
        <v>768572</v>
      </c>
      <c r="F341" s="14">
        <f>data!BX71</f>
        <v>664092</v>
      </c>
      <c r="G341" s="14">
        <f>data!BY71</f>
        <v>1577781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09"/>
      <c r="D342" s="209"/>
      <c r="E342" s="209"/>
      <c r="F342" s="209"/>
      <c r="G342" s="209"/>
      <c r="H342" s="209"/>
      <c r="I342" s="209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1" t="str">
        <f>IF(data!BU73&gt;0,data!BU73,"")</f>
        <v>x</v>
      </c>
      <c r="D344" s="211" t="str">
        <f>IF(data!BV73&gt;0,data!BV73,"")</f>
        <v>x</v>
      </c>
      <c r="E344" s="211" t="str">
        <f>IF(data!BW73&gt;0,data!BW73,"")</f>
        <v>x</v>
      </c>
      <c r="F344" s="211" t="str">
        <f>IF(data!BX73&gt;0,data!BX73,"")</f>
        <v>x</v>
      </c>
      <c r="G344" s="211" t="str">
        <f>IF(data!BY73&gt;0,data!BY73,"")</f>
        <v>x</v>
      </c>
      <c r="H344" s="211" t="str">
        <f>IF(data!BZ73&gt;0,data!BZ73,"")</f>
        <v>x</v>
      </c>
      <c r="I344" s="211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1" t="str">
        <f>IF(data!BU74&gt;0,data!BU74,"")</f>
        <v>x</v>
      </c>
      <c r="D345" s="211" t="str">
        <f>IF(data!BV74&gt;0,data!BV74,"")</f>
        <v>x</v>
      </c>
      <c r="E345" s="211" t="str">
        <f>IF(data!BW74&gt;0,data!BW74,"")</f>
        <v>x</v>
      </c>
      <c r="F345" s="211" t="str">
        <f>IF(data!BX74&gt;0,data!BX74,"")</f>
        <v>x</v>
      </c>
      <c r="G345" s="211" t="str">
        <f>IF(data!BY74&gt;0,data!BY74,"")</f>
        <v>x</v>
      </c>
      <c r="H345" s="211" t="str">
        <f>IF(data!BZ74&gt;0,data!BZ74,"")</f>
        <v>x</v>
      </c>
      <c r="I345" s="211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1" t="str">
        <f>IF(data!BU75&gt;0,data!BU75,"")</f>
        <v>x</v>
      </c>
      <c r="D346" s="211" t="str">
        <f>IF(data!BV75&gt;0,data!BV75,"")</f>
        <v>x</v>
      </c>
      <c r="E346" s="211" t="str">
        <f>IF(data!BW75&gt;0,data!BW75,"")</f>
        <v>x</v>
      </c>
      <c r="F346" s="211" t="str">
        <f>IF(data!BX75&gt;0,data!BX75,"")</f>
        <v>x</v>
      </c>
      <c r="G346" s="211" t="str">
        <f>IF(data!BY75&gt;0,data!BY75,"")</f>
        <v>x</v>
      </c>
      <c r="H346" s="211" t="str">
        <f>IF(data!BZ75&gt;0,data!BZ75,"")</f>
        <v>x</v>
      </c>
      <c r="I346" s="211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09"/>
      <c r="D347" s="209"/>
      <c r="E347" s="209"/>
      <c r="F347" s="209"/>
      <c r="G347" s="209"/>
      <c r="H347" s="209"/>
      <c r="I347" s="209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847.99999999999989</v>
      </c>
      <c r="E348" s="85">
        <f>data!BW76</f>
        <v>391.00833333333344</v>
      </c>
      <c r="F348" s="85">
        <f>data!BX76</f>
        <v>360.22500000000002</v>
      </c>
      <c r="G348" s="85">
        <f>data!BY76</f>
        <v>905.22083333333353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4" t="str">
        <f>IF(data!BU80&gt;0,data!BU80,"")</f>
        <v/>
      </c>
      <c r="D352" s="214" t="str">
        <f>IF(data!BV80&gt;0,data!BV80,"")</f>
        <v/>
      </c>
      <c r="E352" s="214" t="str">
        <f>IF(data!BW80&gt;0,data!BW80,"")</f>
        <v/>
      </c>
      <c r="F352" s="214" t="str">
        <f>IF(data!BX80&gt;0,data!BX80,"")</f>
        <v/>
      </c>
      <c r="G352" s="214" t="str">
        <f>IF(data!BY80&gt;0,data!BY80,"")</f>
        <v/>
      </c>
      <c r="H352" s="214" t="str">
        <f>IF(data!BZ80&gt;0,data!BZ80,"")</f>
        <v/>
      </c>
      <c r="I352" s="214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7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Jefferson County Public Hospital District No 2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0"/>
      <c r="D360" s="210"/>
      <c r="E360" s="210"/>
      <c r="F360" s="210"/>
      <c r="G360" s="210"/>
      <c r="H360" s="210"/>
      <c r="I360" s="210"/>
    </row>
    <row r="361" spans="1:9" ht="20.149999999999999" customHeight="1" x14ac:dyDescent="0.35">
      <c r="A361" s="23">
        <v>4</v>
      </c>
      <c r="B361" s="14" t="s">
        <v>233</v>
      </c>
      <c r="C361" s="210"/>
      <c r="D361" s="210"/>
      <c r="E361" s="210"/>
      <c r="F361" s="210"/>
      <c r="G361" s="210"/>
      <c r="H361" s="210"/>
      <c r="I361" s="210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11.486538461538462</v>
      </c>
      <c r="E362" s="215"/>
      <c r="F362" s="209"/>
      <c r="G362" s="209"/>
      <c r="H362" s="209"/>
      <c r="I362" s="87">
        <f>data!CE60</f>
        <v>606.51175641025645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18532</v>
      </c>
      <c r="D363" s="86">
        <f>data!CC61</f>
        <v>1438406</v>
      </c>
      <c r="E363" s="216"/>
      <c r="F363" s="217"/>
      <c r="G363" s="217"/>
      <c r="H363" s="217"/>
      <c r="I363" s="86">
        <f>data!CE61</f>
        <v>65363392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4182</v>
      </c>
      <c r="D364" s="86">
        <f>data!CC62</f>
        <v>324617</v>
      </c>
      <c r="E364" s="216"/>
      <c r="F364" s="217"/>
      <c r="G364" s="217"/>
      <c r="H364" s="217"/>
      <c r="I364" s="86">
        <f>data!CE62</f>
        <v>14751096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70674</v>
      </c>
      <c r="E365" s="216"/>
      <c r="F365" s="217"/>
      <c r="G365" s="217"/>
      <c r="H365" s="217"/>
      <c r="I365" s="86">
        <f>data!CE63</f>
        <v>3034303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564</v>
      </c>
      <c r="D366" s="86">
        <f>data!CC64</f>
        <v>96724</v>
      </c>
      <c r="E366" s="216"/>
      <c r="F366" s="217"/>
      <c r="G366" s="217"/>
      <c r="H366" s="217"/>
      <c r="I366" s="86">
        <f>data!CE64</f>
        <v>24818051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3317</v>
      </c>
      <c r="D367" s="86">
        <f>data!CC65</f>
        <v>2655</v>
      </c>
      <c r="E367" s="216"/>
      <c r="F367" s="217"/>
      <c r="G367" s="217"/>
      <c r="H367" s="217"/>
      <c r="I367" s="86">
        <f>data!CE65</f>
        <v>1201686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3203</v>
      </c>
      <c r="D368" s="86">
        <f>data!CC66</f>
        <v>367450</v>
      </c>
      <c r="E368" s="216"/>
      <c r="F368" s="217"/>
      <c r="G368" s="217"/>
      <c r="H368" s="217"/>
      <c r="I368" s="86">
        <f>data!CE66</f>
        <v>8330773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36109</v>
      </c>
      <c r="D369" s="86">
        <f>data!CC67</f>
        <v>77822</v>
      </c>
      <c r="E369" s="216"/>
      <c r="F369" s="217"/>
      <c r="G369" s="217"/>
      <c r="H369" s="217"/>
      <c r="I369" s="86">
        <f>data!CE67</f>
        <v>3750571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32927</v>
      </c>
      <c r="D370" s="86">
        <f>data!CC68</f>
        <v>35135</v>
      </c>
      <c r="E370" s="216"/>
      <c r="F370" s="217"/>
      <c r="G370" s="217"/>
      <c r="H370" s="217"/>
      <c r="I370" s="86">
        <f>data!CE68</f>
        <v>1616221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344462</v>
      </c>
      <c r="E371" s="345">
        <f>data!CD69</f>
        <v>0</v>
      </c>
      <c r="F371" s="217"/>
      <c r="G371" s="217"/>
      <c r="H371" s="217"/>
      <c r="I371" s="86">
        <f>data!CE69</f>
        <v>2604154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-6138</v>
      </c>
      <c r="D372" s="14">
        <f>-data!CC70</f>
        <v>-7839</v>
      </c>
      <c r="E372" s="346">
        <f>data!CD70</f>
        <v>328936</v>
      </c>
      <c r="F372" s="218"/>
      <c r="G372" s="218"/>
      <c r="H372" s="218"/>
      <c r="I372" s="341">
        <f>-data!CE70</f>
        <v>-5074779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92696</v>
      </c>
      <c r="D373" s="86">
        <f>data!CC71</f>
        <v>2750106</v>
      </c>
      <c r="E373" s="345">
        <f>data!CD71</f>
        <v>-328936</v>
      </c>
      <c r="F373" s="217"/>
      <c r="G373" s="217"/>
      <c r="H373" s="217"/>
      <c r="I373" s="14">
        <f>data!CE71</f>
        <v>120395468</v>
      </c>
    </row>
    <row r="374" spans="1:9" ht="20.149999999999999" customHeight="1" x14ac:dyDescent="0.35">
      <c r="A374" s="23">
        <v>17</v>
      </c>
      <c r="B374" s="14" t="s">
        <v>244</v>
      </c>
      <c r="C374" s="217"/>
      <c r="D374" s="217"/>
      <c r="E374" s="217"/>
      <c r="F374" s="217"/>
      <c r="G374" s="217"/>
      <c r="H374" s="217"/>
      <c r="I374" s="14">
        <f>-data!CE72</f>
        <v>-484235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1" t="str">
        <f>IF(data!CB73&gt;0,data!CB73,"")</f>
        <v>x</v>
      </c>
      <c r="D376" s="211" t="str">
        <f>IF(data!CC73&gt;0,data!CC73,"")</f>
        <v>x</v>
      </c>
      <c r="E376" s="212"/>
      <c r="F376" s="209"/>
      <c r="G376" s="209"/>
      <c r="H376" s="209"/>
      <c r="I376" s="85">
        <f>data!CE73</f>
        <v>36422574</v>
      </c>
    </row>
    <row r="377" spans="1:9" ht="20.149999999999999" customHeight="1" x14ac:dyDescent="0.35">
      <c r="A377" s="23">
        <v>20</v>
      </c>
      <c r="B377" s="48" t="s">
        <v>1183</v>
      </c>
      <c r="C377" s="211" t="str">
        <f>IF(data!CB74&gt;0,data!CB74,"")</f>
        <v>x</v>
      </c>
      <c r="D377" s="211" t="str">
        <f>IF(data!CC74&gt;0,data!CC74,"")</f>
        <v>x</v>
      </c>
      <c r="E377" s="212"/>
      <c r="F377" s="209"/>
      <c r="G377" s="209"/>
      <c r="H377" s="209"/>
      <c r="I377" s="85">
        <f>data!CE74</f>
        <v>219743676</v>
      </c>
    </row>
    <row r="378" spans="1:9" ht="20.149999999999999" customHeight="1" x14ac:dyDescent="0.35">
      <c r="A378" s="23">
        <v>21</v>
      </c>
      <c r="B378" s="48" t="s">
        <v>1184</v>
      </c>
      <c r="C378" s="211" t="str">
        <f>IF(data!CB75&gt;0,data!CB75,"")</f>
        <v>x</v>
      </c>
      <c r="D378" s="211" t="str">
        <f>IF(data!CC75&gt;0,data!CC75,"")</f>
        <v>x</v>
      </c>
      <c r="E378" s="212"/>
      <c r="F378" s="209"/>
      <c r="G378" s="209"/>
      <c r="H378" s="209"/>
      <c r="I378" s="85">
        <f>data!CE75</f>
        <v>256166250</v>
      </c>
    </row>
    <row r="379" spans="1:9" ht="20.149999999999999" customHeight="1" x14ac:dyDescent="0.35">
      <c r="A379" s="23" t="s">
        <v>1185</v>
      </c>
      <c r="B379" s="60"/>
      <c r="C379" s="209"/>
      <c r="D379" s="209"/>
      <c r="E379" s="209"/>
      <c r="F379" s="209"/>
      <c r="G379" s="209"/>
      <c r="H379" s="209"/>
      <c r="I379" s="209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1602.9999999999998</v>
      </c>
      <c r="D380" s="85">
        <f>data!CC76</f>
        <v>3454.8016666666663</v>
      </c>
      <c r="E380" s="212"/>
      <c r="F380" s="209"/>
      <c r="G380" s="209"/>
      <c r="H380" s="209"/>
      <c r="I380" s="14">
        <f>data!CE76</f>
        <v>166502.63999999998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1" t="str">
        <f>IF(data!CC77&gt;0,data!CC77,"")</f>
        <v>x</v>
      </c>
      <c r="E381" s="212"/>
      <c r="F381" s="209"/>
      <c r="G381" s="209"/>
      <c r="H381" s="209"/>
      <c r="I381" s="14">
        <f>data!CE77</f>
        <v>12819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1" t="str">
        <f>IF(data!CC78&gt;0,data!CC78,"")</f>
        <v>x</v>
      </c>
      <c r="E382" s="212"/>
      <c r="F382" s="209"/>
      <c r="G382" s="209"/>
      <c r="H382" s="209"/>
      <c r="I382" s="14">
        <f>data!CE78</f>
        <v>37049.957447161352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1" t="str">
        <f>IF(data!CC79&gt;0,data!CC79,"")</f>
        <v>x</v>
      </c>
      <c r="E383" s="212"/>
      <c r="F383" s="209"/>
      <c r="G383" s="209"/>
      <c r="H383" s="209"/>
      <c r="I383" s="14">
        <f>data!CE79</f>
        <v>456365</v>
      </c>
    </row>
    <row r="384" spans="1:9" ht="20.149999999999999" customHeight="1" x14ac:dyDescent="0.35">
      <c r="A384" s="23">
        <v>26</v>
      </c>
      <c r="B384" s="14" t="s">
        <v>252</v>
      </c>
      <c r="C384" s="211" t="str">
        <f>IF(data!CB80&gt;0,data!CB80,"")</f>
        <v/>
      </c>
      <c r="D384" s="211" t="str">
        <f>IF(data!CC80&gt;0,data!CC80,"")</f>
        <v>x</v>
      </c>
      <c r="E384" s="215"/>
      <c r="F384" s="209"/>
      <c r="G384" s="209"/>
      <c r="H384" s="209"/>
      <c r="I384" s="84">
        <f>data!CE80</f>
        <v>111.70421634615381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DA7FB3774EE4987B2696ACF78C328" ma:contentTypeVersion="" ma:contentTypeDescription="Create a new document." ma:contentTypeScope="" ma:versionID="2782c5f55a0121d23e9c0dcba65cf7f3">
  <xsd:schema xmlns:xsd="http://www.w3.org/2001/XMLSchema" xmlns:xs="http://www.w3.org/2001/XMLSchema" xmlns:p="http://schemas.microsoft.com/office/2006/metadata/properties" xmlns:ns1="http://schemas.microsoft.com/sharepoint/v3" xmlns:ns2="499c9adf-c2d5-475e-80fb-2dd9f2648b58" targetNamespace="http://schemas.microsoft.com/office/2006/metadata/properties" ma:root="true" ma:fieldsID="faf0f680913fafc8a9a71db91db18c02" ns1:_="" ns2:_="">
    <xsd:import namespace="http://schemas.microsoft.com/sharepoint/v3"/>
    <xsd:import namespace="499c9adf-c2d5-475e-80fb-2dd9f2648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c9adf-c2d5-475e-80fb-2dd9f2648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9E908-135F-4896-B9A8-E4E8EF67CD12}">
  <ds:schemaRefs>
    <ds:schemaRef ds:uri="http://schemas.microsoft.com/office/infopath/2007/PartnerControls"/>
    <ds:schemaRef ds:uri="http://www.w3.org/XML/1998/namespace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499c9adf-c2d5-475e-80fb-2dd9f2648b58"/>
  </ds:schemaRefs>
</ds:datastoreItem>
</file>

<file path=customXml/itemProps2.xml><?xml version="1.0" encoding="utf-8"?>
<ds:datastoreItem xmlns:ds="http://schemas.openxmlformats.org/officeDocument/2006/customXml" ds:itemID="{3020BE86-0760-420E-AB9C-1B84B1296F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204813-1275-4B11-AA3A-CAA6F4130A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9c9adf-c2d5-475e-80fb-2dd9f2648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2022-08-16T16:36:39Z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0x010100AD1DA7FB3774EE4987B2696ACF78C328</vt:lpwstr>
  </property>
  <property fmtid="{D5CDD505-2E9C-101B-9397-08002B2CF9AE}" pid="3" name="MSIP_Label_1520fa42-cf58-4c22-8b93-58cf1d3bd1cb_Enabled">
    <vt:lpwstr>true</vt:lpwstr>
  </property>
  <property fmtid="{D5CDD505-2E9C-101B-9397-08002B2CF9AE}" pid="4" name="MSIP_Label_1520fa42-cf58-4c22-8b93-58cf1d3bd1cb_SetDate">
    <vt:lpwstr>2022-08-16T16:24:08Z</vt:lpwstr>
  </property>
  <property fmtid="{D5CDD505-2E9C-101B-9397-08002B2CF9AE}" pid="5" name="MSIP_Label_1520fa42-cf58-4c22-8b93-58cf1d3bd1cb_Method">
    <vt:lpwstr>Standard</vt:lpwstr>
  </property>
  <property fmtid="{D5CDD505-2E9C-101B-9397-08002B2CF9AE}" pid="6" name="MSIP_Label_1520fa42-cf58-4c22-8b93-58cf1d3bd1cb_Name">
    <vt:lpwstr>Public Information</vt:lpwstr>
  </property>
  <property fmtid="{D5CDD505-2E9C-101B-9397-08002B2CF9AE}" pid="7" name="MSIP_Label_1520fa42-cf58-4c22-8b93-58cf1d3bd1cb_SiteId">
    <vt:lpwstr>11d0e217-264e-400a-8ba0-57dcc127d72d</vt:lpwstr>
  </property>
  <property fmtid="{D5CDD505-2E9C-101B-9397-08002B2CF9AE}" pid="8" name="MSIP_Label_1520fa42-cf58-4c22-8b93-58cf1d3bd1cb_ActionId">
    <vt:lpwstr>c17d408d-1571-46c5-840a-401fd704d7a6</vt:lpwstr>
  </property>
  <property fmtid="{D5CDD505-2E9C-101B-9397-08002B2CF9AE}" pid="9" name="MSIP_Label_1520fa42-cf58-4c22-8b93-58cf1d3bd1cb_ContentBits">
    <vt:lpwstr>0</vt:lpwstr>
  </property>
</Properties>
</file>